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0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1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12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3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14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15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16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L:\4_Inventaires d'émissions, prospective et évaluation\42_Prospective\421_Scénarios prospectifs DGEC\4215_Scénarios 2023\00 - Docs essentiels Run2 AMS\002_Bâtiments\"/>
    </mc:Choice>
  </mc:AlternateContent>
  <xr:revisionPtr revIDLastSave="0" documentId="13_ncr:1_{15F7063A-D310-404E-AA61-A39FBCDD2C7D}" xr6:coauthVersionLast="47" xr6:coauthVersionMax="47" xr10:uidLastSave="{00000000-0000-0000-0000-000000000000}"/>
  <bookViews>
    <workbookView xWindow="-28920" yWindow="30" windowWidth="29040" windowHeight="15840" tabRatio="884" firstSheet="8" activeTab="10" xr2:uid="{00000000-000D-0000-FFFF-FFFF00000000}"/>
  </bookViews>
  <sheets>
    <sheet name="Init. parc" sheetId="99" r:id="rId1"/>
    <sheet name="Bureaux - AME" sheetId="35" r:id="rId2"/>
    <sheet name="CaHoREs - AME" sheetId="104" r:id="rId3"/>
    <sheet name="Commerce - AME" sheetId="105" r:id="rId4"/>
    <sheet name="Enseignement - AME" sheetId="106" r:id="rId5"/>
    <sheet name="Santé social - AME" sheetId="107" r:id="rId6"/>
    <sheet name="Sport Loisir Culture - AME" sheetId="108" r:id="rId7"/>
    <sheet name="Transport - AME" sheetId="103" r:id="rId8"/>
    <sheet name="Init. énergie" sheetId="98" r:id="rId9"/>
    <sheet name="Tableau de bord" sheetId="100" r:id="rId10"/>
    <sheet name="Résultats" sheetId="101" r:id="rId11"/>
    <sheet name="Bureaux - AMS" sheetId="109" r:id="rId12"/>
    <sheet name="CaHoREs - AMS" sheetId="110" r:id="rId13"/>
    <sheet name="Commerce - AMS" sheetId="111" r:id="rId14"/>
    <sheet name="Enseignement - AMS" sheetId="112" r:id="rId15"/>
    <sheet name="Santé social - AMS" sheetId="113" r:id="rId16"/>
    <sheet name="Sport Loisir Culture - AMS" sheetId="114" r:id="rId17"/>
    <sheet name="Transport - AMS" sheetId="115" r:id="rId18"/>
    <sheet name="Hors chauffage - AMS" sheetId="117" r:id="rId19"/>
    <sheet name="Hors chauffage - AME" sheetId="116" r:id="rId20"/>
    <sheet name="Sources" sheetId="102" r:id="rId21"/>
  </sheets>
  <definedNames>
    <definedName name="_xlnm.Print_Area" localSheetId="1">'Bureaux - AME'!$C$1:$O$172</definedName>
    <definedName name="_xlnm.Print_Area" localSheetId="11">'Bureaux - AMS'!$C$1:$O$172</definedName>
    <definedName name="_xlnm.Print_Area" localSheetId="2">'CaHoREs - AME'!$C$1:$O$172</definedName>
    <definedName name="_xlnm.Print_Area" localSheetId="12">'CaHoREs - AMS'!$C$1:$O$172</definedName>
    <definedName name="_xlnm.Print_Area" localSheetId="3">'Commerce - AME'!$C$1:$O$172</definedName>
    <definedName name="_xlnm.Print_Area" localSheetId="13">'Commerce - AMS'!$C$1:$O$172</definedName>
    <definedName name="_xlnm.Print_Area" localSheetId="4">'Enseignement - AME'!$C$1:$O$172</definedName>
    <definedName name="_xlnm.Print_Area" localSheetId="14">'Enseignement - AMS'!$C$1:$O$172</definedName>
    <definedName name="_xlnm.Print_Area" localSheetId="5">'Santé social - AME'!$C$1:$O$172</definedName>
    <definedName name="_xlnm.Print_Area" localSheetId="15">'Santé social - AMS'!$C$1:$O$172</definedName>
    <definedName name="_xlnm.Print_Area" localSheetId="6">'Sport Loisir Culture - AME'!$C$1:$O$172</definedName>
    <definedName name="_xlnm.Print_Area" localSheetId="16">'Sport Loisir Culture - AMS'!$C$1:$O$172</definedName>
    <definedName name="_xlnm.Print_Area" localSheetId="7">'Transport - AME'!$C$1:$O$172</definedName>
    <definedName name="_xlnm.Print_Area" localSheetId="17">'Transport - AMS'!$C$1:$O$172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5" i="117" l="1"/>
  <c r="C75" i="117" s="1"/>
  <c r="I77" i="109"/>
  <c r="G77" i="109"/>
  <c r="C22" i="117" l="1"/>
  <c r="F22" i="117" s="1"/>
  <c r="J75" i="117" l="1"/>
  <c r="H75" i="117"/>
  <c r="I48" i="117"/>
  <c r="J48" i="117"/>
  <c r="H48" i="117"/>
  <c r="J22" i="117"/>
  <c r="H22" i="117"/>
  <c r="D51" i="117"/>
  <c r="D48" i="117"/>
  <c r="C48" i="117" s="1"/>
  <c r="J81" i="98"/>
  <c r="K81" i="98" s="1"/>
  <c r="L81" i="98" s="1"/>
  <c r="I81" i="98"/>
  <c r="F83" i="111" l="1"/>
  <c r="F82" i="111"/>
  <c r="F81" i="111"/>
  <c r="F80" i="111"/>
  <c r="F79" i="111"/>
  <c r="F78" i="111"/>
  <c r="F77" i="111"/>
  <c r="F83" i="112"/>
  <c r="F82" i="112"/>
  <c r="F81" i="112"/>
  <c r="F80" i="112"/>
  <c r="F79" i="112"/>
  <c r="F78" i="112"/>
  <c r="F77" i="112"/>
  <c r="F83" i="113"/>
  <c r="F82" i="113"/>
  <c r="F81" i="113"/>
  <c r="F80" i="113"/>
  <c r="F79" i="113"/>
  <c r="F78" i="113"/>
  <c r="F77" i="113"/>
  <c r="F83" i="114"/>
  <c r="F82" i="114"/>
  <c r="F81" i="114"/>
  <c r="F80" i="114"/>
  <c r="F79" i="114"/>
  <c r="F78" i="114"/>
  <c r="F77" i="114"/>
  <c r="F83" i="115"/>
  <c r="F82" i="115"/>
  <c r="F81" i="115"/>
  <c r="F80" i="115"/>
  <c r="F79" i="115"/>
  <c r="F78" i="115"/>
  <c r="F77" i="115"/>
  <c r="F83" i="110"/>
  <c r="F82" i="110"/>
  <c r="F81" i="110"/>
  <c r="F80" i="110"/>
  <c r="F79" i="110"/>
  <c r="F78" i="110"/>
  <c r="F77" i="110"/>
  <c r="F83" i="109"/>
  <c r="F82" i="109"/>
  <c r="F80" i="109"/>
  <c r="F81" i="109"/>
  <c r="F79" i="109"/>
  <c r="F78" i="109"/>
  <c r="F77" i="109"/>
  <c r="K78" i="98"/>
  <c r="K79" i="98"/>
  <c r="K80" i="98"/>
  <c r="K77" i="98"/>
  <c r="I78" i="98"/>
  <c r="I79" i="98"/>
  <c r="I80" i="98"/>
  <c r="I77" i="98"/>
  <c r="I95" i="98"/>
  <c r="H95" i="98" s="1"/>
  <c r="I94" i="98"/>
  <c r="H94" i="98"/>
  <c r="J73" i="35"/>
  <c r="G81" i="98"/>
  <c r="I124" i="116" l="1"/>
  <c r="G124" i="116"/>
  <c r="C124" i="116"/>
  <c r="E124" i="117"/>
  <c r="I124" i="117"/>
  <c r="C124" i="117"/>
  <c r="J16" i="98"/>
  <c r="K16" i="98" s="1"/>
  <c r="H81" i="98" l="1"/>
  <c r="F81" i="98"/>
  <c r="E81" i="98"/>
  <c r="D81" i="98"/>
  <c r="C81" i="98"/>
  <c r="B81" i="98"/>
  <c r="F35" i="100"/>
  <c r="F37" i="100" s="1" a="1"/>
  <c r="F37" i="100" s="1"/>
  <c r="H17" i="117" s="1"/>
  <c r="E37" i="100"/>
  <c r="K60" i="111"/>
  <c r="I61" i="111"/>
  <c r="J61" i="111"/>
  <c r="K61" i="111"/>
  <c r="K62" i="111"/>
  <c r="K63" i="111"/>
  <c r="K65" i="111"/>
  <c r="K60" i="112"/>
  <c r="I61" i="112"/>
  <c r="J61" i="112"/>
  <c r="K61" i="112"/>
  <c r="K62" i="112"/>
  <c r="J63" i="112"/>
  <c r="K63" i="112"/>
  <c r="I65" i="112"/>
  <c r="J65" i="112"/>
  <c r="K65" i="112"/>
  <c r="K60" i="113"/>
  <c r="I61" i="113"/>
  <c r="J61" i="113"/>
  <c r="K61" i="113"/>
  <c r="K62" i="113"/>
  <c r="K63" i="113"/>
  <c r="I65" i="113"/>
  <c r="J65" i="113"/>
  <c r="K65" i="113"/>
  <c r="K60" i="114"/>
  <c r="I61" i="114"/>
  <c r="J61" i="114"/>
  <c r="K61" i="114"/>
  <c r="K62" i="114"/>
  <c r="K63" i="114"/>
  <c r="I65" i="114"/>
  <c r="J65" i="114"/>
  <c r="K65" i="114"/>
  <c r="K60" i="115"/>
  <c r="I61" i="115"/>
  <c r="J61" i="115"/>
  <c r="K61" i="115"/>
  <c r="J62" i="115"/>
  <c r="K62" i="115"/>
  <c r="K63" i="115"/>
  <c r="I65" i="115"/>
  <c r="J65" i="115"/>
  <c r="K65" i="115"/>
  <c r="K60" i="110"/>
  <c r="I61" i="110"/>
  <c r="J61" i="110"/>
  <c r="K61" i="110"/>
  <c r="K62" i="110"/>
  <c r="K63" i="110"/>
  <c r="I65" i="110"/>
  <c r="J65" i="110"/>
  <c r="K65" i="110"/>
  <c r="K59" i="111"/>
  <c r="K59" i="112"/>
  <c r="K59" i="113"/>
  <c r="K59" i="114"/>
  <c r="K59" i="115"/>
  <c r="K59" i="110"/>
  <c r="J59" i="111"/>
  <c r="J59" i="112"/>
  <c r="J59" i="113"/>
  <c r="J59" i="114"/>
  <c r="J59" i="115"/>
  <c r="J59" i="110"/>
  <c r="I59" i="111"/>
  <c r="I59" i="112"/>
  <c r="I59" i="113"/>
  <c r="I59" i="114"/>
  <c r="I59" i="115"/>
  <c r="I59" i="110"/>
  <c r="I59" i="109"/>
  <c r="K60" i="109"/>
  <c r="I61" i="109"/>
  <c r="J61" i="109"/>
  <c r="K61" i="109"/>
  <c r="K62" i="109"/>
  <c r="I63" i="109"/>
  <c r="J63" i="109"/>
  <c r="K63" i="109"/>
  <c r="I65" i="109"/>
  <c r="J65" i="109"/>
  <c r="K65" i="109"/>
  <c r="J59" i="109"/>
  <c r="K59" i="109"/>
  <c r="F48" i="117" l="1"/>
  <c r="F75" i="117"/>
  <c r="J73" i="114"/>
  <c r="J73" i="112"/>
  <c r="J73" i="111"/>
  <c r="J73" i="115"/>
  <c r="J73" i="110"/>
  <c r="J73" i="109"/>
  <c r="J73" i="113"/>
  <c r="C76" i="116"/>
  <c r="C23" i="116"/>
  <c r="C130" i="98"/>
  <c r="D78" i="117" s="1"/>
  <c r="C129" i="98"/>
  <c r="C124" i="98"/>
  <c r="C51" i="116" s="1"/>
  <c r="C123" i="98"/>
  <c r="C122" i="98"/>
  <c r="C121" i="98"/>
  <c r="D121" i="98" s="1"/>
  <c r="C120" i="98"/>
  <c r="D120" i="98" s="1"/>
  <c r="C119" i="98"/>
  <c r="C118" i="98"/>
  <c r="C108" i="98"/>
  <c r="C109" i="98"/>
  <c r="C110" i="98"/>
  <c r="C111" i="98"/>
  <c r="C112" i="98"/>
  <c r="D112" i="98" s="1"/>
  <c r="C113" i="98"/>
  <c r="C107" i="98"/>
  <c r="M40" i="98"/>
  <c r="M39" i="98"/>
  <c r="M37" i="98"/>
  <c r="M36" i="98"/>
  <c r="M35" i="98"/>
  <c r="I34" i="115"/>
  <c r="J34" i="115"/>
  <c r="K34" i="115"/>
  <c r="H34" i="115"/>
  <c r="I34" i="114"/>
  <c r="J34" i="114"/>
  <c r="K34" i="114"/>
  <c r="H34" i="114"/>
  <c r="I34" i="113"/>
  <c r="J34" i="113"/>
  <c r="K34" i="113"/>
  <c r="H34" i="113"/>
  <c r="I34" i="112"/>
  <c r="J34" i="112"/>
  <c r="K34" i="112"/>
  <c r="H34" i="112"/>
  <c r="I34" i="111"/>
  <c r="J34" i="111"/>
  <c r="K34" i="111"/>
  <c r="H34" i="111"/>
  <c r="I34" i="110"/>
  <c r="J34" i="110"/>
  <c r="K34" i="110"/>
  <c r="H34" i="110"/>
  <c r="I34" i="109"/>
  <c r="J34" i="109"/>
  <c r="K34" i="109"/>
  <c r="H34" i="109"/>
  <c r="G34" i="109" s="1"/>
  <c r="G48" i="117" l="1"/>
  <c r="E48" i="117"/>
  <c r="D111" i="98"/>
  <c r="D110" i="98"/>
  <c r="D108" i="98"/>
  <c r="D107" i="98"/>
  <c r="D109" i="98"/>
  <c r="H28" i="116" s="1"/>
  <c r="D118" i="98"/>
  <c r="C78" i="116"/>
  <c r="C75" i="116" s="1"/>
  <c r="H55" i="117"/>
  <c r="H55" i="116"/>
  <c r="G55" i="117"/>
  <c r="G55" i="116"/>
  <c r="I28" i="116"/>
  <c r="I28" i="117"/>
  <c r="G28" i="116"/>
  <c r="G28" i="117"/>
  <c r="C48" i="116"/>
  <c r="E28" i="116"/>
  <c r="E28" i="117"/>
  <c r="D28" i="116"/>
  <c r="D28" i="117"/>
  <c r="D119" i="98"/>
  <c r="D25" i="117"/>
  <c r="D113" i="98"/>
  <c r="D122" i="98"/>
  <c r="C25" i="116"/>
  <c r="D124" i="98"/>
  <c r="C49" i="116"/>
  <c r="D123" i="98"/>
  <c r="H7" i="109"/>
  <c r="H28" i="117" l="1"/>
  <c r="E36" i="116"/>
  <c r="F36" i="116"/>
  <c r="G36" i="116"/>
  <c r="H36" i="116"/>
  <c r="I36" i="116"/>
  <c r="D36" i="116"/>
  <c r="E55" i="117"/>
  <c r="E55" i="116"/>
  <c r="D36" i="117"/>
  <c r="D55" i="117"/>
  <c r="D55" i="116"/>
  <c r="C22" i="116"/>
  <c r="M41" i="98" l="1"/>
  <c r="G117" i="117" l="1"/>
  <c r="F117" i="117" s="1"/>
  <c r="F124" i="117" s="1"/>
  <c r="D117" i="117"/>
  <c r="D124" i="117" s="1"/>
  <c r="H117" i="117" l="1"/>
  <c r="H124" i="117" s="1"/>
  <c r="G124" i="117"/>
  <c r="E24" i="100"/>
  <c r="E27" i="100" s="1"/>
  <c r="I24" i="100"/>
  <c r="I25" i="100"/>
  <c r="I28" i="100" s="1"/>
  <c r="M6" i="100"/>
  <c r="E13" i="100"/>
  <c r="M16" i="100" l="1"/>
  <c r="M10" i="100"/>
  <c r="M9" i="100"/>
  <c r="M8" i="100"/>
  <c r="I27" i="100"/>
  <c r="I26" i="99" l="1"/>
  <c r="K26" i="99"/>
  <c r="J26" i="99"/>
  <c r="F27" i="99"/>
  <c r="E27" i="99"/>
  <c r="D27" i="99"/>
  <c r="E12" i="99"/>
  <c r="F12" i="99"/>
  <c r="D12" i="99"/>
  <c r="C49" i="99"/>
  <c r="K147" i="115" l="1"/>
  <c r="K50" i="114"/>
  <c r="K64" i="114" s="1"/>
  <c r="K50" i="109"/>
  <c r="K64" i="109" s="1"/>
  <c r="L17" i="98" l="1"/>
  <c r="J17" i="98" s="1"/>
  <c r="K17" i="98" s="1"/>
  <c r="J21" i="98"/>
  <c r="K21" i="98" s="1"/>
  <c r="J20" i="98"/>
  <c r="K20" i="98" s="1"/>
  <c r="J10" i="98" l="1"/>
  <c r="K10" i="98" s="1"/>
  <c r="J6" i="98"/>
  <c r="K6" i="98" s="1"/>
  <c r="J9" i="98"/>
  <c r="K9" i="98" s="1"/>
  <c r="I11" i="99" l="1"/>
  <c r="I23" i="116" l="1"/>
  <c r="I49" i="116" s="1"/>
  <c r="G23" i="116"/>
  <c r="G49" i="116" s="1"/>
  <c r="E23" i="116"/>
  <c r="E76" i="116" s="1"/>
  <c r="J23" i="117"/>
  <c r="J49" i="117" s="1"/>
  <c r="H23" i="117"/>
  <c r="H76" i="117" s="1"/>
  <c r="F23" i="117"/>
  <c r="F76" i="117" s="1"/>
  <c r="D23" i="117"/>
  <c r="E25" i="100"/>
  <c r="E28" i="100" s="1"/>
  <c r="D49" i="117" l="1"/>
  <c r="D22" i="117"/>
  <c r="E23" i="117"/>
  <c r="E49" i="116"/>
  <c r="H49" i="117"/>
  <c r="F49" i="117"/>
  <c r="I76" i="116"/>
  <c r="G23" i="117"/>
  <c r="G76" i="116"/>
  <c r="J76" i="117"/>
  <c r="I23" i="117"/>
  <c r="D76" i="117"/>
  <c r="H23" i="116"/>
  <c r="F23" i="116"/>
  <c r="D23" i="116"/>
  <c r="B29" i="101"/>
  <c r="G106" i="117"/>
  <c r="F106" i="117"/>
  <c r="E106" i="117"/>
  <c r="D106" i="117"/>
  <c r="G105" i="117"/>
  <c r="F105" i="117"/>
  <c r="E105" i="117"/>
  <c r="D105" i="117"/>
  <c r="E74" i="117"/>
  <c r="F74" i="117" s="1"/>
  <c r="G74" i="117" s="1"/>
  <c r="H74" i="117" s="1"/>
  <c r="I74" i="117" s="1"/>
  <c r="J74" i="117" s="1"/>
  <c r="C64" i="117"/>
  <c r="C65" i="117" s="1"/>
  <c r="C66" i="117" s="1"/>
  <c r="C67" i="117" s="1"/>
  <c r="C68" i="117" s="1"/>
  <c r="C69" i="117" s="1"/>
  <c r="C56" i="117"/>
  <c r="C57" i="117" s="1"/>
  <c r="C58" i="117" s="1"/>
  <c r="C59" i="117" s="1"/>
  <c r="C60" i="117" s="1"/>
  <c r="C61" i="117" s="1"/>
  <c r="F63" i="117"/>
  <c r="E47" i="117"/>
  <c r="F47" i="117" s="1"/>
  <c r="G47" i="117" s="1"/>
  <c r="H47" i="117" s="1"/>
  <c r="I47" i="117" s="1"/>
  <c r="J47" i="117" s="1"/>
  <c r="C37" i="117"/>
  <c r="C38" i="117" s="1"/>
  <c r="C39" i="117" s="1"/>
  <c r="C40" i="117" s="1"/>
  <c r="C41" i="117" s="1"/>
  <c r="C42" i="117" s="1"/>
  <c r="J32" i="117"/>
  <c r="J31" i="117" s="1"/>
  <c r="I32" i="117"/>
  <c r="I31" i="117" s="1"/>
  <c r="H32" i="117"/>
  <c r="H31" i="117" s="1"/>
  <c r="E32" i="117"/>
  <c r="E33" i="117" s="1"/>
  <c r="D32" i="117"/>
  <c r="D33" i="117" s="1"/>
  <c r="D31" i="117"/>
  <c r="J29" i="117"/>
  <c r="I29" i="117"/>
  <c r="H29" i="117"/>
  <c r="G29" i="117"/>
  <c r="E29" i="117"/>
  <c r="D29" i="117"/>
  <c r="C29" i="117"/>
  <c r="C30" i="117" s="1"/>
  <c r="C31" i="117" s="1"/>
  <c r="C32" i="117" s="1"/>
  <c r="C33" i="117" s="1"/>
  <c r="C34" i="117" s="1"/>
  <c r="F36" i="117"/>
  <c r="E21" i="117"/>
  <c r="F21" i="117" s="1"/>
  <c r="G21" i="117" s="1"/>
  <c r="H21" i="117" s="1"/>
  <c r="I21" i="117" s="1"/>
  <c r="J21" i="117" s="1"/>
  <c r="AJ136" i="101"/>
  <c r="H33" i="117" l="1"/>
  <c r="I33" i="117"/>
  <c r="H49" i="116"/>
  <c r="H76" i="116"/>
  <c r="I76" i="117"/>
  <c r="I49" i="117"/>
  <c r="G76" i="117"/>
  <c r="G49" i="117"/>
  <c r="D76" i="116"/>
  <c r="D49" i="116"/>
  <c r="F76" i="116"/>
  <c r="F49" i="116"/>
  <c r="E76" i="117"/>
  <c r="E49" i="117"/>
  <c r="D63" i="117"/>
  <c r="E6" i="117" s="1"/>
  <c r="E63" i="117"/>
  <c r="H63" i="117"/>
  <c r="E36" i="117"/>
  <c r="J33" i="117"/>
  <c r="G63" i="117"/>
  <c r="J36" i="117"/>
  <c r="E11" i="117" s="1"/>
  <c r="Y119" i="101" s="1"/>
  <c r="H36" i="117"/>
  <c r="I36" i="117"/>
  <c r="E10" i="117" s="1"/>
  <c r="Y118" i="101" s="1"/>
  <c r="G36" i="117"/>
  <c r="B77" i="101"/>
  <c r="Y77" i="101"/>
  <c r="E7" i="117" l="1"/>
  <c r="Y115" i="101" s="1"/>
  <c r="Y114" i="101"/>
  <c r="E8" i="117"/>
  <c r="Y116" i="101" s="1"/>
  <c r="E9" i="117"/>
  <c r="Y117" i="101" s="1"/>
  <c r="E5" i="117" l="1"/>
  <c r="AK130" i="101"/>
  <c r="AL130" i="101" s="1"/>
  <c r="AK131" i="101"/>
  <c r="AL131" i="101" s="1"/>
  <c r="AK132" i="101"/>
  <c r="AL132" i="101" s="1"/>
  <c r="AK133" i="101"/>
  <c r="AL133" i="101" s="1"/>
  <c r="AK134" i="101"/>
  <c r="AL134" i="101" s="1"/>
  <c r="AK128" i="101"/>
  <c r="AL128" i="101" s="1"/>
  <c r="AL127" i="101"/>
  <c r="D105" i="116"/>
  <c r="E118" i="116"/>
  <c r="I117" i="116"/>
  <c r="G116" i="116"/>
  <c r="D115" i="116"/>
  <c r="E115" i="116" s="1"/>
  <c r="F115" i="116" s="1"/>
  <c r="G115" i="116" s="1"/>
  <c r="H115" i="116" s="1"/>
  <c r="I115" i="116" s="1"/>
  <c r="G106" i="116"/>
  <c r="F106" i="116"/>
  <c r="E106" i="116"/>
  <c r="D106" i="116"/>
  <c r="G105" i="116"/>
  <c r="F105" i="116"/>
  <c r="E105" i="116"/>
  <c r="I78" i="116"/>
  <c r="H78" i="116"/>
  <c r="G78" i="116"/>
  <c r="F78" i="116"/>
  <c r="E78" i="116"/>
  <c r="D78" i="116"/>
  <c r="D74" i="116"/>
  <c r="E74" i="116" s="1"/>
  <c r="F74" i="116" s="1"/>
  <c r="G74" i="116" s="1"/>
  <c r="H74" i="116" s="1"/>
  <c r="I74" i="116" s="1"/>
  <c r="C64" i="116"/>
  <c r="C65" i="116" s="1"/>
  <c r="C66" i="116" s="1"/>
  <c r="C67" i="116" s="1"/>
  <c r="C68" i="116" s="1"/>
  <c r="C69" i="116" s="1"/>
  <c r="C56" i="116"/>
  <c r="C57" i="116" s="1"/>
  <c r="C58" i="116" s="1"/>
  <c r="C59" i="116" s="1"/>
  <c r="C60" i="116" s="1"/>
  <c r="C61" i="116" s="1"/>
  <c r="I51" i="116"/>
  <c r="H51" i="116"/>
  <c r="H69" i="116" s="1"/>
  <c r="G51" i="116"/>
  <c r="H68" i="116" s="1"/>
  <c r="F51" i="116"/>
  <c r="H67" i="116" s="1"/>
  <c r="E51" i="116"/>
  <c r="H66" i="116" s="1"/>
  <c r="D51" i="116"/>
  <c r="F65" i="116" s="1"/>
  <c r="H64" i="116"/>
  <c r="D47" i="116"/>
  <c r="E47" i="116" s="1"/>
  <c r="F47" i="116" s="1"/>
  <c r="G47" i="116" s="1"/>
  <c r="H47" i="116" s="1"/>
  <c r="I47" i="116" s="1"/>
  <c r="C37" i="116"/>
  <c r="C38" i="116" s="1"/>
  <c r="C39" i="116" s="1"/>
  <c r="C40" i="116" s="1"/>
  <c r="C41" i="116" s="1"/>
  <c r="C42" i="116" s="1"/>
  <c r="I32" i="116"/>
  <c r="I33" i="116" s="1"/>
  <c r="H32" i="116"/>
  <c r="H33" i="116" s="1"/>
  <c r="G32" i="116"/>
  <c r="G33" i="116" s="1"/>
  <c r="E32" i="116"/>
  <c r="E33" i="116" s="1"/>
  <c r="D32" i="116"/>
  <c r="D31" i="116" s="1"/>
  <c r="I29" i="116"/>
  <c r="H29" i="116"/>
  <c r="G29" i="116"/>
  <c r="E29" i="116"/>
  <c r="D29" i="116"/>
  <c r="C29" i="116"/>
  <c r="C30" i="116" s="1"/>
  <c r="C31" i="116" s="1"/>
  <c r="C32" i="116" s="1"/>
  <c r="C33" i="116" s="1"/>
  <c r="C34" i="116" s="1"/>
  <c r="I25" i="116"/>
  <c r="H25" i="116"/>
  <c r="G25" i="116"/>
  <c r="F25" i="116"/>
  <c r="E25" i="116"/>
  <c r="D25" i="116"/>
  <c r="D21" i="116"/>
  <c r="E21" i="116" s="1"/>
  <c r="F21" i="116" s="1"/>
  <c r="G21" i="116" s="1"/>
  <c r="H21" i="116" s="1"/>
  <c r="I21" i="116" s="1"/>
  <c r="D39" i="116" l="1"/>
  <c r="F39" i="116"/>
  <c r="E41" i="116"/>
  <c r="F41" i="116"/>
  <c r="G41" i="116"/>
  <c r="H41" i="116"/>
  <c r="I41" i="116"/>
  <c r="F38" i="116"/>
  <c r="G38" i="116"/>
  <c r="H38" i="116"/>
  <c r="I38" i="116"/>
  <c r="D38" i="116"/>
  <c r="E38" i="116"/>
  <c r="D42" i="116"/>
  <c r="H42" i="116"/>
  <c r="H9" i="116" s="1"/>
  <c r="E117" i="101" s="1"/>
  <c r="I42" i="116"/>
  <c r="H10" i="116" s="1"/>
  <c r="E118" i="101" s="1"/>
  <c r="G42" i="116"/>
  <c r="E42" i="116"/>
  <c r="F42" i="116"/>
  <c r="H40" i="116"/>
  <c r="G9" i="116" s="1"/>
  <c r="D117" i="101" s="1"/>
  <c r="I40" i="116"/>
  <c r="D40" i="116"/>
  <c r="G40" i="116"/>
  <c r="F40" i="116"/>
  <c r="E40" i="116"/>
  <c r="I37" i="116"/>
  <c r="D37" i="116"/>
  <c r="E37" i="116"/>
  <c r="F37" i="116"/>
  <c r="H37" i="116"/>
  <c r="G37" i="116"/>
  <c r="Y120" i="101"/>
  <c r="E14" i="117"/>
  <c r="AK136" i="101"/>
  <c r="AL136" i="101"/>
  <c r="F63" i="116"/>
  <c r="E63" i="116"/>
  <c r="H63" i="116"/>
  <c r="D63" i="116"/>
  <c r="G63" i="116"/>
  <c r="D117" i="116"/>
  <c r="D67" i="116"/>
  <c r="D69" i="116"/>
  <c r="G118" i="116"/>
  <c r="G69" i="116"/>
  <c r="I118" i="116"/>
  <c r="E124" i="116"/>
  <c r="F118" i="116"/>
  <c r="G117" i="116"/>
  <c r="D118" i="116"/>
  <c r="F116" i="116"/>
  <c r="H116" i="116"/>
  <c r="G65" i="116"/>
  <c r="H65" i="116"/>
  <c r="D64" i="116"/>
  <c r="D66" i="116"/>
  <c r="D68" i="116"/>
  <c r="E68" i="116"/>
  <c r="G67" i="116"/>
  <c r="F68" i="116"/>
  <c r="E64" i="116"/>
  <c r="E66" i="116"/>
  <c r="F64" i="116"/>
  <c r="F66" i="116"/>
  <c r="G64" i="116"/>
  <c r="G66" i="116"/>
  <c r="G68" i="116"/>
  <c r="D65" i="116"/>
  <c r="E65" i="116"/>
  <c r="E67" i="116"/>
  <c r="E69" i="116"/>
  <c r="F67" i="116"/>
  <c r="F69" i="116"/>
  <c r="D33" i="116"/>
  <c r="D41" i="116" s="1"/>
  <c r="E31" i="116"/>
  <c r="E39" i="116" s="1"/>
  <c r="G31" i="116"/>
  <c r="G39" i="116" s="1"/>
  <c r="H31" i="116"/>
  <c r="H39" i="116" s="1"/>
  <c r="I31" i="116"/>
  <c r="I39" i="116" s="1"/>
  <c r="G8" i="116" l="1"/>
  <c r="D116" i="101" s="1"/>
  <c r="F6" i="116"/>
  <c r="F10" i="116"/>
  <c r="C118" i="101" s="1"/>
  <c r="H6" i="116"/>
  <c r="E114" i="101" s="1"/>
  <c r="F8" i="116"/>
  <c r="C116" i="101" s="1"/>
  <c r="Y30" i="101"/>
  <c r="D124" i="116"/>
  <c r="G7" i="116"/>
  <c r="D115" i="101" s="1"/>
  <c r="F7" i="116"/>
  <c r="C115" i="101" s="1"/>
  <c r="H8" i="116"/>
  <c r="E116" i="101" s="1"/>
  <c r="G10" i="116"/>
  <c r="D118" i="101" s="1"/>
  <c r="F9" i="116"/>
  <c r="C117" i="101" s="1"/>
  <c r="H7" i="116"/>
  <c r="E115" i="101" s="1"/>
  <c r="H118" i="116"/>
  <c r="H117" i="116"/>
  <c r="F117" i="116"/>
  <c r="F124" i="116" s="1"/>
  <c r="G6" i="116"/>
  <c r="C114" i="101" l="1"/>
  <c r="F5" i="116"/>
  <c r="H5" i="116"/>
  <c r="H124" i="116"/>
  <c r="D114" i="101" l="1"/>
  <c r="G5" i="116"/>
  <c r="E120" i="101"/>
  <c r="C120" i="101"/>
  <c r="K11" i="99"/>
  <c r="J11" i="99"/>
  <c r="N20" i="99"/>
  <c r="I35" i="110" s="1"/>
  <c r="O20" i="99"/>
  <c r="J35" i="110" s="1"/>
  <c r="P20" i="99"/>
  <c r="K35" i="110" s="1"/>
  <c r="N21" i="99"/>
  <c r="I35" i="111" s="1"/>
  <c r="O21" i="99"/>
  <c r="J35" i="111" s="1"/>
  <c r="P21" i="99"/>
  <c r="K35" i="111" s="1"/>
  <c r="N22" i="99"/>
  <c r="I35" i="112" s="1"/>
  <c r="O22" i="99"/>
  <c r="J35" i="112" s="1"/>
  <c r="P22" i="99"/>
  <c r="K35" i="112" s="1"/>
  <c r="N23" i="99"/>
  <c r="I35" i="113" s="1"/>
  <c r="O23" i="99"/>
  <c r="J35" i="113" s="1"/>
  <c r="P23" i="99"/>
  <c r="K35" i="113" s="1"/>
  <c r="N24" i="99"/>
  <c r="I35" i="114" s="1"/>
  <c r="O24" i="99"/>
  <c r="J35" i="114" s="1"/>
  <c r="P24" i="99"/>
  <c r="K35" i="114" s="1"/>
  <c r="N25" i="99"/>
  <c r="I35" i="115" s="1"/>
  <c r="O25" i="99"/>
  <c r="J35" i="115" s="1"/>
  <c r="P25" i="99"/>
  <c r="K35" i="115" s="1"/>
  <c r="O19" i="99"/>
  <c r="J35" i="109" s="1"/>
  <c r="P19" i="99"/>
  <c r="K35" i="109" s="1"/>
  <c r="N19" i="99"/>
  <c r="I35" i="109" s="1"/>
  <c r="N26" i="99" l="1"/>
  <c r="N27" i="99" s="1"/>
  <c r="N28" i="99" s="1"/>
  <c r="C30" i="101"/>
  <c r="E30" i="101"/>
  <c r="D120" i="101"/>
  <c r="F13" i="100"/>
  <c r="G13" i="100"/>
  <c r="H13" i="100"/>
  <c r="J13" i="100"/>
  <c r="K13" i="100"/>
  <c r="L13" i="100"/>
  <c r="D30" i="101" l="1"/>
  <c r="F24" i="100"/>
  <c r="H143" i="110"/>
  <c r="H164" i="110" s="1"/>
  <c r="H144" i="110"/>
  <c r="H145" i="110"/>
  <c r="H146" i="110"/>
  <c r="H147" i="110"/>
  <c r="H148" i="110"/>
  <c r="H169" i="110" s="1"/>
  <c r="H143" i="104"/>
  <c r="I143" i="104" s="1"/>
  <c r="J143" i="104" s="1"/>
  <c r="K143" i="104" s="1"/>
  <c r="H144" i="104"/>
  <c r="I144" i="104" s="1"/>
  <c r="J144" i="104" s="1"/>
  <c r="K144" i="104" s="1"/>
  <c r="H145" i="104"/>
  <c r="I145" i="104" s="1"/>
  <c r="J145" i="104" s="1"/>
  <c r="K145" i="104" s="1"/>
  <c r="H146" i="104"/>
  <c r="I146" i="104" s="1"/>
  <c r="J146" i="104" s="1"/>
  <c r="K146" i="104" s="1"/>
  <c r="H147" i="104"/>
  <c r="I147" i="104" s="1"/>
  <c r="J147" i="104" s="1"/>
  <c r="K147" i="104" s="1"/>
  <c r="H148" i="104"/>
  <c r="I148" i="104" s="1"/>
  <c r="J148" i="104" s="1"/>
  <c r="K148" i="104" s="1"/>
  <c r="H142" i="110"/>
  <c r="H163" i="110" s="1"/>
  <c r="H142" i="104"/>
  <c r="I142" i="104" s="1"/>
  <c r="J142" i="104" s="1"/>
  <c r="K142" i="104" s="1"/>
  <c r="J147" i="114"/>
  <c r="H143" i="109"/>
  <c r="H144" i="109"/>
  <c r="H145" i="109"/>
  <c r="H146" i="109"/>
  <c r="H147" i="109"/>
  <c r="H148" i="109"/>
  <c r="H143" i="35"/>
  <c r="I143" i="35" s="1"/>
  <c r="J143" i="35" s="1"/>
  <c r="K143" i="35" s="1"/>
  <c r="H144" i="35"/>
  <c r="I144" i="35" s="1"/>
  <c r="J144" i="35" s="1"/>
  <c r="K144" i="35" s="1"/>
  <c r="H145" i="35"/>
  <c r="I145" i="35" s="1"/>
  <c r="J145" i="35" s="1"/>
  <c r="K145" i="35" s="1"/>
  <c r="H146" i="35"/>
  <c r="I146" i="35" s="1"/>
  <c r="J146" i="35" s="1"/>
  <c r="K146" i="35" s="1"/>
  <c r="H147" i="35"/>
  <c r="I147" i="35" s="1"/>
  <c r="J147" i="35" s="1"/>
  <c r="K147" i="35" s="1"/>
  <c r="H148" i="35"/>
  <c r="I148" i="35" s="1"/>
  <c r="J148" i="35" s="1"/>
  <c r="K148" i="35" s="1"/>
  <c r="H142" i="109"/>
  <c r="H142" i="35"/>
  <c r="I142" i="35" s="1"/>
  <c r="J142" i="35" s="1"/>
  <c r="K142" i="35" s="1"/>
  <c r="K66" i="114"/>
  <c r="K50" i="110"/>
  <c r="K64" i="110" s="1"/>
  <c r="K66" i="110" s="1"/>
  <c r="H73" i="109"/>
  <c r="G73" i="109"/>
  <c r="H148" i="115"/>
  <c r="H169" i="115" s="1"/>
  <c r="H147" i="115"/>
  <c r="H146" i="115"/>
  <c r="H167" i="115" s="1"/>
  <c r="H145" i="115"/>
  <c r="I145" i="115" s="1"/>
  <c r="H144" i="115"/>
  <c r="J144" i="115" s="1"/>
  <c r="H143" i="115"/>
  <c r="H164" i="115" s="1"/>
  <c r="H142" i="115"/>
  <c r="H163" i="115" s="1"/>
  <c r="H83" i="115"/>
  <c r="G83" i="115" s="1"/>
  <c r="H82" i="115"/>
  <c r="H81" i="115"/>
  <c r="H80" i="115"/>
  <c r="H79" i="115"/>
  <c r="G79" i="115" s="1"/>
  <c r="H78" i="115"/>
  <c r="H77" i="115"/>
  <c r="F73" i="115"/>
  <c r="H51" i="115"/>
  <c r="K50" i="115"/>
  <c r="H50" i="115"/>
  <c r="H49" i="115"/>
  <c r="H48" i="115"/>
  <c r="H47" i="115"/>
  <c r="H46" i="115"/>
  <c r="H45" i="115"/>
  <c r="K8" i="115"/>
  <c r="AC21" i="101" s="1"/>
  <c r="J8" i="115"/>
  <c r="AB21" i="101" s="1"/>
  <c r="K7" i="115"/>
  <c r="J7" i="115"/>
  <c r="I7" i="115"/>
  <c r="H36" i="115"/>
  <c r="H9" i="115" s="1"/>
  <c r="Z22" i="101" s="1"/>
  <c r="H8" i="115"/>
  <c r="Z21" i="101" s="1"/>
  <c r="H148" i="114"/>
  <c r="H169" i="114" s="1"/>
  <c r="H147" i="114"/>
  <c r="H168" i="114" s="1"/>
  <c r="H146" i="114"/>
  <c r="H167" i="114" s="1"/>
  <c r="H145" i="114"/>
  <c r="I145" i="114" s="1"/>
  <c r="I147" i="114" s="1"/>
  <c r="H144" i="114"/>
  <c r="H165" i="114" s="1"/>
  <c r="H143" i="114"/>
  <c r="H142" i="114"/>
  <c r="H163" i="114" s="1"/>
  <c r="H83" i="114"/>
  <c r="G83" i="114" s="1"/>
  <c r="H82" i="114"/>
  <c r="H81" i="114"/>
  <c r="G81" i="114" s="1"/>
  <c r="H80" i="114"/>
  <c r="H79" i="114"/>
  <c r="H78" i="114"/>
  <c r="H77" i="114"/>
  <c r="F73" i="114"/>
  <c r="H51" i="114"/>
  <c r="H50" i="114"/>
  <c r="H49" i="114"/>
  <c r="H48" i="114"/>
  <c r="H47" i="114"/>
  <c r="H46" i="114"/>
  <c r="H45" i="114"/>
  <c r="I8" i="114"/>
  <c r="AA19" i="101" s="1"/>
  <c r="K7" i="114"/>
  <c r="H36" i="114"/>
  <c r="H9" i="114" s="1"/>
  <c r="Z20" i="101" s="1"/>
  <c r="H8" i="114"/>
  <c r="Z19" i="101" s="1"/>
  <c r="H148" i="113"/>
  <c r="H169" i="113" s="1"/>
  <c r="H147" i="113"/>
  <c r="H146" i="113"/>
  <c r="H167" i="113" s="1"/>
  <c r="H145" i="113"/>
  <c r="H166" i="113" s="1"/>
  <c r="H144" i="113"/>
  <c r="H143" i="113"/>
  <c r="H164" i="113" s="1"/>
  <c r="H142" i="113"/>
  <c r="H163" i="113" s="1"/>
  <c r="H83" i="113"/>
  <c r="H82" i="113"/>
  <c r="G82" i="113" s="1"/>
  <c r="H81" i="113"/>
  <c r="H80" i="113"/>
  <c r="H79" i="113"/>
  <c r="G79" i="113" s="1"/>
  <c r="H78" i="113"/>
  <c r="G78" i="113" s="1"/>
  <c r="H77" i="113"/>
  <c r="F73" i="113"/>
  <c r="H51" i="113"/>
  <c r="K50" i="113"/>
  <c r="K64" i="113" s="1"/>
  <c r="K66" i="113" s="1"/>
  <c r="H50" i="113"/>
  <c r="H49" i="113"/>
  <c r="H48" i="113"/>
  <c r="H47" i="113"/>
  <c r="G47" i="113" s="1"/>
  <c r="H46" i="113"/>
  <c r="H45" i="113"/>
  <c r="K8" i="113"/>
  <c r="AC17" i="101" s="1"/>
  <c r="I8" i="113"/>
  <c r="AA17" i="101" s="1"/>
  <c r="K7" i="113"/>
  <c r="I7" i="113"/>
  <c r="H8" i="113"/>
  <c r="Z17" i="101" s="1"/>
  <c r="H148" i="112"/>
  <c r="H169" i="112" s="1"/>
  <c r="H147" i="112"/>
  <c r="H168" i="112" s="1"/>
  <c r="H146" i="112"/>
  <c r="I146" i="112" s="1"/>
  <c r="H145" i="112"/>
  <c r="H144" i="112"/>
  <c r="H143" i="112"/>
  <c r="H164" i="112" s="1"/>
  <c r="H142" i="112"/>
  <c r="H163" i="112" s="1"/>
  <c r="H83" i="112"/>
  <c r="H82" i="112"/>
  <c r="H81" i="112"/>
  <c r="G81" i="112" s="1"/>
  <c r="H80" i="112"/>
  <c r="H79" i="112"/>
  <c r="H78" i="112"/>
  <c r="H77" i="112"/>
  <c r="F73" i="112"/>
  <c r="H51" i="112"/>
  <c r="K50" i="112"/>
  <c r="K64" i="112" s="1"/>
  <c r="K66" i="112" s="1"/>
  <c r="H50" i="112"/>
  <c r="H49" i="112"/>
  <c r="H48" i="112"/>
  <c r="H47" i="112"/>
  <c r="G47" i="112" s="1"/>
  <c r="H46" i="112"/>
  <c r="H45" i="112"/>
  <c r="K8" i="112"/>
  <c r="AC15" i="101" s="1"/>
  <c r="K7" i="112"/>
  <c r="J7" i="112"/>
  <c r="I7" i="112"/>
  <c r="G34" i="112"/>
  <c r="G36" i="112" s="1"/>
  <c r="J8" i="112"/>
  <c r="AB15" i="101" s="1"/>
  <c r="H8" i="112"/>
  <c r="Z15" i="101" s="1"/>
  <c r="H148" i="111"/>
  <c r="H169" i="111" s="1"/>
  <c r="H147" i="111"/>
  <c r="H146" i="111"/>
  <c r="H167" i="111" s="1"/>
  <c r="H145" i="111"/>
  <c r="I145" i="111" s="1"/>
  <c r="J145" i="111" s="1"/>
  <c r="K145" i="111" s="1"/>
  <c r="H144" i="111"/>
  <c r="H143" i="111"/>
  <c r="H142" i="111"/>
  <c r="H83" i="111"/>
  <c r="G83" i="111" s="1"/>
  <c r="H82" i="111"/>
  <c r="G82" i="111" s="1"/>
  <c r="H81" i="111"/>
  <c r="G81" i="111" s="1"/>
  <c r="H80" i="111"/>
  <c r="G80" i="111" s="1"/>
  <c r="H79" i="111"/>
  <c r="H78" i="111"/>
  <c r="G78" i="111" s="1"/>
  <c r="H77" i="111"/>
  <c r="F73" i="111"/>
  <c r="H51" i="111"/>
  <c r="K50" i="111"/>
  <c r="H50" i="111"/>
  <c r="H49" i="111"/>
  <c r="H48" i="111"/>
  <c r="H47" i="111"/>
  <c r="H46" i="111"/>
  <c r="H45" i="111"/>
  <c r="G45" i="111" s="1"/>
  <c r="K8" i="111"/>
  <c r="AC13" i="101" s="1"/>
  <c r="J8" i="111"/>
  <c r="AB13" i="101" s="1"/>
  <c r="I8" i="111"/>
  <c r="AA13" i="101" s="1"/>
  <c r="I7" i="111"/>
  <c r="H36" i="111"/>
  <c r="H8" i="111"/>
  <c r="Z13" i="101" s="1"/>
  <c r="H168" i="110"/>
  <c r="H167" i="110"/>
  <c r="I147" i="110"/>
  <c r="H165" i="110"/>
  <c r="H83" i="110"/>
  <c r="H82" i="110"/>
  <c r="H81" i="110"/>
  <c r="H80" i="110"/>
  <c r="H79" i="110"/>
  <c r="H78" i="110"/>
  <c r="H77" i="110"/>
  <c r="G77" i="110" s="1"/>
  <c r="F73" i="110"/>
  <c r="H51" i="110"/>
  <c r="H50" i="110"/>
  <c r="H49" i="110"/>
  <c r="H48" i="110"/>
  <c r="H47" i="110"/>
  <c r="H46" i="110"/>
  <c r="H45" i="110"/>
  <c r="K7" i="110"/>
  <c r="I7" i="110"/>
  <c r="H36" i="110"/>
  <c r="H9" i="110" s="1"/>
  <c r="Z12" i="101" s="1"/>
  <c r="H8" i="110"/>
  <c r="Z11" i="101" s="1"/>
  <c r="J7" i="110"/>
  <c r="H165" i="109"/>
  <c r="H168" i="109"/>
  <c r="J144" i="109"/>
  <c r="H164" i="109"/>
  <c r="H83" i="109"/>
  <c r="H82" i="109"/>
  <c r="H81" i="109"/>
  <c r="H80" i="109"/>
  <c r="H79" i="109"/>
  <c r="H78" i="109"/>
  <c r="G78" i="109" s="1"/>
  <c r="H77" i="109"/>
  <c r="F73" i="109"/>
  <c r="H51" i="109"/>
  <c r="H50" i="109"/>
  <c r="H49" i="109"/>
  <c r="H48" i="109"/>
  <c r="H47" i="109"/>
  <c r="H46" i="109"/>
  <c r="H45" i="109"/>
  <c r="K8" i="109"/>
  <c r="AC9" i="101" s="1"/>
  <c r="I8" i="109"/>
  <c r="AA9" i="101" s="1"/>
  <c r="K7" i="109"/>
  <c r="H8" i="109"/>
  <c r="Z9" i="101" s="1"/>
  <c r="K64" i="103"/>
  <c r="K50" i="103"/>
  <c r="K64" i="108"/>
  <c r="K50" i="108"/>
  <c r="K64" i="107"/>
  <c r="K50" i="107"/>
  <c r="K64" i="106"/>
  <c r="K50" i="106"/>
  <c r="K64" i="105"/>
  <c r="K50" i="105"/>
  <c r="K64" i="104"/>
  <c r="K50" i="104"/>
  <c r="F73" i="35"/>
  <c r="K64" i="35"/>
  <c r="K50" i="35"/>
  <c r="H98" i="115" l="1"/>
  <c r="G78" i="115"/>
  <c r="G78" i="112"/>
  <c r="G98" i="112" s="1"/>
  <c r="H99" i="112"/>
  <c r="G79" i="112"/>
  <c r="H100" i="112"/>
  <c r="G80" i="112"/>
  <c r="H100" i="115"/>
  <c r="G80" i="115"/>
  <c r="G100" i="115" s="1"/>
  <c r="H97" i="113"/>
  <c r="G77" i="113"/>
  <c r="G97" i="113" s="1"/>
  <c r="H101" i="115"/>
  <c r="G81" i="115"/>
  <c r="H102" i="112"/>
  <c r="G82" i="112"/>
  <c r="H102" i="115"/>
  <c r="G82" i="115"/>
  <c r="H99" i="109"/>
  <c r="G79" i="109"/>
  <c r="H99" i="110"/>
  <c r="G79" i="110"/>
  <c r="G99" i="110" s="1"/>
  <c r="H97" i="111"/>
  <c r="G77" i="111"/>
  <c r="G83" i="112"/>
  <c r="G103" i="112" s="1"/>
  <c r="H97" i="114"/>
  <c r="G77" i="114"/>
  <c r="H100" i="109"/>
  <c r="G80" i="109"/>
  <c r="H100" i="110"/>
  <c r="G80" i="110"/>
  <c r="H100" i="113"/>
  <c r="G80" i="113"/>
  <c r="H98" i="114"/>
  <c r="G78" i="114"/>
  <c r="H98" i="110"/>
  <c r="G78" i="110"/>
  <c r="H101" i="109"/>
  <c r="G81" i="109"/>
  <c r="H101" i="110"/>
  <c r="G81" i="110"/>
  <c r="H99" i="111"/>
  <c r="G79" i="111"/>
  <c r="H101" i="113"/>
  <c r="G81" i="113"/>
  <c r="H99" i="114"/>
  <c r="G79" i="114"/>
  <c r="H102" i="109"/>
  <c r="G82" i="109"/>
  <c r="H100" i="114"/>
  <c r="G80" i="114"/>
  <c r="H103" i="110"/>
  <c r="G83" i="110"/>
  <c r="H103" i="113"/>
  <c r="G83" i="113"/>
  <c r="H102" i="114"/>
  <c r="G82" i="114"/>
  <c r="H102" i="110"/>
  <c r="G82" i="110"/>
  <c r="G102" i="110" s="1"/>
  <c r="H103" i="109"/>
  <c r="G83" i="109"/>
  <c r="G77" i="112"/>
  <c r="G97" i="112" s="1"/>
  <c r="H97" i="115"/>
  <c r="G77" i="115"/>
  <c r="K52" i="111"/>
  <c r="K64" i="111"/>
  <c r="K66" i="111" s="1"/>
  <c r="I46" i="115"/>
  <c r="I60" i="115" s="1"/>
  <c r="J46" i="115"/>
  <c r="J60" i="115" s="1"/>
  <c r="J46" i="112"/>
  <c r="J60" i="112" s="1"/>
  <c r="I46" i="112"/>
  <c r="I60" i="112" s="1"/>
  <c r="J46" i="109"/>
  <c r="J60" i="109" s="1"/>
  <c r="I46" i="109"/>
  <c r="I60" i="109" s="1"/>
  <c r="I46" i="110"/>
  <c r="I60" i="110" s="1"/>
  <c r="J46" i="110"/>
  <c r="J60" i="110" s="1"/>
  <c r="J46" i="113"/>
  <c r="J60" i="113" s="1"/>
  <c r="I46" i="113"/>
  <c r="I60" i="113" s="1"/>
  <c r="G46" i="111"/>
  <c r="I46" i="111"/>
  <c r="I60" i="111" s="1"/>
  <c r="J46" i="111"/>
  <c r="J60" i="111" s="1"/>
  <c r="I46" i="114"/>
  <c r="I60" i="114" s="1"/>
  <c r="J46" i="114"/>
  <c r="J60" i="114" s="1"/>
  <c r="K52" i="115"/>
  <c r="K64" i="115"/>
  <c r="K66" i="115" s="1"/>
  <c r="Z23" i="101"/>
  <c r="I49" i="112"/>
  <c r="I63" i="112" s="1"/>
  <c r="H62" i="110"/>
  <c r="G62" i="110" s="1"/>
  <c r="H61" i="111"/>
  <c r="G61" i="111" s="1"/>
  <c r="G49" i="114"/>
  <c r="H61" i="115"/>
  <c r="J49" i="110"/>
  <c r="J63" i="110" s="1"/>
  <c r="H62" i="111"/>
  <c r="K147" i="111"/>
  <c r="H64" i="114"/>
  <c r="H62" i="115"/>
  <c r="G62" i="115" s="1"/>
  <c r="G50" i="110"/>
  <c r="H63" i="111"/>
  <c r="J49" i="115"/>
  <c r="J63" i="115" s="1"/>
  <c r="H65" i="110"/>
  <c r="G65" i="110" s="1"/>
  <c r="H64" i="115"/>
  <c r="G64" i="115" s="1"/>
  <c r="G48" i="109"/>
  <c r="H167" i="109"/>
  <c r="G51" i="109"/>
  <c r="H64" i="109"/>
  <c r="G64" i="109" s="1"/>
  <c r="G51" i="111"/>
  <c r="G45" i="113"/>
  <c r="H65" i="115"/>
  <c r="H64" i="111"/>
  <c r="G64" i="111" s="1"/>
  <c r="G48" i="112"/>
  <c r="G50" i="112"/>
  <c r="H61" i="113"/>
  <c r="G61" i="113" s="1"/>
  <c r="H59" i="114"/>
  <c r="G45" i="110"/>
  <c r="J48" i="113"/>
  <c r="J62" i="113" s="1"/>
  <c r="G103" i="113"/>
  <c r="G46" i="114"/>
  <c r="G51" i="112"/>
  <c r="G47" i="114"/>
  <c r="H59" i="115"/>
  <c r="G59" i="115" s="1"/>
  <c r="G47" i="110"/>
  <c r="H60" i="111"/>
  <c r="G60" i="111" s="1"/>
  <c r="G50" i="113"/>
  <c r="H62" i="114"/>
  <c r="G62" i="114" s="1"/>
  <c r="G46" i="115"/>
  <c r="H60" i="115"/>
  <c r="G60" i="115" s="1"/>
  <c r="H167" i="112"/>
  <c r="H7" i="112"/>
  <c r="I36" i="111"/>
  <c r="I36" i="115"/>
  <c r="I9" i="115" s="1"/>
  <c r="AA22" i="101" s="1"/>
  <c r="K36" i="111"/>
  <c r="H59" i="113"/>
  <c r="G59" i="113" s="1"/>
  <c r="I146" i="113"/>
  <c r="I145" i="113"/>
  <c r="J145" i="113" s="1"/>
  <c r="J147" i="113" s="1"/>
  <c r="G103" i="110"/>
  <c r="G50" i="111"/>
  <c r="G99" i="112"/>
  <c r="G48" i="113"/>
  <c r="G100" i="112"/>
  <c r="G49" i="111"/>
  <c r="G50" i="109"/>
  <c r="G102" i="112"/>
  <c r="G47" i="111"/>
  <c r="H60" i="112"/>
  <c r="G60" i="112" s="1"/>
  <c r="H63" i="112"/>
  <c r="H63" i="115"/>
  <c r="G63" i="115" s="1"/>
  <c r="G46" i="109"/>
  <c r="H60" i="109"/>
  <c r="H63" i="109"/>
  <c r="G63" i="109" s="1"/>
  <c r="H60" i="110"/>
  <c r="H103" i="111"/>
  <c r="G45" i="115"/>
  <c r="G49" i="112"/>
  <c r="G47" i="109"/>
  <c r="H65" i="114"/>
  <c r="G98" i="115"/>
  <c r="I49" i="110"/>
  <c r="I63" i="110" s="1"/>
  <c r="G46" i="110"/>
  <c r="H97" i="112"/>
  <c r="H61" i="109"/>
  <c r="H52" i="111"/>
  <c r="I49" i="111"/>
  <c r="I63" i="111" s="1"/>
  <c r="I48" i="113"/>
  <c r="I62" i="113" s="1"/>
  <c r="H62" i="113"/>
  <c r="I49" i="114"/>
  <c r="I63" i="114" s="1"/>
  <c r="G49" i="115"/>
  <c r="J147" i="115"/>
  <c r="J149" i="115" s="1"/>
  <c r="H64" i="113"/>
  <c r="G64" i="113" s="1"/>
  <c r="I49" i="115"/>
  <c r="I63" i="115" s="1"/>
  <c r="G49" i="109"/>
  <c r="H61" i="110"/>
  <c r="I48" i="112"/>
  <c r="I62" i="112" s="1"/>
  <c r="H61" i="112"/>
  <c r="G61" i="112" s="1"/>
  <c r="G51" i="114"/>
  <c r="H99" i="115"/>
  <c r="H165" i="115"/>
  <c r="J48" i="112"/>
  <c r="J62" i="112" s="1"/>
  <c r="J49" i="111"/>
  <c r="J63" i="111" s="1"/>
  <c r="H98" i="109"/>
  <c r="H64" i="112"/>
  <c r="G64" i="112" s="1"/>
  <c r="H98" i="112"/>
  <c r="H59" i="111"/>
  <c r="G59" i="111" s="1"/>
  <c r="H166" i="111"/>
  <c r="H149" i="112"/>
  <c r="H149" i="113"/>
  <c r="H103" i="115"/>
  <c r="I147" i="115"/>
  <c r="I149" i="115" s="1"/>
  <c r="G46" i="112"/>
  <c r="H61" i="114"/>
  <c r="I48" i="110"/>
  <c r="I62" i="110" s="1"/>
  <c r="I48" i="115"/>
  <c r="I62" i="115" s="1"/>
  <c r="G48" i="110"/>
  <c r="J48" i="111"/>
  <c r="J62" i="111" s="1"/>
  <c r="H101" i="112"/>
  <c r="G48" i="115"/>
  <c r="J48" i="110"/>
  <c r="J62" i="110" s="1"/>
  <c r="K36" i="110"/>
  <c r="J36" i="114"/>
  <c r="H7" i="110"/>
  <c r="I36" i="112"/>
  <c r="G34" i="114"/>
  <c r="G36" i="114" s="1"/>
  <c r="H7" i="115"/>
  <c r="H36" i="112"/>
  <c r="H9" i="112" s="1"/>
  <c r="Z16" i="101" s="1"/>
  <c r="G34" i="115"/>
  <c r="G36" i="115" s="1"/>
  <c r="H7" i="114"/>
  <c r="J7" i="114"/>
  <c r="K8" i="110"/>
  <c r="AC11" i="101" s="1"/>
  <c r="J36" i="112"/>
  <c r="I8" i="112"/>
  <c r="AA15" i="101" s="1"/>
  <c r="K149" i="111"/>
  <c r="I149" i="110"/>
  <c r="K147" i="110"/>
  <c r="K149" i="110" s="1"/>
  <c r="J147" i="110"/>
  <c r="J149" i="110" s="1"/>
  <c r="K149" i="115"/>
  <c r="K52" i="112"/>
  <c r="H97" i="109"/>
  <c r="G98" i="109"/>
  <c r="J7" i="111"/>
  <c r="J36" i="111"/>
  <c r="H59" i="109"/>
  <c r="I7" i="109"/>
  <c r="I36" i="109"/>
  <c r="I146" i="109"/>
  <c r="J146" i="109" s="1"/>
  <c r="J7" i="109"/>
  <c r="J36" i="109"/>
  <c r="K66" i="109"/>
  <c r="H65" i="109"/>
  <c r="K52" i="109"/>
  <c r="H9" i="111"/>
  <c r="Z14" i="101" s="1"/>
  <c r="G36" i="109"/>
  <c r="H36" i="109"/>
  <c r="H169" i="109"/>
  <c r="K36" i="109"/>
  <c r="G97" i="109"/>
  <c r="H62" i="109"/>
  <c r="J48" i="109"/>
  <c r="J62" i="109" s="1"/>
  <c r="I8" i="110"/>
  <c r="AA11" i="101" s="1"/>
  <c r="I36" i="110"/>
  <c r="H52" i="109"/>
  <c r="G45" i="109"/>
  <c r="I48" i="109"/>
  <c r="I62" i="109" s="1"/>
  <c r="J8" i="110"/>
  <c r="AB11" i="101" s="1"/>
  <c r="H98" i="111"/>
  <c r="H168" i="111"/>
  <c r="G101" i="112"/>
  <c r="H166" i="110"/>
  <c r="H170" i="110" s="1"/>
  <c r="I144" i="109"/>
  <c r="J36" i="110"/>
  <c r="K7" i="111"/>
  <c r="K52" i="110"/>
  <c r="H149" i="110"/>
  <c r="H100" i="111"/>
  <c r="H52" i="112"/>
  <c r="G45" i="112"/>
  <c r="H59" i="112"/>
  <c r="G34" i="110"/>
  <c r="G36" i="110" s="1"/>
  <c r="G49" i="110"/>
  <c r="H63" i="110"/>
  <c r="G48" i="111"/>
  <c r="H52" i="110"/>
  <c r="H65" i="111"/>
  <c r="J51" i="111"/>
  <c r="J65" i="111" s="1"/>
  <c r="G101" i="111"/>
  <c r="H101" i="111"/>
  <c r="I48" i="111"/>
  <c r="I62" i="111" s="1"/>
  <c r="I51" i="111"/>
  <c r="I65" i="111" s="1"/>
  <c r="H102" i="111"/>
  <c r="I147" i="111"/>
  <c r="I149" i="111" s="1"/>
  <c r="H165" i="111"/>
  <c r="J147" i="111"/>
  <c r="H64" i="110"/>
  <c r="G34" i="111"/>
  <c r="G36" i="111" s="1"/>
  <c r="H7" i="111"/>
  <c r="J8" i="109"/>
  <c r="AB9" i="101" s="1"/>
  <c r="H97" i="110"/>
  <c r="K9" i="111"/>
  <c r="AC14" i="101" s="1"/>
  <c r="G103" i="111"/>
  <c r="H149" i="111"/>
  <c r="H65" i="112"/>
  <c r="H99" i="113"/>
  <c r="H164" i="111"/>
  <c r="H163" i="111"/>
  <c r="K36" i="112"/>
  <c r="J8" i="113"/>
  <c r="AB17" i="101" s="1"/>
  <c r="G51" i="110"/>
  <c r="H62" i="112"/>
  <c r="G101" i="113"/>
  <c r="H103" i="112"/>
  <c r="H63" i="113"/>
  <c r="J49" i="113"/>
  <c r="J63" i="113" s="1"/>
  <c r="I49" i="113"/>
  <c r="I63" i="113" s="1"/>
  <c r="G49" i="113"/>
  <c r="H164" i="114"/>
  <c r="H59" i="110"/>
  <c r="G63" i="111"/>
  <c r="H165" i="112"/>
  <c r="G102" i="113"/>
  <c r="H60" i="113"/>
  <c r="H52" i="113"/>
  <c r="G46" i="113"/>
  <c r="K52" i="113"/>
  <c r="H166" i="112"/>
  <c r="I145" i="112"/>
  <c r="I147" i="112" s="1"/>
  <c r="G34" i="113"/>
  <c r="G36" i="113" s="1"/>
  <c r="H7" i="113"/>
  <c r="H36" i="113"/>
  <c r="G51" i="113"/>
  <c r="H65" i="113"/>
  <c r="J146" i="112"/>
  <c r="J7" i="113"/>
  <c r="J36" i="113"/>
  <c r="H98" i="113"/>
  <c r="H102" i="113"/>
  <c r="I48" i="114"/>
  <c r="I62" i="114" s="1"/>
  <c r="G48" i="114"/>
  <c r="K8" i="114"/>
  <c r="AC19" i="101" s="1"/>
  <c r="J48" i="114"/>
  <c r="J62" i="114" s="1"/>
  <c r="H52" i="114"/>
  <c r="G61" i="115"/>
  <c r="H63" i="114"/>
  <c r="H101" i="114"/>
  <c r="H165" i="113"/>
  <c r="K36" i="114"/>
  <c r="G64" i="114"/>
  <c r="G97" i="114"/>
  <c r="G103" i="115"/>
  <c r="I36" i="113"/>
  <c r="G45" i="114"/>
  <c r="J49" i="114"/>
  <c r="J63" i="114" s="1"/>
  <c r="G59" i="114"/>
  <c r="K36" i="113"/>
  <c r="H103" i="114"/>
  <c r="J8" i="114"/>
  <c r="AB19" i="101" s="1"/>
  <c r="I7" i="114"/>
  <c r="I36" i="114"/>
  <c r="H60" i="114"/>
  <c r="H52" i="115"/>
  <c r="H168" i="115"/>
  <c r="G97" i="115"/>
  <c r="G99" i="115"/>
  <c r="G101" i="115"/>
  <c r="G47" i="115"/>
  <c r="G50" i="115"/>
  <c r="H149" i="115"/>
  <c r="J36" i="115"/>
  <c r="H166" i="115"/>
  <c r="G50" i="114"/>
  <c r="K36" i="115"/>
  <c r="H168" i="113"/>
  <c r="H149" i="114"/>
  <c r="H166" i="114"/>
  <c r="G51" i="115"/>
  <c r="I8" i="115"/>
  <c r="AA21" i="101" s="1"/>
  <c r="G65" i="115"/>
  <c r="G103" i="109" l="1"/>
  <c r="G124" i="109" s="1"/>
  <c r="G101" i="109"/>
  <c r="G102" i="109"/>
  <c r="G123" i="109" s="1"/>
  <c r="G100" i="109"/>
  <c r="G99" i="109"/>
  <c r="G120" i="109" s="1"/>
  <c r="G102" i="114"/>
  <c r="G99" i="111"/>
  <c r="K145" i="113"/>
  <c r="K147" i="113" s="1"/>
  <c r="J149" i="113"/>
  <c r="G98" i="114"/>
  <c r="G61" i="110"/>
  <c r="H170" i="114"/>
  <c r="AC23" i="101"/>
  <c r="AA23" i="101"/>
  <c r="I9" i="111"/>
  <c r="AA14" i="101" s="1"/>
  <c r="AB23" i="101"/>
  <c r="H179" i="109"/>
  <c r="H177" i="109"/>
  <c r="H180" i="109"/>
  <c r="K9" i="110"/>
  <c r="AC12" i="101" s="1"/>
  <c r="I9" i="112"/>
  <c r="AA16" i="101" s="1"/>
  <c r="J9" i="112"/>
  <c r="AB16" i="101" s="1"/>
  <c r="J9" i="114"/>
  <c r="AB20" i="101" s="1"/>
  <c r="R158" i="109"/>
  <c r="G61" i="114"/>
  <c r="G62" i="111"/>
  <c r="H178" i="109"/>
  <c r="I50" i="111"/>
  <c r="I147" i="113"/>
  <c r="I149" i="113" s="1"/>
  <c r="H182" i="109"/>
  <c r="J50" i="110"/>
  <c r="J64" i="110" s="1"/>
  <c r="H183" i="109"/>
  <c r="H181" i="109"/>
  <c r="J50" i="113"/>
  <c r="K178" i="109"/>
  <c r="K179" i="109"/>
  <c r="K181" i="109"/>
  <c r="K183" i="109"/>
  <c r="K177" i="109"/>
  <c r="J183" i="109"/>
  <c r="J177" i="109"/>
  <c r="I183" i="109"/>
  <c r="I179" i="109"/>
  <c r="I178" i="109"/>
  <c r="I181" i="109"/>
  <c r="I177" i="109"/>
  <c r="I50" i="110"/>
  <c r="G52" i="111"/>
  <c r="H170" i="115"/>
  <c r="I50" i="112"/>
  <c r="I64" i="112" s="1"/>
  <c r="H170" i="113"/>
  <c r="J50" i="112"/>
  <c r="J64" i="112" s="1"/>
  <c r="G60" i="110"/>
  <c r="I50" i="114"/>
  <c r="I64" i="114" s="1"/>
  <c r="I50" i="109"/>
  <c r="I64" i="109" s="1"/>
  <c r="G65" i="114"/>
  <c r="G63" i="112"/>
  <c r="J181" i="109"/>
  <c r="J50" i="109"/>
  <c r="J178" i="109"/>
  <c r="G60" i="109"/>
  <c r="G52" i="112"/>
  <c r="G62" i="113"/>
  <c r="I50" i="113"/>
  <c r="G52" i="109"/>
  <c r="J50" i="114"/>
  <c r="J64" i="114" s="1"/>
  <c r="G61" i="109"/>
  <c r="J179" i="109"/>
  <c r="H55" i="112"/>
  <c r="G52" i="110"/>
  <c r="J50" i="111"/>
  <c r="J64" i="111" s="1"/>
  <c r="J66" i="111" s="1"/>
  <c r="H170" i="112"/>
  <c r="K147" i="114"/>
  <c r="K149" i="114" s="1"/>
  <c r="I50" i="115"/>
  <c r="I64" i="115" s="1"/>
  <c r="I66" i="115" s="1"/>
  <c r="J50" i="115"/>
  <c r="J64" i="115" s="1"/>
  <c r="J66" i="115" s="1"/>
  <c r="K9" i="115"/>
  <c r="AC22" i="101" s="1"/>
  <c r="G99" i="114"/>
  <c r="I9" i="114"/>
  <c r="AA20" i="101" s="1"/>
  <c r="G52" i="113"/>
  <c r="G97" i="111"/>
  <c r="H55" i="111"/>
  <c r="G59" i="112"/>
  <c r="J9" i="110"/>
  <c r="AB12" i="101" s="1"/>
  <c r="H55" i="115"/>
  <c r="J145" i="112"/>
  <c r="J147" i="112" s="1"/>
  <c r="G52" i="115"/>
  <c r="I149" i="112"/>
  <c r="G62" i="112"/>
  <c r="J9" i="109"/>
  <c r="AB10" i="101" s="1"/>
  <c r="G66" i="115"/>
  <c r="G65" i="113"/>
  <c r="G97" i="110"/>
  <c r="H55" i="110"/>
  <c r="I9" i="110"/>
  <c r="AA12" i="101" s="1"/>
  <c r="G98" i="113"/>
  <c r="G65" i="112"/>
  <c r="J149" i="111"/>
  <c r="G100" i="110"/>
  <c r="K9" i="114"/>
  <c r="AC20" i="101" s="1"/>
  <c r="H9" i="113"/>
  <c r="Z18" i="101" s="1"/>
  <c r="G60" i="113"/>
  <c r="K9" i="112"/>
  <c r="AC16" i="101" s="1"/>
  <c r="G63" i="110"/>
  <c r="G100" i="111"/>
  <c r="G100" i="114"/>
  <c r="G101" i="110"/>
  <c r="G101" i="114"/>
  <c r="J9" i="113"/>
  <c r="AB18" i="101" s="1"/>
  <c r="H170" i="111"/>
  <c r="G98" i="111"/>
  <c r="G103" i="114"/>
  <c r="G52" i="114"/>
  <c r="G63" i="114"/>
  <c r="H123" i="109"/>
  <c r="H110" i="109"/>
  <c r="H119" i="109"/>
  <c r="H112" i="109"/>
  <c r="H108" i="109"/>
  <c r="H121" i="109"/>
  <c r="H9" i="109"/>
  <c r="Z10" i="101" s="1"/>
  <c r="H120" i="109"/>
  <c r="H107" i="109"/>
  <c r="H118" i="109"/>
  <c r="H109" i="109"/>
  <c r="H113" i="109"/>
  <c r="H124" i="109"/>
  <c r="H111" i="109"/>
  <c r="H122" i="109"/>
  <c r="H163" i="109"/>
  <c r="H149" i="109"/>
  <c r="G59" i="110"/>
  <c r="G63" i="113"/>
  <c r="H55" i="113"/>
  <c r="G98" i="110"/>
  <c r="G99" i="113"/>
  <c r="G102" i="111"/>
  <c r="G122" i="109"/>
  <c r="G118" i="109"/>
  <c r="G113" i="109"/>
  <c r="G111" i="109"/>
  <c r="G109" i="109"/>
  <c r="G107" i="109"/>
  <c r="G121" i="109"/>
  <c r="G119" i="109"/>
  <c r="G108" i="109"/>
  <c r="G112" i="109"/>
  <c r="G110" i="109"/>
  <c r="G59" i="109"/>
  <c r="H55" i="109"/>
  <c r="K9" i="113"/>
  <c r="AC18" i="101" s="1"/>
  <c r="G64" i="110"/>
  <c r="H166" i="109"/>
  <c r="I145" i="109"/>
  <c r="J9" i="111"/>
  <c r="AB14" i="101" s="1"/>
  <c r="J9" i="115"/>
  <c r="AB22" i="101" s="1"/>
  <c r="G60" i="114"/>
  <c r="G100" i="113"/>
  <c r="I149" i="114"/>
  <c r="G65" i="111"/>
  <c r="G66" i="111" s="1"/>
  <c r="K9" i="109"/>
  <c r="AC10" i="101" s="1"/>
  <c r="G65" i="109"/>
  <c r="I9" i="109"/>
  <c r="AA10" i="101" s="1"/>
  <c r="G102" i="115"/>
  <c r="H69" i="115" s="1"/>
  <c r="I9" i="113"/>
  <c r="AA18" i="101" s="1"/>
  <c r="H55" i="114"/>
  <c r="G62" i="109"/>
  <c r="I52" i="111" l="1"/>
  <c r="I64" i="111"/>
  <c r="I69" i="111" s="1"/>
  <c r="H129" i="109"/>
  <c r="H13" i="109" s="1"/>
  <c r="I69" i="115"/>
  <c r="J52" i="113"/>
  <c r="J64" i="113"/>
  <c r="J66" i="113" s="1"/>
  <c r="I55" i="113"/>
  <c r="I64" i="113"/>
  <c r="I66" i="113" s="1"/>
  <c r="J52" i="112"/>
  <c r="I55" i="110"/>
  <c r="I64" i="110"/>
  <c r="I69" i="110" s="1"/>
  <c r="J52" i="109"/>
  <c r="J64" i="109"/>
  <c r="J66" i="109" s="1"/>
  <c r="H184" i="109"/>
  <c r="I52" i="110"/>
  <c r="AC24" i="101"/>
  <c r="AC25" i="101" s="1"/>
  <c r="Z24" i="101"/>
  <c r="AB24" i="101"/>
  <c r="AA24" i="101"/>
  <c r="AA25" i="101" s="1"/>
  <c r="I52" i="113"/>
  <c r="I180" i="109"/>
  <c r="G66" i="114"/>
  <c r="J52" i="115"/>
  <c r="K149" i="113"/>
  <c r="I55" i="112"/>
  <c r="J52" i="110"/>
  <c r="J149" i="112"/>
  <c r="J52" i="111"/>
  <c r="J52" i="114"/>
  <c r="I52" i="112"/>
  <c r="I52" i="114"/>
  <c r="I55" i="114"/>
  <c r="I55" i="111"/>
  <c r="I55" i="109"/>
  <c r="J66" i="110"/>
  <c r="I52" i="109"/>
  <c r="I66" i="112"/>
  <c r="I66" i="109"/>
  <c r="I69" i="114"/>
  <c r="I147" i="109"/>
  <c r="I149" i="109" s="1"/>
  <c r="H69" i="112"/>
  <c r="H69" i="109"/>
  <c r="I55" i="115"/>
  <c r="H69" i="114"/>
  <c r="H69" i="113"/>
  <c r="H170" i="109"/>
  <c r="I52" i="115"/>
  <c r="H134" i="109"/>
  <c r="H18" i="109" s="1"/>
  <c r="H135" i="109"/>
  <c r="H19" i="109" s="1"/>
  <c r="G125" i="109"/>
  <c r="H130" i="109"/>
  <c r="H14" i="109" s="1"/>
  <c r="H69" i="111"/>
  <c r="H133" i="109"/>
  <c r="H17" i="109" s="1"/>
  <c r="H132" i="109"/>
  <c r="H16" i="109" s="1"/>
  <c r="I66" i="111"/>
  <c r="H69" i="110"/>
  <c r="G66" i="112"/>
  <c r="J149" i="114"/>
  <c r="J145" i="109"/>
  <c r="J180" i="109" s="1"/>
  <c r="H131" i="109"/>
  <c r="H15" i="109" s="1"/>
  <c r="K145" i="112"/>
  <c r="H125" i="109"/>
  <c r="G114" i="109"/>
  <c r="H114" i="109"/>
  <c r="G66" i="110"/>
  <c r="G66" i="109"/>
  <c r="G66" i="113"/>
  <c r="I66" i="110" l="1"/>
  <c r="I107" i="109"/>
  <c r="I78" i="109"/>
  <c r="I83" i="109"/>
  <c r="I113" i="109" s="1"/>
  <c r="I80" i="109"/>
  <c r="I110" i="109" s="1"/>
  <c r="I81" i="109"/>
  <c r="I111" i="109" s="1"/>
  <c r="I82" i="109"/>
  <c r="I112" i="109" s="1"/>
  <c r="I79" i="109"/>
  <c r="I109" i="109" s="1"/>
  <c r="I83" i="111"/>
  <c r="I81" i="111"/>
  <c r="I82" i="111"/>
  <c r="I78" i="111"/>
  <c r="I79" i="111"/>
  <c r="I77" i="111"/>
  <c r="I80" i="111"/>
  <c r="I78" i="114"/>
  <c r="I82" i="114"/>
  <c r="I79" i="114"/>
  <c r="I80" i="114"/>
  <c r="I77" i="114"/>
  <c r="I81" i="114"/>
  <c r="I83" i="114"/>
  <c r="I80" i="115"/>
  <c r="I78" i="115"/>
  <c r="I79" i="115"/>
  <c r="I81" i="115"/>
  <c r="I77" i="115"/>
  <c r="I82" i="115"/>
  <c r="I83" i="115"/>
  <c r="I77" i="113"/>
  <c r="I80" i="113"/>
  <c r="I78" i="113"/>
  <c r="I79" i="113"/>
  <c r="I81" i="113"/>
  <c r="I82" i="113"/>
  <c r="I83" i="113"/>
  <c r="I83" i="112"/>
  <c r="I82" i="112"/>
  <c r="I78" i="112"/>
  <c r="I81" i="112"/>
  <c r="I77" i="112"/>
  <c r="I80" i="112"/>
  <c r="I79" i="112"/>
  <c r="I81" i="110"/>
  <c r="I77" i="110"/>
  <c r="I79" i="110"/>
  <c r="I82" i="110"/>
  <c r="I78" i="110"/>
  <c r="I80" i="110"/>
  <c r="I83" i="110"/>
  <c r="I108" i="109"/>
  <c r="J66" i="114"/>
  <c r="I182" i="109"/>
  <c r="I184" i="109" s="1"/>
  <c r="K147" i="112"/>
  <c r="K149" i="112" s="1"/>
  <c r="J147" i="109"/>
  <c r="J182" i="109" s="1"/>
  <c r="J184" i="109" s="1"/>
  <c r="K145" i="109"/>
  <c r="K180" i="109" s="1"/>
  <c r="J66" i="112"/>
  <c r="I69" i="112"/>
  <c r="I69" i="109"/>
  <c r="I66" i="114"/>
  <c r="I69" i="113"/>
  <c r="H136" i="109"/>
  <c r="J55" i="110" l="1"/>
  <c r="J77" i="110" s="1"/>
  <c r="J55" i="113"/>
  <c r="J82" i="113" s="1"/>
  <c r="J55" i="112"/>
  <c r="J77" i="112" s="1"/>
  <c r="J149" i="109"/>
  <c r="K147" i="109"/>
  <c r="K182" i="109" s="1"/>
  <c r="K184" i="109" s="1"/>
  <c r="J55" i="115"/>
  <c r="J80" i="115" s="1"/>
  <c r="J55" i="114"/>
  <c r="J78" i="114" s="1"/>
  <c r="J55" i="111"/>
  <c r="J81" i="111" s="1"/>
  <c r="J55" i="109"/>
  <c r="H20" i="109"/>
  <c r="I114" i="109"/>
  <c r="I23" i="109" s="1"/>
  <c r="J79" i="110" l="1"/>
  <c r="J83" i="110"/>
  <c r="J81" i="110"/>
  <c r="J80" i="110"/>
  <c r="J78" i="110"/>
  <c r="J82" i="110"/>
  <c r="J79" i="109"/>
  <c r="J109" i="109" s="1"/>
  <c r="J77" i="109"/>
  <c r="J80" i="113"/>
  <c r="J81" i="113"/>
  <c r="J83" i="113"/>
  <c r="J78" i="113"/>
  <c r="J77" i="113"/>
  <c r="J79" i="113"/>
  <c r="J79" i="115"/>
  <c r="J81" i="115"/>
  <c r="J77" i="115"/>
  <c r="J82" i="115"/>
  <c r="J83" i="115"/>
  <c r="J83" i="112"/>
  <c r="J78" i="112"/>
  <c r="J80" i="112"/>
  <c r="J79" i="112"/>
  <c r="J78" i="115"/>
  <c r="J81" i="112"/>
  <c r="J82" i="112"/>
  <c r="K149" i="109"/>
  <c r="J77" i="114"/>
  <c r="J80" i="114"/>
  <c r="J82" i="114"/>
  <c r="J83" i="114"/>
  <c r="J81" i="114"/>
  <c r="J79" i="114"/>
  <c r="K55" i="110"/>
  <c r="K79" i="110" s="1"/>
  <c r="J80" i="111"/>
  <c r="J77" i="111"/>
  <c r="J83" i="111"/>
  <c r="J82" i="111"/>
  <c r="J79" i="111"/>
  <c r="J78" i="111"/>
  <c r="J80" i="109"/>
  <c r="J110" i="109" s="1"/>
  <c r="J83" i="109"/>
  <c r="J113" i="109" s="1"/>
  <c r="J82" i="109"/>
  <c r="J112" i="109" s="1"/>
  <c r="J81" i="109"/>
  <c r="J111" i="109" s="1"/>
  <c r="J78" i="109"/>
  <c r="J108" i="109" s="1"/>
  <c r="K55" i="113" l="1"/>
  <c r="K80" i="113" s="1"/>
  <c r="K156" i="113" s="1"/>
  <c r="K55" i="115"/>
  <c r="K83" i="115" s="1"/>
  <c r="K55" i="109"/>
  <c r="K55" i="112"/>
  <c r="K81" i="112" s="1"/>
  <c r="K157" i="112" s="1"/>
  <c r="K55" i="114"/>
  <c r="K78" i="114" s="1"/>
  <c r="K77" i="110"/>
  <c r="K153" i="110" s="1"/>
  <c r="K82" i="110"/>
  <c r="K158" i="110" s="1"/>
  <c r="K80" i="110"/>
  <c r="K156" i="110" s="1"/>
  <c r="K78" i="110"/>
  <c r="K154" i="110" s="1"/>
  <c r="K83" i="110"/>
  <c r="K159" i="110" s="1"/>
  <c r="K81" i="110"/>
  <c r="K157" i="110" s="1"/>
  <c r="K55" i="111"/>
  <c r="K77" i="111" s="1"/>
  <c r="J107" i="109"/>
  <c r="K155" i="110"/>
  <c r="K83" i="109" l="1"/>
  <c r="K159" i="109" s="1"/>
  <c r="K77" i="109"/>
  <c r="K153" i="109" s="1"/>
  <c r="K83" i="113"/>
  <c r="K159" i="113" s="1"/>
  <c r="K169" i="113" s="1"/>
  <c r="K82" i="113"/>
  <c r="K158" i="113" s="1"/>
  <c r="J158" i="113" s="1"/>
  <c r="K78" i="113"/>
  <c r="K154" i="113" s="1"/>
  <c r="K164" i="113" s="1"/>
  <c r="K81" i="113"/>
  <c r="K157" i="113" s="1"/>
  <c r="J157" i="113" s="1"/>
  <c r="K77" i="113"/>
  <c r="K153" i="113" s="1"/>
  <c r="K163" i="113" s="1"/>
  <c r="K79" i="113"/>
  <c r="K155" i="113" s="1"/>
  <c r="K165" i="113" s="1"/>
  <c r="K81" i="115"/>
  <c r="K157" i="115" s="1"/>
  <c r="K82" i="115"/>
  <c r="K158" i="115" s="1"/>
  <c r="K79" i="115"/>
  <c r="K155" i="115" s="1"/>
  <c r="K78" i="115"/>
  <c r="K154" i="115" s="1"/>
  <c r="K77" i="115"/>
  <c r="K153" i="115" s="1"/>
  <c r="K80" i="115"/>
  <c r="K156" i="115" s="1"/>
  <c r="K77" i="112"/>
  <c r="K153" i="112" s="1"/>
  <c r="K163" i="112" s="1"/>
  <c r="K78" i="112"/>
  <c r="K154" i="112" s="1"/>
  <c r="J154" i="112" s="1"/>
  <c r="K80" i="112"/>
  <c r="K156" i="112" s="1"/>
  <c r="J156" i="112" s="1"/>
  <c r="K79" i="112"/>
  <c r="K155" i="112" s="1"/>
  <c r="J155" i="112" s="1"/>
  <c r="K82" i="112"/>
  <c r="K158" i="112" s="1"/>
  <c r="K168" i="112" s="1"/>
  <c r="K83" i="112"/>
  <c r="K159" i="112" s="1"/>
  <c r="J159" i="112" s="1"/>
  <c r="K80" i="114"/>
  <c r="K156" i="114" s="1"/>
  <c r="K79" i="114"/>
  <c r="K155" i="114" s="1"/>
  <c r="K81" i="114"/>
  <c r="K157" i="114" s="1"/>
  <c r="K83" i="114"/>
  <c r="K159" i="114" s="1"/>
  <c r="K82" i="114"/>
  <c r="K158" i="114" s="1"/>
  <c r="K77" i="114"/>
  <c r="K153" i="114" s="1"/>
  <c r="K83" i="111"/>
  <c r="K159" i="111" s="1"/>
  <c r="K78" i="111"/>
  <c r="K154" i="111" s="1"/>
  <c r="K82" i="111"/>
  <c r="K158" i="111" s="1"/>
  <c r="K81" i="111"/>
  <c r="K157" i="111" s="1"/>
  <c r="K80" i="111"/>
  <c r="K156" i="111" s="1"/>
  <c r="K79" i="111"/>
  <c r="K155" i="111" s="1"/>
  <c r="K81" i="109"/>
  <c r="K157" i="109" s="1"/>
  <c r="K80" i="109"/>
  <c r="K110" i="109" s="1"/>
  <c r="K78" i="109"/>
  <c r="K108" i="109" s="1"/>
  <c r="J114" i="109"/>
  <c r="J23" i="109" s="1"/>
  <c r="K79" i="109"/>
  <c r="K109" i="109" s="1"/>
  <c r="K82" i="109"/>
  <c r="K158" i="109" s="1"/>
  <c r="J157" i="110"/>
  <c r="K167" i="110"/>
  <c r="J156" i="110"/>
  <c r="K166" i="110"/>
  <c r="K159" i="115"/>
  <c r="J159" i="110"/>
  <c r="K169" i="110"/>
  <c r="K153" i="111"/>
  <c r="J156" i="113"/>
  <c r="K166" i="113"/>
  <c r="K168" i="110"/>
  <c r="J158" i="110"/>
  <c r="J153" i="110"/>
  <c r="K163" i="110"/>
  <c r="K154" i="114"/>
  <c r="J154" i="110"/>
  <c r="K164" i="110"/>
  <c r="J157" i="112"/>
  <c r="K167" i="112"/>
  <c r="J155" i="110"/>
  <c r="K165" i="110"/>
  <c r="K113" i="109" l="1"/>
  <c r="J159" i="113"/>
  <c r="I159" i="113" s="1"/>
  <c r="I169" i="113" s="1"/>
  <c r="J154" i="113"/>
  <c r="K167" i="113"/>
  <c r="K164" i="112"/>
  <c r="J153" i="112"/>
  <c r="I153" i="112" s="1"/>
  <c r="I163" i="112" s="1"/>
  <c r="K169" i="112"/>
  <c r="J158" i="112"/>
  <c r="J168" i="112" s="1"/>
  <c r="K166" i="112"/>
  <c r="K165" i="112"/>
  <c r="K168" i="113"/>
  <c r="K111" i="109"/>
  <c r="K107" i="109"/>
  <c r="K156" i="109"/>
  <c r="J156" i="109" s="1"/>
  <c r="K112" i="109"/>
  <c r="K155" i="109"/>
  <c r="J155" i="109" s="1"/>
  <c r="K154" i="109"/>
  <c r="K164" i="109" s="1"/>
  <c r="J153" i="113"/>
  <c r="J163" i="113" s="1"/>
  <c r="J155" i="113"/>
  <c r="I155" i="113" s="1"/>
  <c r="I165" i="113" s="1"/>
  <c r="I158" i="110"/>
  <c r="I168" i="110" s="1"/>
  <c r="J168" i="110"/>
  <c r="J158" i="115"/>
  <c r="K168" i="115"/>
  <c r="I159" i="110"/>
  <c r="I169" i="110" s="1"/>
  <c r="J169" i="110"/>
  <c r="J154" i="115"/>
  <c r="K164" i="115"/>
  <c r="I157" i="112"/>
  <c r="I167" i="112" s="1"/>
  <c r="J167" i="112"/>
  <c r="J159" i="111"/>
  <c r="K169" i="111"/>
  <c r="J155" i="111"/>
  <c r="K165" i="111"/>
  <c r="J153" i="109"/>
  <c r="K163" i="109"/>
  <c r="I155" i="112"/>
  <c r="I165" i="112" s="1"/>
  <c r="J165" i="112"/>
  <c r="M110" i="109"/>
  <c r="J156" i="115"/>
  <c r="K166" i="115"/>
  <c r="J157" i="114"/>
  <c r="K167" i="114"/>
  <c r="I154" i="112"/>
  <c r="I164" i="112" s="1"/>
  <c r="J164" i="112"/>
  <c r="J169" i="113"/>
  <c r="J158" i="114"/>
  <c r="K168" i="114"/>
  <c r="I156" i="112"/>
  <c r="I166" i="112" s="1"/>
  <c r="J166" i="112"/>
  <c r="J158" i="111"/>
  <c r="K168" i="111"/>
  <c r="I159" i="112"/>
  <c r="I169" i="112" s="1"/>
  <c r="J169" i="112"/>
  <c r="J155" i="114"/>
  <c r="K165" i="114"/>
  <c r="I155" i="110"/>
  <c r="I165" i="110" s="1"/>
  <c r="J165" i="110"/>
  <c r="J154" i="114"/>
  <c r="K164" i="114"/>
  <c r="J155" i="115"/>
  <c r="K165" i="115"/>
  <c r="M113" i="109"/>
  <c r="J156" i="114"/>
  <c r="K166" i="114"/>
  <c r="K170" i="110"/>
  <c r="M109" i="109"/>
  <c r="J159" i="109"/>
  <c r="K169" i="109"/>
  <c r="J153" i="111"/>
  <c r="K163" i="111"/>
  <c r="I154" i="113"/>
  <c r="I164" i="113" s="1"/>
  <c r="J164" i="113"/>
  <c r="J159" i="115"/>
  <c r="K169" i="115"/>
  <c r="I157" i="110"/>
  <c r="I167" i="110" s="1"/>
  <c r="J167" i="110"/>
  <c r="I158" i="113"/>
  <c r="I168" i="113" s="1"/>
  <c r="J168" i="113"/>
  <c r="I154" i="110"/>
  <c r="I164" i="110" s="1"/>
  <c r="J164" i="110"/>
  <c r="I153" i="110"/>
  <c r="I163" i="110" s="1"/>
  <c r="J163" i="110"/>
  <c r="J158" i="109"/>
  <c r="K168" i="109"/>
  <c r="J154" i="111"/>
  <c r="K164" i="111"/>
  <c r="M108" i="109"/>
  <c r="J159" i="114"/>
  <c r="K169" i="114"/>
  <c r="J157" i="115"/>
  <c r="K167" i="115"/>
  <c r="J157" i="109"/>
  <c r="K167" i="109"/>
  <c r="I156" i="113"/>
  <c r="I166" i="113" s="1"/>
  <c r="J166" i="113"/>
  <c r="J157" i="111"/>
  <c r="K167" i="111"/>
  <c r="J156" i="111"/>
  <c r="K166" i="111"/>
  <c r="I157" i="113"/>
  <c r="I167" i="113" s="1"/>
  <c r="J167" i="113"/>
  <c r="J153" i="115"/>
  <c r="K163" i="115"/>
  <c r="I156" i="110"/>
  <c r="I166" i="110" s="1"/>
  <c r="J166" i="110"/>
  <c r="J153" i="114"/>
  <c r="K163" i="114"/>
  <c r="K170" i="113" l="1"/>
  <c r="J163" i="112"/>
  <c r="J170" i="112" s="1"/>
  <c r="I158" i="112"/>
  <c r="I168" i="112" s="1"/>
  <c r="I170" i="112" s="1"/>
  <c r="K170" i="112"/>
  <c r="M112" i="109"/>
  <c r="J165" i="113"/>
  <c r="J170" i="113" s="1"/>
  <c r="I153" i="113"/>
  <c r="I163" i="113" s="1"/>
  <c r="I170" i="113" s="1"/>
  <c r="M107" i="109"/>
  <c r="M111" i="109"/>
  <c r="K114" i="109"/>
  <c r="K23" i="109" s="1"/>
  <c r="K165" i="109"/>
  <c r="J154" i="109"/>
  <c r="J164" i="109" s="1"/>
  <c r="K166" i="109"/>
  <c r="K170" i="115"/>
  <c r="I159" i="111"/>
  <c r="I169" i="111" s="1"/>
  <c r="J169" i="111"/>
  <c r="I157" i="111"/>
  <c r="I167" i="111" s="1"/>
  <c r="J167" i="111"/>
  <c r="I159" i="114"/>
  <c r="I169" i="114" s="1"/>
  <c r="J169" i="114"/>
  <c r="I154" i="111"/>
  <c r="I164" i="111" s="1"/>
  <c r="J164" i="111"/>
  <c r="I159" i="115"/>
  <c r="I169" i="115" s="1"/>
  <c r="J169" i="115"/>
  <c r="I157" i="114"/>
  <c r="I167" i="114" s="1"/>
  <c r="J167" i="114"/>
  <c r="K170" i="114"/>
  <c r="I158" i="109"/>
  <c r="I168" i="109" s="1"/>
  <c r="J168" i="109"/>
  <c r="J168" i="111"/>
  <c r="I158" i="111"/>
  <c r="I168" i="111" s="1"/>
  <c r="I156" i="115"/>
  <c r="I166" i="115" s="1"/>
  <c r="J166" i="115"/>
  <c r="I154" i="115"/>
  <c r="I164" i="115" s="1"/>
  <c r="J164" i="115"/>
  <c r="I157" i="115"/>
  <c r="I167" i="115" s="1"/>
  <c r="J167" i="115"/>
  <c r="I153" i="114"/>
  <c r="I163" i="114" s="1"/>
  <c r="J163" i="114"/>
  <c r="J170" i="110"/>
  <c r="K170" i="111"/>
  <c r="I155" i="115"/>
  <c r="I165" i="115" s="1"/>
  <c r="J165" i="115"/>
  <c r="I170" i="110"/>
  <c r="I153" i="111"/>
  <c r="I163" i="111" s="1"/>
  <c r="J163" i="111"/>
  <c r="I153" i="109"/>
  <c r="I163" i="109" s="1"/>
  <c r="J163" i="109"/>
  <c r="I156" i="111"/>
  <c r="I166" i="111" s="1"/>
  <c r="J166" i="111"/>
  <c r="I159" i="109"/>
  <c r="I169" i="109" s="1"/>
  <c r="J169" i="109"/>
  <c r="I156" i="114"/>
  <c r="I166" i="114" s="1"/>
  <c r="J166" i="114"/>
  <c r="I158" i="114"/>
  <c r="I168" i="114" s="1"/>
  <c r="J168" i="114"/>
  <c r="I156" i="109"/>
  <c r="I166" i="109" s="1"/>
  <c r="J166" i="109"/>
  <c r="I155" i="111"/>
  <c r="I165" i="111" s="1"/>
  <c r="J165" i="111"/>
  <c r="I153" i="115"/>
  <c r="I163" i="115" s="1"/>
  <c r="J163" i="115"/>
  <c r="I154" i="114"/>
  <c r="I164" i="114" s="1"/>
  <c r="J164" i="114"/>
  <c r="I155" i="114"/>
  <c r="I165" i="114" s="1"/>
  <c r="J165" i="114"/>
  <c r="I157" i="109"/>
  <c r="I167" i="109" s="1"/>
  <c r="J167" i="109"/>
  <c r="I155" i="109"/>
  <c r="I165" i="109" s="1"/>
  <c r="J165" i="109"/>
  <c r="I158" i="115"/>
  <c r="I168" i="115" s="1"/>
  <c r="J168" i="115"/>
  <c r="I154" i="109" l="1"/>
  <c r="I164" i="109" s="1"/>
  <c r="M114" i="109"/>
  <c r="K170" i="109"/>
  <c r="J170" i="114"/>
  <c r="I170" i="114"/>
  <c r="J170" i="109"/>
  <c r="J170" i="111"/>
  <c r="J170" i="115"/>
  <c r="I170" i="111"/>
  <c r="I170" i="115"/>
  <c r="I170" i="109" l="1"/>
  <c r="F73" i="103" l="1"/>
  <c r="F73" i="108"/>
  <c r="F73" i="107"/>
  <c r="F73" i="106"/>
  <c r="F73" i="105"/>
  <c r="F73" i="104"/>
  <c r="H143" i="103" l="1"/>
  <c r="I143" i="103" s="1"/>
  <c r="J143" i="103" s="1"/>
  <c r="K143" i="103" s="1"/>
  <c r="H144" i="103"/>
  <c r="I144" i="103" s="1"/>
  <c r="J144" i="103" s="1"/>
  <c r="K144" i="103" s="1"/>
  <c r="H145" i="103"/>
  <c r="I145" i="103" s="1"/>
  <c r="J145" i="103" s="1"/>
  <c r="K145" i="103" s="1"/>
  <c r="H146" i="103"/>
  <c r="I146" i="103" s="1"/>
  <c r="J146" i="103" s="1"/>
  <c r="K146" i="103" s="1"/>
  <c r="H147" i="103"/>
  <c r="I147" i="103" s="1"/>
  <c r="J147" i="103" s="1"/>
  <c r="K147" i="103" s="1"/>
  <c r="H148" i="103"/>
  <c r="I148" i="103" s="1"/>
  <c r="J148" i="103" s="1"/>
  <c r="K148" i="103" s="1"/>
  <c r="H142" i="103"/>
  <c r="I142" i="103" s="1"/>
  <c r="J142" i="103" s="1"/>
  <c r="K142" i="103" s="1"/>
  <c r="H143" i="108"/>
  <c r="I143" i="108" s="1"/>
  <c r="J143" i="108" s="1"/>
  <c r="K143" i="108" s="1"/>
  <c r="H144" i="108"/>
  <c r="I144" i="108" s="1"/>
  <c r="J144" i="108" s="1"/>
  <c r="K144" i="108" s="1"/>
  <c r="H145" i="108"/>
  <c r="I145" i="108" s="1"/>
  <c r="J145" i="108" s="1"/>
  <c r="K145" i="108" s="1"/>
  <c r="H146" i="108"/>
  <c r="I146" i="108" s="1"/>
  <c r="J146" i="108" s="1"/>
  <c r="K146" i="108" s="1"/>
  <c r="H147" i="108"/>
  <c r="I147" i="108" s="1"/>
  <c r="J147" i="108" s="1"/>
  <c r="K147" i="108" s="1"/>
  <c r="H148" i="108"/>
  <c r="I148" i="108" s="1"/>
  <c r="J148" i="108" s="1"/>
  <c r="K148" i="108" s="1"/>
  <c r="H142" i="108"/>
  <c r="I142" i="108" s="1"/>
  <c r="J142" i="108" s="1"/>
  <c r="K142" i="108" s="1"/>
  <c r="H143" i="107"/>
  <c r="I143" i="107" s="1"/>
  <c r="J143" i="107" s="1"/>
  <c r="K143" i="107" s="1"/>
  <c r="H144" i="107"/>
  <c r="I144" i="107" s="1"/>
  <c r="J144" i="107" s="1"/>
  <c r="K144" i="107" s="1"/>
  <c r="H145" i="107"/>
  <c r="I145" i="107" s="1"/>
  <c r="J145" i="107" s="1"/>
  <c r="K145" i="107" s="1"/>
  <c r="H146" i="107"/>
  <c r="I146" i="107" s="1"/>
  <c r="J146" i="107" s="1"/>
  <c r="K146" i="107" s="1"/>
  <c r="H147" i="107"/>
  <c r="I147" i="107" s="1"/>
  <c r="J147" i="107" s="1"/>
  <c r="K147" i="107" s="1"/>
  <c r="H148" i="107"/>
  <c r="I148" i="107" s="1"/>
  <c r="J148" i="107" s="1"/>
  <c r="K148" i="107" s="1"/>
  <c r="H142" i="107"/>
  <c r="I142" i="107" s="1"/>
  <c r="J142" i="107" s="1"/>
  <c r="K142" i="107" s="1"/>
  <c r="H143" i="106"/>
  <c r="I143" i="106" s="1"/>
  <c r="J143" i="106" s="1"/>
  <c r="K143" i="106" s="1"/>
  <c r="H144" i="106"/>
  <c r="I144" i="106" s="1"/>
  <c r="J144" i="106" s="1"/>
  <c r="K144" i="106" s="1"/>
  <c r="H145" i="106"/>
  <c r="I145" i="106" s="1"/>
  <c r="J145" i="106" s="1"/>
  <c r="K145" i="106" s="1"/>
  <c r="H146" i="106"/>
  <c r="I146" i="106" s="1"/>
  <c r="J146" i="106" s="1"/>
  <c r="K146" i="106" s="1"/>
  <c r="H147" i="106"/>
  <c r="I147" i="106" s="1"/>
  <c r="J147" i="106" s="1"/>
  <c r="K147" i="106" s="1"/>
  <c r="H148" i="106"/>
  <c r="I148" i="106" s="1"/>
  <c r="J148" i="106" s="1"/>
  <c r="K148" i="106" s="1"/>
  <c r="H142" i="106"/>
  <c r="I142" i="106" s="1"/>
  <c r="J142" i="106" s="1"/>
  <c r="K142" i="106" s="1"/>
  <c r="H143" i="105"/>
  <c r="I143" i="105" s="1"/>
  <c r="J143" i="105" s="1"/>
  <c r="K143" i="105" s="1"/>
  <c r="H144" i="105"/>
  <c r="I144" i="105" s="1"/>
  <c r="J144" i="105" s="1"/>
  <c r="K144" i="105" s="1"/>
  <c r="H145" i="105"/>
  <c r="I145" i="105" s="1"/>
  <c r="J145" i="105" s="1"/>
  <c r="K145" i="105" s="1"/>
  <c r="H146" i="105"/>
  <c r="I146" i="105" s="1"/>
  <c r="J146" i="105" s="1"/>
  <c r="K146" i="105" s="1"/>
  <c r="H147" i="105"/>
  <c r="I147" i="105" s="1"/>
  <c r="J147" i="105" s="1"/>
  <c r="K147" i="105" s="1"/>
  <c r="H148" i="105"/>
  <c r="I148" i="105" s="1"/>
  <c r="J148" i="105" s="1"/>
  <c r="K148" i="105" s="1"/>
  <c r="H142" i="105"/>
  <c r="I142" i="105" s="1"/>
  <c r="J142" i="105" s="1"/>
  <c r="K142" i="105" s="1"/>
  <c r="H78" i="103"/>
  <c r="H98" i="103" s="1"/>
  <c r="H79" i="103"/>
  <c r="H80" i="103"/>
  <c r="H81" i="103"/>
  <c r="H82" i="103"/>
  <c r="H83" i="103"/>
  <c r="H77" i="103"/>
  <c r="H78" i="108"/>
  <c r="H98" i="108" s="1"/>
  <c r="H79" i="108"/>
  <c r="G79" i="108" s="1"/>
  <c r="H80" i="108"/>
  <c r="H81" i="108"/>
  <c r="G81" i="108" s="1"/>
  <c r="H82" i="108"/>
  <c r="H102" i="108" s="1"/>
  <c r="H83" i="108"/>
  <c r="G83" i="108" s="1"/>
  <c r="H77" i="108"/>
  <c r="G77" i="108" s="1"/>
  <c r="H78" i="107"/>
  <c r="G78" i="107" s="1"/>
  <c r="H79" i="107"/>
  <c r="H80" i="107"/>
  <c r="H81" i="107"/>
  <c r="H101" i="107" s="1"/>
  <c r="H82" i="107"/>
  <c r="H102" i="107" s="1"/>
  <c r="H83" i="107"/>
  <c r="H77" i="107"/>
  <c r="H97" i="107" s="1"/>
  <c r="H78" i="106"/>
  <c r="H79" i="106"/>
  <c r="H99" i="106" s="1"/>
  <c r="H80" i="106"/>
  <c r="G80" i="106" s="1"/>
  <c r="H81" i="106"/>
  <c r="H101" i="106" s="1"/>
  <c r="H82" i="106"/>
  <c r="H83" i="106"/>
  <c r="H77" i="106"/>
  <c r="H97" i="106" s="1"/>
  <c r="H78" i="105"/>
  <c r="H79" i="105"/>
  <c r="H99" i="105" s="1"/>
  <c r="H80" i="105"/>
  <c r="H81" i="105"/>
  <c r="H82" i="105"/>
  <c r="H83" i="105"/>
  <c r="G83" i="105" s="1"/>
  <c r="H77" i="105"/>
  <c r="H97" i="105" s="1"/>
  <c r="H78" i="104"/>
  <c r="G78" i="104" s="1"/>
  <c r="H79" i="104"/>
  <c r="H99" i="104" s="1"/>
  <c r="H80" i="104"/>
  <c r="H81" i="104"/>
  <c r="H82" i="104"/>
  <c r="H83" i="104"/>
  <c r="H77" i="104"/>
  <c r="G77" i="104" s="1"/>
  <c r="H46" i="103"/>
  <c r="H47" i="103"/>
  <c r="H48" i="103"/>
  <c r="H49" i="103"/>
  <c r="H50" i="103"/>
  <c r="H51" i="103"/>
  <c r="J51" i="103" s="1"/>
  <c r="H45" i="103"/>
  <c r="G45" i="103" s="1"/>
  <c r="H46" i="108"/>
  <c r="H47" i="108"/>
  <c r="J47" i="108" s="1"/>
  <c r="H48" i="108"/>
  <c r="H49" i="108"/>
  <c r="H50" i="108"/>
  <c r="J50" i="108" s="1"/>
  <c r="H51" i="108"/>
  <c r="H45" i="108"/>
  <c r="J45" i="108" s="1"/>
  <c r="H46" i="107"/>
  <c r="H47" i="107"/>
  <c r="H48" i="107"/>
  <c r="J48" i="107" s="1"/>
  <c r="H49" i="107"/>
  <c r="J49" i="107" s="1"/>
  <c r="H50" i="107"/>
  <c r="H64" i="107" s="1"/>
  <c r="I64" i="107" s="1"/>
  <c r="H51" i="107"/>
  <c r="H45" i="107"/>
  <c r="H46" i="106"/>
  <c r="H47" i="106"/>
  <c r="H48" i="106"/>
  <c r="H49" i="106"/>
  <c r="H50" i="106"/>
  <c r="H51" i="106"/>
  <c r="J51" i="106" s="1"/>
  <c r="H45" i="106"/>
  <c r="H46" i="105"/>
  <c r="J46" i="105" s="1"/>
  <c r="H47" i="105"/>
  <c r="J47" i="105" s="1"/>
  <c r="H48" i="105"/>
  <c r="J48" i="105" s="1"/>
  <c r="H49" i="105"/>
  <c r="H50" i="105"/>
  <c r="H51" i="105"/>
  <c r="H45" i="105"/>
  <c r="H46" i="104"/>
  <c r="H47" i="104"/>
  <c r="H48" i="104"/>
  <c r="H49" i="104"/>
  <c r="H50" i="104"/>
  <c r="H51" i="104"/>
  <c r="H45" i="104"/>
  <c r="G45" i="104" s="1"/>
  <c r="J35" i="103"/>
  <c r="J36" i="103" s="1"/>
  <c r="J9" i="103" s="1"/>
  <c r="E22" i="101" s="1"/>
  <c r="K35" i="103"/>
  <c r="I35" i="103"/>
  <c r="I34" i="103"/>
  <c r="J34" i="103"/>
  <c r="K34" i="103"/>
  <c r="H34" i="103"/>
  <c r="G34" i="103" s="1"/>
  <c r="G36" i="103" s="1"/>
  <c r="J35" i="108"/>
  <c r="J8" i="108" s="1"/>
  <c r="E19" i="101" s="1"/>
  <c r="K35" i="108"/>
  <c r="I35" i="108"/>
  <c r="I8" i="108" s="1"/>
  <c r="D19" i="101" s="1"/>
  <c r="I34" i="108"/>
  <c r="I7" i="108" s="1"/>
  <c r="J34" i="108"/>
  <c r="J7" i="108" s="1"/>
  <c r="K34" i="108"/>
  <c r="K7" i="108" s="1"/>
  <c r="H34" i="108"/>
  <c r="J35" i="107"/>
  <c r="K35" i="107"/>
  <c r="K8" i="107" s="1"/>
  <c r="F17" i="101" s="1"/>
  <c r="I35" i="107"/>
  <c r="I34" i="107"/>
  <c r="J34" i="107"/>
  <c r="J7" i="107" s="1"/>
  <c r="K34" i="107"/>
  <c r="K7" i="107" s="1"/>
  <c r="H34" i="107"/>
  <c r="G34" i="107" s="1"/>
  <c r="G36" i="107" s="1"/>
  <c r="J35" i="106"/>
  <c r="J8" i="106" s="1"/>
  <c r="E15" i="101" s="1"/>
  <c r="K35" i="106"/>
  <c r="K8" i="106" s="1"/>
  <c r="F15" i="101" s="1"/>
  <c r="I35" i="106"/>
  <c r="I8" i="106" s="1"/>
  <c r="D15" i="101" s="1"/>
  <c r="I34" i="106"/>
  <c r="I7" i="106" s="1"/>
  <c r="J34" i="106"/>
  <c r="K34" i="106"/>
  <c r="K7" i="106" s="1"/>
  <c r="H34" i="106"/>
  <c r="H36" i="106" s="1"/>
  <c r="H9" i="106" s="1"/>
  <c r="C16" i="101" s="1"/>
  <c r="J35" i="105"/>
  <c r="K35" i="105"/>
  <c r="K8" i="105" s="1"/>
  <c r="F13" i="101" s="1"/>
  <c r="I35" i="105"/>
  <c r="I8" i="105" s="1"/>
  <c r="D13" i="101" s="1"/>
  <c r="I34" i="105"/>
  <c r="J34" i="105"/>
  <c r="K34" i="105"/>
  <c r="H34" i="105"/>
  <c r="G34" i="105" s="1"/>
  <c r="G36" i="105" s="1"/>
  <c r="J35" i="104"/>
  <c r="J8" i="104" s="1"/>
  <c r="E11" i="101" s="1"/>
  <c r="K35" i="104"/>
  <c r="K8" i="104" s="1"/>
  <c r="F11" i="101" s="1"/>
  <c r="I35" i="104"/>
  <c r="I34" i="104"/>
  <c r="I7" i="104" s="1"/>
  <c r="J34" i="104"/>
  <c r="J7" i="104" s="1"/>
  <c r="K34" i="104"/>
  <c r="K7" i="104" s="1"/>
  <c r="H34" i="104"/>
  <c r="H8" i="104"/>
  <c r="C11" i="101" s="1"/>
  <c r="I8" i="104"/>
  <c r="D11" i="101" s="1"/>
  <c r="H100" i="108"/>
  <c r="G80" i="108"/>
  <c r="G100" i="108" s="1"/>
  <c r="G78" i="108"/>
  <c r="K66" i="108"/>
  <c r="K52" i="108"/>
  <c r="J51" i="108"/>
  <c r="H65" i="108"/>
  <c r="J49" i="108"/>
  <c r="G49" i="108"/>
  <c r="J48" i="108"/>
  <c r="H62" i="108"/>
  <c r="J46" i="108"/>
  <c r="H60" i="108"/>
  <c r="G46" i="108"/>
  <c r="H8" i="108"/>
  <c r="C19" i="101" s="1"/>
  <c r="H103" i="107"/>
  <c r="G83" i="107"/>
  <c r="G103" i="107" s="1"/>
  <c r="G81" i="107"/>
  <c r="G80" i="107"/>
  <c r="H99" i="107"/>
  <c r="K66" i="107"/>
  <c r="H61" i="107"/>
  <c r="I61" i="107" s="1"/>
  <c r="K52" i="107"/>
  <c r="G51" i="107"/>
  <c r="I47" i="107"/>
  <c r="G47" i="107"/>
  <c r="J46" i="107"/>
  <c r="H36" i="107"/>
  <c r="H7" i="107"/>
  <c r="H8" i="107"/>
  <c r="C17" i="101" s="1"/>
  <c r="I7" i="107"/>
  <c r="H103" i="106"/>
  <c r="H102" i="106"/>
  <c r="G82" i="106"/>
  <c r="H98" i="106"/>
  <c r="G78" i="106"/>
  <c r="K66" i="106"/>
  <c r="H65" i="106"/>
  <c r="J65" i="106" s="1"/>
  <c r="H62" i="106"/>
  <c r="J62" i="106" s="1"/>
  <c r="H59" i="106"/>
  <c r="J59" i="106" s="1"/>
  <c r="K52" i="106"/>
  <c r="H169" i="106"/>
  <c r="H168" i="106"/>
  <c r="J49" i="106"/>
  <c r="J48" i="106"/>
  <c r="I48" i="106"/>
  <c r="H164" i="106"/>
  <c r="J45" i="106"/>
  <c r="I45" i="106"/>
  <c r="J7" i="106"/>
  <c r="H8" i="106"/>
  <c r="C15" i="101" s="1"/>
  <c r="H164" i="105"/>
  <c r="H101" i="105"/>
  <c r="G81" i="105"/>
  <c r="H100" i="105"/>
  <c r="G80" i="105"/>
  <c r="G100" i="105" s="1"/>
  <c r="G79" i="105"/>
  <c r="H98" i="105"/>
  <c r="G78" i="105"/>
  <c r="K66" i="105"/>
  <c r="H63" i="105"/>
  <c r="K52" i="105"/>
  <c r="J51" i="105"/>
  <c r="J50" i="105"/>
  <c r="J49" i="105"/>
  <c r="I49" i="105"/>
  <c r="G49" i="105"/>
  <c r="J36" i="105"/>
  <c r="I7" i="105"/>
  <c r="H8" i="105"/>
  <c r="C13" i="101" s="1"/>
  <c r="J7" i="105"/>
  <c r="H169" i="104"/>
  <c r="H103" i="104"/>
  <c r="H102" i="104"/>
  <c r="H101" i="104"/>
  <c r="H100" i="104"/>
  <c r="G83" i="104"/>
  <c r="G82" i="104"/>
  <c r="G102" i="104" s="1"/>
  <c r="G81" i="104"/>
  <c r="G80" i="104"/>
  <c r="G100" i="104" s="1"/>
  <c r="K66" i="104"/>
  <c r="H63" i="104"/>
  <c r="H60" i="104"/>
  <c r="K52" i="104"/>
  <c r="J51" i="104"/>
  <c r="G51" i="104"/>
  <c r="J49" i="104"/>
  <c r="I49" i="104"/>
  <c r="G49" i="104"/>
  <c r="J48" i="104"/>
  <c r="G48" i="104"/>
  <c r="J46" i="104"/>
  <c r="I46" i="104"/>
  <c r="H36" i="104"/>
  <c r="H169" i="103"/>
  <c r="H166" i="103"/>
  <c r="H103" i="103"/>
  <c r="H101" i="103"/>
  <c r="H100" i="103"/>
  <c r="H99" i="103"/>
  <c r="G83" i="103"/>
  <c r="G103" i="103" s="1"/>
  <c r="G82" i="103"/>
  <c r="G81" i="103"/>
  <c r="G80" i="103"/>
  <c r="G100" i="103" s="1"/>
  <c r="G79" i="103"/>
  <c r="G99" i="103" s="1"/>
  <c r="G77" i="103"/>
  <c r="G97" i="103" s="1"/>
  <c r="K66" i="103"/>
  <c r="H62" i="103"/>
  <c r="G62" i="103" s="1"/>
  <c r="H61" i="103"/>
  <c r="G61" i="103" s="1"/>
  <c r="K52" i="103"/>
  <c r="G50" i="103"/>
  <c r="J49" i="103"/>
  <c r="I49" i="103"/>
  <c r="G49" i="103"/>
  <c r="J48" i="103"/>
  <c r="G48" i="103"/>
  <c r="J47" i="103"/>
  <c r="G47" i="103"/>
  <c r="H8" i="103"/>
  <c r="C21" i="101" s="1"/>
  <c r="K7" i="103"/>
  <c r="J7" i="103"/>
  <c r="H7" i="103"/>
  <c r="I36" i="107" l="1"/>
  <c r="I9" i="107" s="1"/>
  <c r="D18" i="101" s="1"/>
  <c r="H7" i="105"/>
  <c r="H103" i="105"/>
  <c r="H97" i="104"/>
  <c r="I36" i="105"/>
  <c r="I9" i="105" s="1"/>
  <c r="D14" i="101" s="1"/>
  <c r="H36" i="103"/>
  <c r="J36" i="107"/>
  <c r="J8" i="107"/>
  <c r="E17" i="101" s="1"/>
  <c r="I36" i="103"/>
  <c r="I36" i="104"/>
  <c r="I9" i="104" s="1"/>
  <c r="D12" i="101" s="1"/>
  <c r="I8" i="107"/>
  <c r="D17" i="101" s="1"/>
  <c r="J36" i="104"/>
  <c r="J9" i="104" s="1"/>
  <c r="E12" i="101" s="1"/>
  <c r="H169" i="105"/>
  <c r="I45" i="103"/>
  <c r="H60" i="105"/>
  <c r="G79" i="106"/>
  <c r="G99" i="106" s="1"/>
  <c r="G48" i="107"/>
  <c r="G78" i="103"/>
  <c r="G98" i="103" s="1"/>
  <c r="G79" i="104"/>
  <c r="G99" i="104" s="1"/>
  <c r="G46" i="105"/>
  <c r="G50" i="107"/>
  <c r="I46" i="105"/>
  <c r="G77" i="105"/>
  <c r="G97" i="105" s="1"/>
  <c r="I51" i="106"/>
  <c r="I50" i="107"/>
  <c r="H169" i="107"/>
  <c r="I61" i="103"/>
  <c r="J61" i="103"/>
  <c r="I51" i="103"/>
  <c r="H98" i="104"/>
  <c r="J61" i="107"/>
  <c r="G82" i="108"/>
  <c r="G102" i="108" s="1"/>
  <c r="H65" i="103"/>
  <c r="G65" i="103" s="1"/>
  <c r="G51" i="103"/>
  <c r="H7" i="104"/>
  <c r="G34" i="104"/>
  <c r="G36" i="104" s="1"/>
  <c r="H7" i="106"/>
  <c r="G34" i="106"/>
  <c r="G36" i="106" s="1"/>
  <c r="H7" i="108"/>
  <c r="G34" i="108"/>
  <c r="G36" i="108" s="1"/>
  <c r="G82" i="107"/>
  <c r="H98" i="107"/>
  <c r="H167" i="103"/>
  <c r="J64" i="107"/>
  <c r="H52" i="107"/>
  <c r="G45" i="107"/>
  <c r="K36" i="103"/>
  <c r="K9" i="103" s="1"/>
  <c r="F22" i="101" s="1"/>
  <c r="K36" i="107"/>
  <c r="K9" i="107" s="1"/>
  <c r="F18" i="101" s="1"/>
  <c r="K36" i="106"/>
  <c r="K9" i="106" s="1"/>
  <c r="F16" i="101" s="1"/>
  <c r="G100" i="106"/>
  <c r="I36" i="106"/>
  <c r="H165" i="106"/>
  <c r="J36" i="106"/>
  <c r="I47" i="106"/>
  <c r="I50" i="106"/>
  <c r="H61" i="106"/>
  <c r="H64" i="106"/>
  <c r="G83" i="106"/>
  <c r="G100" i="107"/>
  <c r="J52" i="108"/>
  <c r="J47" i="106"/>
  <c r="J50" i="106"/>
  <c r="G98" i="106"/>
  <c r="G102" i="106"/>
  <c r="H9" i="107"/>
  <c r="C18" i="101" s="1"/>
  <c r="G101" i="107"/>
  <c r="G103" i="108"/>
  <c r="J60" i="108"/>
  <c r="I60" i="108"/>
  <c r="G60" i="108"/>
  <c r="G45" i="106"/>
  <c r="G48" i="106"/>
  <c r="G51" i="106"/>
  <c r="G81" i="106"/>
  <c r="H100" i="106"/>
  <c r="H168" i="107"/>
  <c r="I62" i="108"/>
  <c r="G62" i="108"/>
  <c r="J62" i="108"/>
  <c r="H163" i="106"/>
  <c r="H166" i="106"/>
  <c r="G59" i="106"/>
  <c r="G62" i="106"/>
  <c r="G65" i="106"/>
  <c r="H149" i="106"/>
  <c r="I62" i="106"/>
  <c r="H167" i="108"/>
  <c r="I59" i="106"/>
  <c r="I65" i="106"/>
  <c r="G46" i="106"/>
  <c r="G49" i="106"/>
  <c r="G77" i="106"/>
  <c r="H100" i="107"/>
  <c r="G99" i="108"/>
  <c r="I46" i="106"/>
  <c r="I49" i="106"/>
  <c r="H60" i="106"/>
  <c r="H63" i="106"/>
  <c r="H165" i="107"/>
  <c r="H163" i="108"/>
  <c r="I65" i="108"/>
  <c r="G65" i="108"/>
  <c r="J65" i="108"/>
  <c r="H52" i="106"/>
  <c r="J46" i="106"/>
  <c r="G98" i="107"/>
  <c r="G47" i="106"/>
  <c r="G50" i="106"/>
  <c r="G101" i="108"/>
  <c r="J9" i="107"/>
  <c r="E18" i="101" s="1"/>
  <c r="G61" i="107"/>
  <c r="G64" i="107"/>
  <c r="H149" i="108"/>
  <c r="H52" i="108"/>
  <c r="G97" i="108"/>
  <c r="J47" i="107"/>
  <c r="J50" i="107"/>
  <c r="G102" i="107"/>
  <c r="K8" i="108"/>
  <c r="F19" i="101" s="1"/>
  <c r="I46" i="108"/>
  <c r="I49" i="108"/>
  <c r="H63" i="108"/>
  <c r="H97" i="108"/>
  <c r="H99" i="108"/>
  <c r="H101" i="108"/>
  <c r="H103" i="108"/>
  <c r="H169" i="108"/>
  <c r="H36" i="108"/>
  <c r="G47" i="108"/>
  <c r="G50" i="108"/>
  <c r="I45" i="107"/>
  <c r="I48" i="107"/>
  <c r="I51" i="107"/>
  <c r="H59" i="107"/>
  <c r="H62" i="107"/>
  <c r="H65" i="107"/>
  <c r="G79" i="107"/>
  <c r="I36" i="108"/>
  <c r="J45" i="107"/>
  <c r="J51" i="107"/>
  <c r="J36" i="108"/>
  <c r="I47" i="108"/>
  <c r="I50" i="108"/>
  <c r="H61" i="108"/>
  <c r="H64" i="108"/>
  <c r="G46" i="107"/>
  <c r="G49" i="107"/>
  <c r="G77" i="107"/>
  <c r="K36" i="108"/>
  <c r="G98" i="108"/>
  <c r="G45" i="108"/>
  <c r="G48" i="108"/>
  <c r="G51" i="108"/>
  <c r="I46" i="107"/>
  <c r="I49" i="107"/>
  <c r="H60" i="107"/>
  <c r="H63" i="107"/>
  <c r="I45" i="108"/>
  <c r="I48" i="108"/>
  <c r="I51" i="108"/>
  <c r="H59" i="108"/>
  <c r="G47" i="104"/>
  <c r="H61" i="104"/>
  <c r="I47" i="104"/>
  <c r="G97" i="104"/>
  <c r="H102" i="105"/>
  <c r="G82" i="105"/>
  <c r="J47" i="104"/>
  <c r="G101" i="104"/>
  <c r="G103" i="105"/>
  <c r="H165" i="105"/>
  <c r="J60" i="105"/>
  <c r="I60" i="105"/>
  <c r="G60" i="105"/>
  <c r="H166" i="104"/>
  <c r="J9" i="105"/>
  <c r="E14" i="101" s="1"/>
  <c r="H164" i="104"/>
  <c r="K7" i="105"/>
  <c r="K36" i="105"/>
  <c r="J63" i="105"/>
  <c r="I63" i="105"/>
  <c r="G63" i="105"/>
  <c r="G99" i="105"/>
  <c r="J63" i="104"/>
  <c r="G63" i="104"/>
  <c r="H163" i="105"/>
  <c r="I63" i="104"/>
  <c r="H9" i="104"/>
  <c r="C12" i="101" s="1"/>
  <c r="G103" i="104"/>
  <c r="G98" i="104"/>
  <c r="K36" i="104"/>
  <c r="G50" i="104"/>
  <c r="H64" i="104"/>
  <c r="I50" i="104"/>
  <c r="J8" i="105"/>
  <c r="E13" i="101" s="1"/>
  <c r="G101" i="105"/>
  <c r="J60" i="104"/>
  <c r="G60" i="104"/>
  <c r="I60" i="104"/>
  <c r="H52" i="104"/>
  <c r="J50" i="104"/>
  <c r="H168" i="105"/>
  <c r="H52" i="105"/>
  <c r="H36" i="105"/>
  <c r="G47" i="105"/>
  <c r="G50" i="105"/>
  <c r="H149" i="105"/>
  <c r="I48" i="104"/>
  <c r="I51" i="104"/>
  <c r="H59" i="104"/>
  <c r="H62" i="104"/>
  <c r="H65" i="104"/>
  <c r="J45" i="104"/>
  <c r="I47" i="105"/>
  <c r="I50" i="105"/>
  <c r="H61" i="105"/>
  <c r="H64" i="105"/>
  <c r="G46" i="104"/>
  <c r="G98" i="105"/>
  <c r="I45" i="104"/>
  <c r="G45" i="105"/>
  <c r="G48" i="105"/>
  <c r="G51" i="105"/>
  <c r="H167" i="105"/>
  <c r="I45" i="105"/>
  <c r="I48" i="105"/>
  <c r="I51" i="105"/>
  <c r="H59" i="105"/>
  <c r="H62" i="105"/>
  <c r="H65" i="105"/>
  <c r="J45" i="105"/>
  <c r="J52" i="105" s="1"/>
  <c r="G102" i="103"/>
  <c r="H9" i="103"/>
  <c r="C22" i="101" s="1"/>
  <c r="I9" i="103"/>
  <c r="D22" i="101" s="1"/>
  <c r="I8" i="103"/>
  <c r="D21" i="101" s="1"/>
  <c r="I47" i="103"/>
  <c r="H59" i="103"/>
  <c r="H63" i="103"/>
  <c r="G46" i="103"/>
  <c r="G52" i="103" s="1"/>
  <c r="H168" i="103"/>
  <c r="I50" i="103"/>
  <c r="J62" i="103"/>
  <c r="I62" i="103"/>
  <c r="I7" i="103"/>
  <c r="J50" i="103"/>
  <c r="J46" i="103"/>
  <c r="H60" i="103"/>
  <c r="G101" i="103"/>
  <c r="J8" i="103"/>
  <c r="E21" i="101" s="1"/>
  <c r="H97" i="103"/>
  <c r="K8" i="103"/>
  <c r="F21" i="101" s="1"/>
  <c r="I48" i="103"/>
  <c r="H64" i="103"/>
  <c r="H102" i="103"/>
  <c r="I46" i="103"/>
  <c r="H52" i="103"/>
  <c r="J45" i="103"/>
  <c r="M21" i="100"/>
  <c r="F25" i="100"/>
  <c r="G25" i="100"/>
  <c r="H25" i="100"/>
  <c r="J25" i="100"/>
  <c r="K25" i="100"/>
  <c r="L25" i="100"/>
  <c r="G24" i="100"/>
  <c r="H24" i="100"/>
  <c r="J24" i="100"/>
  <c r="K24" i="100"/>
  <c r="L24" i="100"/>
  <c r="G73" i="35"/>
  <c r="H34" i="35"/>
  <c r="K35" i="35"/>
  <c r="K8" i="35" s="1"/>
  <c r="F9" i="101" s="1"/>
  <c r="J35" i="35"/>
  <c r="J8" i="35" s="1"/>
  <c r="E9" i="101" s="1"/>
  <c r="I35" i="35"/>
  <c r="I8" i="35" s="1"/>
  <c r="D9" i="101" s="1"/>
  <c r="K34" i="35"/>
  <c r="J34" i="35"/>
  <c r="I34" i="35"/>
  <c r="D23" i="101" l="1"/>
  <c r="E23" i="101"/>
  <c r="F23" i="101"/>
  <c r="M20" i="100"/>
  <c r="M19" i="100"/>
  <c r="M12" i="100"/>
  <c r="D17" i="116" s="1"/>
  <c r="M13" i="100"/>
  <c r="D17" i="117" s="1"/>
  <c r="H28" i="100"/>
  <c r="G73" i="112"/>
  <c r="G73" i="115"/>
  <c r="L28" i="100"/>
  <c r="H73" i="115" s="1"/>
  <c r="G73" i="114"/>
  <c r="K28" i="100"/>
  <c r="H73" i="114" s="1"/>
  <c r="G73" i="113"/>
  <c r="J28" i="100"/>
  <c r="H73" i="113" s="1"/>
  <c r="J36" i="35"/>
  <c r="J9" i="35" s="1"/>
  <c r="E10" i="101" s="1"/>
  <c r="G52" i="107"/>
  <c r="I65" i="103"/>
  <c r="J65" i="103"/>
  <c r="H36" i="35"/>
  <c r="G34" i="35"/>
  <c r="G36" i="35" s="1"/>
  <c r="K36" i="35"/>
  <c r="K9" i="35" s="1"/>
  <c r="F10" i="101" s="1"/>
  <c r="G73" i="111"/>
  <c r="G28" i="100"/>
  <c r="H73" i="111" s="1"/>
  <c r="F28" i="100"/>
  <c r="H73" i="110" s="1"/>
  <c r="G73" i="110"/>
  <c r="J27" i="100"/>
  <c r="H73" i="107" s="1"/>
  <c r="G73" i="107"/>
  <c r="H27" i="100"/>
  <c r="G73" i="106"/>
  <c r="G27" i="100"/>
  <c r="H73" i="105" s="1"/>
  <c r="G122" i="105" s="1"/>
  <c r="G73" i="105"/>
  <c r="F27" i="100"/>
  <c r="H73" i="104" s="1"/>
  <c r="G73" i="104"/>
  <c r="K27" i="100"/>
  <c r="H73" i="108" s="1"/>
  <c r="G109" i="108" s="1"/>
  <c r="G73" i="108"/>
  <c r="L27" i="100"/>
  <c r="H73" i="103" s="1"/>
  <c r="G73" i="103"/>
  <c r="K149" i="106"/>
  <c r="J52" i="103"/>
  <c r="I52" i="106"/>
  <c r="J52" i="104"/>
  <c r="I52" i="103"/>
  <c r="H55" i="108"/>
  <c r="I52" i="108"/>
  <c r="J52" i="106"/>
  <c r="H55" i="105"/>
  <c r="I52" i="104"/>
  <c r="G52" i="104"/>
  <c r="I55" i="108"/>
  <c r="J52" i="107"/>
  <c r="H165" i="108"/>
  <c r="H168" i="108"/>
  <c r="G52" i="106"/>
  <c r="G103" i="106"/>
  <c r="H163" i="107"/>
  <c r="H149" i="107"/>
  <c r="H167" i="107"/>
  <c r="J59" i="107"/>
  <c r="I59" i="107"/>
  <c r="G59" i="107"/>
  <c r="I59" i="108"/>
  <c r="G59" i="108"/>
  <c r="J59" i="108"/>
  <c r="I63" i="107"/>
  <c r="G63" i="107"/>
  <c r="J63" i="107"/>
  <c r="I52" i="107"/>
  <c r="I55" i="107"/>
  <c r="I77" i="107" s="1"/>
  <c r="H164" i="108"/>
  <c r="J64" i="106"/>
  <c r="I64" i="106"/>
  <c r="G64" i="106"/>
  <c r="J61" i="106"/>
  <c r="I61" i="106"/>
  <c r="G61" i="106"/>
  <c r="J62" i="107"/>
  <c r="I62" i="107"/>
  <c r="G62" i="107"/>
  <c r="I60" i="107"/>
  <c r="G60" i="107"/>
  <c r="J60" i="107"/>
  <c r="J64" i="108"/>
  <c r="I64" i="108"/>
  <c r="G64" i="108"/>
  <c r="J61" i="108"/>
  <c r="I61" i="108"/>
  <c r="G61" i="108"/>
  <c r="H166" i="108"/>
  <c r="J63" i="106"/>
  <c r="I63" i="106"/>
  <c r="G63" i="106"/>
  <c r="I55" i="106"/>
  <c r="I83" i="106" s="1"/>
  <c r="I9" i="106"/>
  <c r="D16" i="101" s="1"/>
  <c r="J60" i="106"/>
  <c r="I60" i="106"/>
  <c r="G60" i="106"/>
  <c r="K9" i="108"/>
  <c r="F20" i="101" s="1"/>
  <c r="H166" i="107"/>
  <c r="H167" i="106"/>
  <c r="H170" i="106" s="1"/>
  <c r="H164" i="107"/>
  <c r="J9" i="108"/>
  <c r="E20" i="101" s="1"/>
  <c r="I9" i="108"/>
  <c r="D20" i="101" s="1"/>
  <c r="H9" i="108"/>
  <c r="C20" i="101" s="1"/>
  <c r="J63" i="108"/>
  <c r="I63" i="108"/>
  <c r="G63" i="108"/>
  <c r="G97" i="106"/>
  <c r="H55" i="106"/>
  <c r="J9" i="106"/>
  <c r="E16" i="101" s="1"/>
  <c r="G97" i="107"/>
  <c r="H55" i="107"/>
  <c r="G99" i="107"/>
  <c r="G52" i="108"/>
  <c r="J65" i="107"/>
  <c r="I65" i="107"/>
  <c r="G65" i="107"/>
  <c r="G101" i="106"/>
  <c r="H168" i="104"/>
  <c r="J61" i="105"/>
  <c r="I61" i="105"/>
  <c r="G61" i="105"/>
  <c r="H55" i="104"/>
  <c r="K9" i="105"/>
  <c r="F14" i="101" s="1"/>
  <c r="G52" i="105"/>
  <c r="J64" i="104"/>
  <c r="I64" i="104"/>
  <c r="G64" i="104"/>
  <c r="H163" i="104"/>
  <c r="H149" i="104"/>
  <c r="H9" i="105"/>
  <c r="C14" i="101" s="1"/>
  <c r="I55" i="105"/>
  <c r="I52" i="105"/>
  <c r="J65" i="104"/>
  <c r="I65" i="104"/>
  <c r="G65" i="104"/>
  <c r="J62" i="104"/>
  <c r="I62" i="104"/>
  <c r="G62" i="104"/>
  <c r="I55" i="104"/>
  <c r="J59" i="104"/>
  <c r="I59" i="104"/>
  <c r="G59" i="104"/>
  <c r="K9" i="104"/>
  <c r="F12" i="101" s="1"/>
  <c r="I61" i="104"/>
  <c r="G61" i="104"/>
  <c r="J61" i="104"/>
  <c r="H166" i="105"/>
  <c r="H170" i="105" s="1"/>
  <c r="I65" i="105"/>
  <c r="G65" i="105"/>
  <c r="J65" i="105"/>
  <c r="H167" i="104"/>
  <c r="I62" i="105"/>
  <c r="G62" i="105"/>
  <c r="J62" i="105"/>
  <c r="H165" i="104"/>
  <c r="I59" i="105"/>
  <c r="G59" i="105"/>
  <c r="J59" i="105"/>
  <c r="J64" i="105"/>
  <c r="I64" i="105"/>
  <c r="G64" i="105"/>
  <c r="G102" i="105"/>
  <c r="H149" i="103"/>
  <c r="H163" i="103"/>
  <c r="K149" i="103"/>
  <c r="J64" i="103"/>
  <c r="I64" i="103"/>
  <c r="G64" i="103"/>
  <c r="H55" i="103"/>
  <c r="J60" i="103"/>
  <c r="I60" i="103"/>
  <c r="G60" i="103"/>
  <c r="J63" i="103"/>
  <c r="I63" i="103"/>
  <c r="G63" i="103"/>
  <c r="J59" i="103"/>
  <c r="I59" i="103"/>
  <c r="G59" i="103"/>
  <c r="H164" i="103"/>
  <c r="I55" i="103"/>
  <c r="H165" i="103"/>
  <c r="M25" i="100"/>
  <c r="E17" i="117" s="1"/>
  <c r="M15" i="100"/>
  <c r="M17" i="100"/>
  <c r="I36" i="35"/>
  <c r="I9" i="35" s="1"/>
  <c r="D10" i="101" s="1"/>
  <c r="M24" i="100"/>
  <c r="E17" i="116" s="1"/>
  <c r="K7" i="35"/>
  <c r="J7" i="35"/>
  <c r="I7" i="35"/>
  <c r="K66" i="35"/>
  <c r="K52" i="35"/>
  <c r="D24" i="101" l="1"/>
  <c r="G120" i="107"/>
  <c r="M28" i="100"/>
  <c r="F17" i="117" s="1"/>
  <c r="G118" i="108"/>
  <c r="K181" i="113"/>
  <c r="H180" i="113"/>
  <c r="K179" i="113"/>
  <c r="H182" i="113"/>
  <c r="K178" i="113"/>
  <c r="J177" i="113"/>
  <c r="I177" i="113"/>
  <c r="J183" i="113"/>
  <c r="I183" i="113"/>
  <c r="H179" i="113"/>
  <c r="J179" i="113"/>
  <c r="I179" i="113"/>
  <c r="J178" i="113"/>
  <c r="I178" i="113"/>
  <c r="H177" i="113"/>
  <c r="H183" i="113"/>
  <c r="H181" i="113"/>
  <c r="K177" i="113"/>
  <c r="H178" i="113"/>
  <c r="K183" i="113"/>
  <c r="K180" i="113"/>
  <c r="I181" i="113"/>
  <c r="J181" i="113"/>
  <c r="J180" i="113"/>
  <c r="J182" i="113"/>
  <c r="K182" i="113"/>
  <c r="I180" i="113"/>
  <c r="I182" i="113"/>
  <c r="H180" i="114"/>
  <c r="H177" i="114"/>
  <c r="K183" i="114"/>
  <c r="I179" i="114"/>
  <c r="I183" i="114"/>
  <c r="H181" i="114"/>
  <c r="I177" i="114"/>
  <c r="H182" i="114"/>
  <c r="H178" i="114"/>
  <c r="J180" i="114"/>
  <c r="K182" i="114"/>
  <c r="K181" i="114"/>
  <c r="K180" i="114"/>
  <c r="J177" i="114"/>
  <c r="K179" i="114"/>
  <c r="I180" i="114"/>
  <c r="H179" i="114"/>
  <c r="K178" i="114"/>
  <c r="H183" i="114"/>
  <c r="K177" i="114"/>
  <c r="I178" i="114"/>
  <c r="J178" i="114"/>
  <c r="I181" i="114"/>
  <c r="J179" i="114"/>
  <c r="J181" i="114"/>
  <c r="J183" i="114"/>
  <c r="J182" i="114"/>
  <c r="I182" i="114"/>
  <c r="H182" i="115"/>
  <c r="H177" i="115"/>
  <c r="H179" i="115"/>
  <c r="H178" i="115"/>
  <c r="I183" i="115"/>
  <c r="I181" i="115"/>
  <c r="H183" i="115"/>
  <c r="I177" i="115"/>
  <c r="K182" i="115"/>
  <c r="I179" i="115"/>
  <c r="K177" i="115"/>
  <c r="I178" i="115"/>
  <c r="K181" i="115"/>
  <c r="K180" i="115"/>
  <c r="H180" i="115"/>
  <c r="J183" i="115"/>
  <c r="K179" i="115"/>
  <c r="I180" i="115"/>
  <c r="J177" i="115"/>
  <c r="K178" i="115"/>
  <c r="J180" i="115"/>
  <c r="J179" i="115"/>
  <c r="H181" i="115"/>
  <c r="J178" i="115"/>
  <c r="K183" i="115"/>
  <c r="I182" i="115"/>
  <c r="J181" i="115"/>
  <c r="J182" i="115"/>
  <c r="H181" i="110"/>
  <c r="K179" i="110"/>
  <c r="H180" i="110"/>
  <c r="J177" i="110"/>
  <c r="K178" i="110"/>
  <c r="K180" i="110"/>
  <c r="J179" i="110"/>
  <c r="I177" i="110"/>
  <c r="H183" i="110"/>
  <c r="H182" i="110"/>
  <c r="I179" i="110"/>
  <c r="I180" i="110"/>
  <c r="H178" i="110"/>
  <c r="J180" i="110"/>
  <c r="K183" i="110"/>
  <c r="H179" i="110"/>
  <c r="I183" i="110"/>
  <c r="H177" i="110"/>
  <c r="K182" i="110"/>
  <c r="J183" i="110"/>
  <c r="K177" i="110"/>
  <c r="K181" i="110"/>
  <c r="I178" i="110"/>
  <c r="I181" i="110"/>
  <c r="I182" i="110"/>
  <c r="J181" i="110"/>
  <c r="J178" i="110"/>
  <c r="J182" i="110"/>
  <c r="H178" i="111"/>
  <c r="I177" i="111"/>
  <c r="K178" i="111"/>
  <c r="J178" i="111"/>
  <c r="J177" i="111"/>
  <c r="J181" i="111"/>
  <c r="J179" i="111"/>
  <c r="K180" i="111"/>
  <c r="K182" i="111"/>
  <c r="I178" i="111"/>
  <c r="H181" i="111"/>
  <c r="I179" i="111"/>
  <c r="H180" i="111"/>
  <c r="H177" i="111"/>
  <c r="H179" i="111"/>
  <c r="I180" i="111"/>
  <c r="H182" i="111"/>
  <c r="I181" i="111"/>
  <c r="J180" i="111"/>
  <c r="K179" i="111"/>
  <c r="K177" i="111"/>
  <c r="H183" i="111"/>
  <c r="K183" i="111"/>
  <c r="K181" i="111"/>
  <c r="I182" i="111"/>
  <c r="J182" i="111"/>
  <c r="J183" i="111"/>
  <c r="I183" i="111"/>
  <c r="F24" i="101"/>
  <c r="E24" i="101"/>
  <c r="G111" i="107"/>
  <c r="G122" i="107"/>
  <c r="H121" i="107"/>
  <c r="G119" i="107"/>
  <c r="G108" i="107"/>
  <c r="G113" i="105"/>
  <c r="H73" i="106"/>
  <c r="G121" i="106" s="1"/>
  <c r="H123" i="113"/>
  <c r="H113" i="113"/>
  <c r="G112" i="113"/>
  <c r="H120" i="113"/>
  <c r="H119" i="113"/>
  <c r="H109" i="113"/>
  <c r="G110" i="113"/>
  <c r="H112" i="113"/>
  <c r="G108" i="113"/>
  <c r="G113" i="113"/>
  <c r="H108" i="113"/>
  <c r="G124" i="113"/>
  <c r="H122" i="113"/>
  <c r="G122" i="113"/>
  <c r="H111" i="113"/>
  <c r="H118" i="113"/>
  <c r="G118" i="113"/>
  <c r="H107" i="113"/>
  <c r="G111" i="113"/>
  <c r="G109" i="113"/>
  <c r="H124" i="113"/>
  <c r="G123" i="113"/>
  <c r="H121" i="113"/>
  <c r="H110" i="113"/>
  <c r="G107" i="113"/>
  <c r="G120" i="113"/>
  <c r="G119" i="113"/>
  <c r="G121" i="113"/>
  <c r="I113" i="113"/>
  <c r="I107" i="113"/>
  <c r="I108" i="113"/>
  <c r="I110" i="113"/>
  <c r="I111" i="113"/>
  <c r="I112" i="113"/>
  <c r="I109" i="113"/>
  <c r="J112" i="113"/>
  <c r="J107" i="113"/>
  <c r="J110" i="113"/>
  <c r="J113" i="113"/>
  <c r="J108" i="113"/>
  <c r="J109" i="113"/>
  <c r="J111" i="113"/>
  <c r="K110" i="113"/>
  <c r="K112" i="113"/>
  <c r="K107" i="113"/>
  <c r="K111" i="113"/>
  <c r="K109" i="113"/>
  <c r="K113" i="113"/>
  <c r="K108" i="113"/>
  <c r="H118" i="114"/>
  <c r="H110" i="114"/>
  <c r="H113" i="114"/>
  <c r="H111" i="114"/>
  <c r="H109" i="114"/>
  <c r="H112" i="114"/>
  <c r="H120" i="114"/>
  <c r="H107" i="114"/>
  <c r="H108" i="114"/>
  <c r="H123" i="114"/>
  <c r="H121" i="114"/>
  <c r="H119" i="114"/>
  <c r="H124" i="114"/>
  <c r="G108" i="114"/>
  <c r="G111" i="114"/>
  <c r="G112" i="114"/>
  <c r="G109" i="114"/>
  <c r="H122" i="114"/>
  <c r="G107" i="114"/>
  <c r="G123" i="114"/>
  <c r="G110" i="114"/>
  <c r="G118" i="114"/>
  <c r="G113" i="114"/>
  <c r="G119" i="114"/>
  <c r="G120" i="114"/>
  <c r="G122" i="114"/>
  <c r="G124" i="114"/>
  <c r="G121" i="114"/>
  <c r="I107" i="114"/>
  <c r="I110" i="114"/>
  <c r="I108" i="114"/>
  <c r="I113" i="114"/>
  <c r="I112" i="114"/>
  <c r="I111" i="114"/>
  <c r="I109" i="114"/>
  <c r="J111" i="114"/>
  <c r="J108" i="114"/>
  <c r="J110" i="114"/>
  <c r="J112" i="114"/>
  <c r="J109" i="114"/>
  <c r="J107" i="114"/>
  <c r="J113" i="114"/>
  <c r="K111" i="114"/>
  <c r="K112" i="114"/>
  <c r="K113" i="114"/>
  <c r="K109" i="114"/>
  <c r="K107" i="114"/>
  <c r="K108" i="114"/>
  <c r="K110" i="114"/>
  <c r="H122" i="115"/>
  <c r="H107" i="115"/>
  <c r="H112" i="115"/>
  <c r="H119" i="115"/>
  <c r="H123" i="115"/>
  <c r="H109" i="115"/>
  <c r="H120" i="115"/>
  <c r="H108" i="115"/>
  <c r="H111" i="115"/>
  <c r="H110" i="115"/>
  <c r="H113" i="115"/>
  <c r="H118" i="115"/>
  <c r="H121" i="115"/>
  <c r="G119" i="115"/>
  <c r="G110" i="115"/>
  <c r="G124" i="115"/>
  <c r="G118" i="115"/>
  <c r="G109" i="115"/>
  <c r="H124" i="115"/>
  <c r="G108" i="115"/>
  <c r="G112" i="115"/>
  <c r="G113" i="115"/>
  <c r="G111" i="115"/>
  <c r="G107" i="115"/>
  <c r="G122" i="115"/>
  <c r="G121" i="115"/>
  <c r="G120" i="115"/>
  <c r="G123" i="115"/>
  <c r="I112" i="115"/>
  <c r="I107" i="115"/>
  <c r="I109" i="115"/>
  <c r="I110" i="115"/>
  <c r="I111" i="115"/>
  <c r="I108" i="115"/>
  <c r="I113" i="115"/>
  <c r="J109" i="115"/>
  <c r="J113" i="115"/>
  <c r="J110" i="115"/>
  <c r="J108" i="115"/>
  <c r="J112" i="115"/>
  <c r="J107" i="115"/>
  <c r="J111" i="115"/>
  <c r="K112" i="115"/>
  <c r="K107" i="115"/>
  <c r="K111" i="115"/>
  <c r="K109" i="115"/>
  <c r="K108" i="115"/>
  <c r="K113" i="115"/>
  <c r="K110" i="115"/>
  <c r="H73" i="112"/>
  <c r="H121" i="105"/>
  <c r="H121" i="108"/>
  <c r="J25" i="117"/>
  <c r="J51" i="117"/>
  <c r="H69" i="105"/>
  <c r="G66" i="106"/>
  <c r="G119" i="103"/>
  <c r="G121" i="107"/>
  <c r="G123" i="107"/>
  <c r="G109" i="104"/>
  <c r="G109" i="106"/>
  <c r="G107" i="108"/>
  <c r="H123" i="108"/>
  <c r="G120" i="108"/>
  <c r="H123" i="105"/>
  <c r="H110" i="105"/>
  <c r="H112" i="105"/>
  <c r="H124" i="105"/>
  <c r="G112" i="104"/>
  <c r="G123" i="105"/>
  <c r="G119" i="104"/>
  <c r="H111" i="105"/>
  <c r="G123" i="104"/>
  <c r="G124" i="104"/>
  <c r="H113" i="105"/>
  <c r="G120" i="104"/>
  <c r="H118" i="105"/>
  <c r="G118" i="104"/>
  <c r="H122" i="105"/>
  <c r="G107" i="105"/>
  <c r="G109" i="105"/>
  <c r="G108" i="104"/>
  <c r="G121" i="105"/>
  <c r="H109" i="110"/>
  <c r="H123" i="110"/>
  <c r="H107" i="110"/>
  <c r="H121" i="110"/>
  <c r="H119" i="110"/>
  <c r="H112" i="110"/>
  <c r="H110" i="110"/>
  <c r="H108" i="110"/>
  <c r="H120" i="110"/>
  <c r="H124" i="110"/>
  <c r="H122" i="110"/>
  <c r="H113" i="110"/>
  <c r="H111" i="110"/>
  <c r="G119" i="110"/>
  <c r="G107" i="110"/>
  <c r="G123" i="110"/>
  <c r="G112" i="110"/>
  <c r="G124" i="110"/>
  <c r="G108" i="110"/>
  <c r="H118" i="110"/>
  <c r="G122" i="110"/>
  <c r="G120" i="110"/>
  <c r="G118" i="110"/>
  <c r="G113" i="110"/>
  <c r="G111" i="110"/>
  <c r="G109" i="110"/>
  <c r="G110" i="110"/>
  <c r="I107" i="110"/>
  <c r="I111" i="110"/>
  <c r="I109" i="110"/>
  <c r="I112" i="110"/>
  <c r="I110" i="110"/>
  <c r="I113" i="110"/>
  <c r="G121" i="110"/>
  <c r="I108" i="110"/>
  <c r="J109" i="110"/>
  <c r="J107" i="110"/>
  <c r="J111" i="110"/>
  <c r="J113" i="110"/>
  <c r="J110" i="110"/>
  <c r="J112" i="110"/>
  <c r="J108" i="110"/>
  <c r="K108" i="110"/>
  <c r="K107" i="110"/>
  <c r="K113" i="110"/>
  <c r="K112" i="110"/>
  <c r="K109" i="110"/>
  <c r="K110" i="110"/>
  <c r="K111" i="110"/>
  <c r="H112" i="111"/>
  <c r="H108" i="111"/>
  <c r="H124" i="111"/>
  <c r="H120" i="111"/>
  <c r="H118" i="111"/>
  <c r="H113" i="111"/>
  <c r="H111" i="111"/>
  <c r="H109" i="111"/>
  <c r="H110" i="111"/>
  <c r="H119" i="111"/>
  <c r="H107" i="111"/>
  <c r="G118" i="111"/>
  <c r="G108" i="111"/>
  <c r="H122" i="111"/>
  <c r="G113" i="111"/>
  <c r="H123" i="111"/>
  <c r="G111" i="111"/>
  <c r="G123" i="111"/>
  <c r="G109" i="111"/>
  <c r="G120" i="111"/>
  <c r="G121" i="111"/>
  <c r="G107" i="111"/>
  <c r="G119" i="111"/>
  <c r="G124" i="111"/>
  <c r="H121" i="111"/>
  <c r="G112" i="111"/>
  <c r="G110" i="111"/>
  <c r="G122" i="111"/>
  <c r="I110" i="111"/>
  <c r="I113" i="111"/>
  <c r="I111" i="111"/>
  <c r="I107" i="111"/>
  <c r="I112" i="111"/>
  <c r="I109" i="111"/>
  <c r="I108" i="111"/>
  <c r="J110" i="111"/>
  <c r="J109" i="111"/>
  <c r="J107" i="111"/>
  <c r="J108" i="111"/>
  <c r="J111" i="111"/>
  <c r="J112" i="111"/>
  <c r="J113" i="111"/>
  <c r="K107" i="111"/>
  <c r="K112" i="111"/>
  <c r="K113" i="111"/>
  <c r="K109" i="111"/>
  <c r="K108" i="111"/>
  <c r="K111" i="111"/>
  <c r="K110" i="111"/>
  <c r="H108" i="105"/>
  <c r="H120" i="105"/>
  <c r="H119" i="105"/>
  <c r="G120" i="105"/>
  <c r="G118" i="105"/>
  <c r="G112" i="105"/>
  <c r="G119" i="105"/>
  <c r="G124" i="105"/>
  <c r="H107" i="105"/>
  <c r="G110" i="105"/>
  <c r="H109" i="105"/>
  <c r="H107" i="108"/>
  <c r="G119" i="108"/>
  <c r="G110" i="108"/>
  <c r="H109" i="108"/>
  <c r="G121" i="108"/>
  <c r="H111" i="108"/>
  <c r="H123" i="103"/>
  <c r="H113" i="108"/>
  <c r="H118" i="108"/>
  <c r="G112" i="108"/>
  <c r="H108" i="108"/>
  <c r="H120" i="108"/>
  <c r="G123" i="108"/>
  <c r="H110" i="108"/>
  <c r="H122" i="108"/>
  <c r="H112" i="108"/>
  <c r="H124" i="108"/>
  <c r="G113" i="108"/>
  <c r="G108" i="103"/>
  <c r="H119" i="108"/>
  <c r="G124" i="108"/>
  <c r="G122" i="103"/>
  <c r="G122" i="104"/>
  <c r="G111" i="105"/>
  <c r="G108" i="105"/>
  <c r="G111" i="108"/>
  <c r="G108" i="108"/>
  <c r="H124" i="106"/>
  <c r="H110" i="106"/>
  <c r="H120" i="106"/>
  <c r="H109" i="104"/>
  <c r="H120" i="104"/>
  <c r="H110" i="104"/>
  <c r="H121" i="104"/>
  <c r="H118" i="104"/>
  <c r="G121" i="104"/>
  <c r="H108" i="104"/>
  <c r="G110" i="104"/>
  <c r="G107" i="104"/>
  <c r="H111" i="104"/>
  <c r="H123" i="104"/>
  <c r="H119" i="104"/>
  <c r="G111" i="104"/>
  <c r="H124" i="104"/>
  <c r="G113" i="104"/>
  <c r="H107" i="104"/>
  <c r="H112" i="104"/>
  <c r="H122" i="104"/>
  <c r="H113" i="104"/>
  <c r="G113" i="103"/>
  <c r="H122" i="103"/>
  <c r="G123" i="103"/>
  <c r="H108" i="103"/>
  <c r="G109" i="103"/>
  <c r="H113" i="103"/>
  <c r="G121" i="103"/>
  <c r="G112" i="103"/>
  <c r="H107" i="103"/>
  <c r="G110" i="103"/>
  <c r="H119" i="103"/>
  <c r="G124" i="103"/>
  <c r="H110" i="103"/>
  <c r="G107" i="103"/>
  <c r="H118" i="103"/>
  <c r="G118" i="103"/>
  <c r="H109" i="103"/>
  <c r="H124" i="103"/>
  <c r="H120" i="103"/>
  <c r="H121" i="103"/>
  <c r="G111" i="103"/>
  <c r="H111" i="103"/>
  <c r="H112" i="103"/>
  <c r="G120" i="103"/>
  <c r="G122" i="108"/>
  <c r="G107" i="107"/>
  <c r="H113" i="107"/>
  <c r="H111" i="107"/>
  <c r="G109" i="107"/>
  <c r="H107" i="107"/>
  <c r="H109" i="107"/>
  <c r="H123" i="107"/>
  <c r="G112" i="107"/>
  <c r="G110" i="107"/>
  <c r="H119" i="107"/>
  <c r="H112" i="107"/>
  <c r="G124" i="107"/>
  <c r="H110" i="107"/>
  <c r="G113" i="107"/>
  <c r="H118" i="107"/>
  <c r="H108" i="107"/>
  <c r="H124" i="107"/>
  <c r="H122" i="107"/>
  <c r="H120" i="107"/>
  <c r="H170" i="108"/>
  <c r="I149" i="105"/>
  <c r="I79" i="107"/>
  <c r="I109" i="107" s="1"/>
  <c r="G66" i="103"/>
  <c r="I69" i="103"/>
  <c r="I69" i="108"/>
  <c r="H69" i="108"/>
  <c r="I69" i="106"/>
  <c r="J66" i="106"/>
  <c r="H69" i="106"/>
  <c r="I77" i="106"/>
  <c r="I81" i="106"/>
  <c r="I82" i="108"/>
  <c r="I112" i="108" s="1"/>
  <c r="I83" i="108"/>
  <c r="I113" i="108" s="1"/>
  <c r="I77" i="108"/>
  <c r="I80" i="108"/>
  <c r="I110" i="108" s="1"/>
  <c r="I78" i="108"/>
  <c r="I108" i="108" s="1"/>
  <c r="I79" i="108"/>
  <c r="I109" i="108" s="1"/>
  <c r="I81" i="108"/>
  <c r="I111" i="108" s="1"/>
  <c r="H69" i="107"/>
  <c r="G118" i="107"/>
  <c r="H170" i="107"/>
  <c r="I66" i="106"/>
  <c r="I107" i="107"/>
  <c r="J66" i="108"/>
  <c r="I149" i="108"/>
  <c r="G66" i="108"/>
  <c r="I66" i="108"/>
  <c r="I78" i="106"/>
  <c r="I79" i="106"/>
  <c r="I80" i="106"/>
  <c r="I110" i="106" s="1"/>
  <c r="I82" i="106"/>
  <c r="G66" i="107"/>
  <c r="I66" i="107"/>
  <c r="I69" i="107"/>
  <c r="J66" i="107"/>
  <c r="I149" i="107"/>
  <c r="I83" i="107"/>
  <c r="I113" i="107" s="1"/>
  <c r="I82" i="107"/>
  <c r="I112" i="107" s="1"/>
  <c r="I81" i="107"/>
  <c r="I111" i="107" s="1"/>
  <c r="I80" i="107"/>
  <c r="I110" i="107" s="1"/>
  <c r="I78" i="107"/>
  <c r="I108" i="107" s="1"/>
  <c r="I149" i="106"/>
  <c r="H170" i="104"/>
  <c r="I80" i="104"/>
  <c r="I110" i="104" s="1"/>
  <c r="I83" i="104"/>
  <c r="I113" i="104" s="1"/>
  <c r="I79" i="104"/>
  <c r="I109" i="104" s="1"/>
  <c r="I77" i="104"/>
  <c r="I82" i="104"/>
  <c r="I112" i="104" s="1"/>
  <c r="I78" i="104"/>
  <c r="I108" i="104" s="1"/>
  <c r="I81" i="104"/>
  <c r="I111" i="104" s="1"/>
  <c r="I77" i="105"/>
  <c r="I81" i="105"/>
  <c r="I111" i="105" s="1"/>
  <c r="I83" i="105"/>
  <c r="I113" i="105" s="1"/>
  <c r="I78" i="105"/>
  <c r="I108" i="105" s="1"/>
  <c r="I80" i="105"/>
  <c r="I110" i="105" s="1"/>
  <c r="I79" i="105"/>
  <c r="I109" i="105" s="1"/>
  <c r="G66" i="104"/>
  <c r="I66" i="104"/>
  <c r="I69" i="104"/>
  <c r="J66" i="104"/>
  <c r="I149" i="104"/>
  <c r="J66" i="105"/>
  <c r="I82" i="105"/>
  <c r="I112" i="105" s="1"/>
  <c r="G66" i="105"/>
  <c r="I66" i="105"/>
  <c r="I69" i="105"/>
  <c r="H69" i="104"/>
  <c r="I149" i="103"/>
  <c r="J149" i="103"/>
  <c r="H170" i="103"/>
  <c r="I78" i="103"/>
  <c r="I108" i="103" s="1"/>
  <c r="I77" i="103"/>
  <c r="I82" i="103"/>
  <c r="I112" i="103" s="1"/>
  <c r="I79" i="103"/>
  <c r="I109" i="103" s="1"/>
  <c r="I83" i="103"/>
  <c r="I113" i="103" s="1"/>
  <c r="I81" i="103"/>
  <c r="I111" i="103" s="1"/>
  <c r="I80" i="103"/>
  <c r="I110" i="103" s="1"/>
  <c r="I66" i="103"/>
  <c r="H69" i="103"/>
  <c r="J66" i="103"/>
  <c r="M27" i="100"/>
  <c r="F17" i="116" s="1"/>
  <c r="H73" i="35"/>
  <c r="J80" i="98"/>
  <c r="L80" i="98" s="1"/>
  <c r="J79" i="98"/>
  <c r="L79" i="98" s="1"/>
  <c r="J78" i="98"/>
  <c r="L78" i="98" s="1"/>
  <c r="J77" i="98"/>
  <c r="L77" i="98" s="1"/>
  <c r="H184" i="111" l="1"/>
  <c r="H184" i="110"/>
  <c r="H184" i="114"/>
  <c r="K184" i="114"/>
  <c r="K184" i="113"/>
  <c r="J184" i="111"/>
  <c r="K184" i="110"/>
  <c r="I184" i="110"/>
  <c r="K184" i="115"/>
  <c r="I184" i="113"/>
  <c r="I184" i="111"/>
  <c r="J184" i="114"/>
  <c r="J184" i="113"/>
  <c r="J184" i="110"/>
  <c r="I184" i="115"/>
  <c r="J184" i="115"/>
  <c r="H184" i="113"/>
  <c r="K184" i="111"/>
  <c r="I184" i="114"/>
  <c r="H184" i="115"/>
  <c r="J78" i="117"/>
  <c r="F78" i="117"/>
  <c r="G51" i="117"/>
  <c r="F25" i="117"/>
  <c r="H132" i="107"/>
  <c r="H16" i="107" s="1"/>
  <c r="H132" i="105"/>
  <c r="H16" i="105" s="1"/>
  <c r="G113" i="106"/>
  <c r="I113" i="106"/>
  <c r="F92" i="110"/>
  <c r="F92" i="115"/>
  <c r="F92" i="114"/>
  <c r="F92" i="109"/>
  <c r="F92" i="113"/>
  <c r="F92" i="112"/>
  <c r="F92" i="111"/>
  <c r="F92" i="106"/>
  <c r="F92" i="107"/>
  <c r="F92" i="103"/>
  <c r="F92" i="105"/>
  <c r="F92" i="108"/>
  <c r="F92" i="104"/>
  <c r="F92" i="35"/>
  <c r="F93" i="35" s="1"/>
  <c r="G93" i="35" s="1"/>
  <c r="F87" i="35"/>
  <c r="G87" i="35" s="1"/>
  <c r="F87" i="112"/>
  <c r="G87" i="112" s="1"/>
  <c r="I97" i="112" s="1"/>
  <c r="F87" i="111"/>
  <c r="G87" i="111" s="1"/>
  <c r="I97" i="111" s="1"/>
  <c r="F87" i="113"/>
  <c r="G87" i="113" s="1"/>
  <c r="I97" i="113" s="1"/>
  <c r="F87" i="110"/>
  <c r="G87" i="110" s="1"/>
  <c r="I97" i="110" s="1"/>
  <c r="F87" i="115"/>
  <c r="G87" i="115" s="1"/>
  <c r="I97" i="115" s="1"/>
  <c r="F87" i="114"/>
  <c r="G87" i="114" s="1"/>
  <c r="I97" i="114" s="1"/>
  <c r="F87" i="109"/>
  <c r="G87" i="109" s="1"/>
  <c r="I97" i="109" s="1"/>
  <c r="F87" i="108"/>
  <c r="G87" i="108" s="1"/>
  <c r="F87" i="103"/>
  <c r="G87" i="103" s="1"/>
  <c r="F87" i="105"/>
  <c r="G87" i="105" s="1"/>
  <c r="F87" i="104"/>
  <c r="G87" i="104" s="1"/>
  <c r="F87" i="106"/>
  <c r="G87" i="106" s="1"/>
  <c r="F87" i="107"/>
  <c r="G87" i="107" s="1"/>
  <c r="F88" i="112"/>
  <c r="G88" i="112" s="1"/>
  <c r="F88" i="111"/>
  <c r="G88" i="111" s="1"/>
  <c r="F88" i="113"/>
  <c r="G88" i="113" s="1"/>
  <c r="F88" i="110"/>
  <c r="G88" i="110" s="1"/>
  <c r="F88" i="115"/>
  <c r="G88" i="115" s="1"/>
  <c r="F88" i="114"/>
  <c r="G88" i="114" s="1"/>
  <c r="F88" i="109"/>
  <c r="G88" i="109" s="1"/>
  <c r="F88" i="103"/>
  <c r="G88" i="103" s="1"/>
  <c r="F88" i="104"/>
  <c r="G88" i="104" s="1"/>
  <c r="F88" i="108"/>
  <c r="G88" i="108" s="1"/>
  <c r="F88" i="106"/>
  <c r="G88" i="106" s="1"/>
  <c r="F88" i="107"/>
  <c r="G88" i="107" s="1"/>
  <c r="F88" i="105"/>
  <c r="G88" i="105" s="1"/>
  <c r="F91" i="113"/>
  <c r="G91" i="113" s="1"/>
  <c r="F89" i="112"/>
  <c r="G89" i="112" s="1"/>
  <c r="F90" i="111"/>
  <c r="G90" i="111" s="1"/>
  <c r="F90" i="113"/>
  <c r="G90" i="113" s="1"/>
  <c r="F89" i="111"/>
  <c r="G89" i="111" s="1"/>
  <c r="F91" i="110"/>
  <c r="G91" i="110" s="1"/>
  <c r="F91" i="115"/>
  <c r="G91" i="115" s="1"/>
  <c r="F89" i="113"/>
  <c r="G89" i="113" s="1"/>
  <c r="F90" i="110"/>
  <c r="G90" i="110" s="1"/>
  <c r="F90" i="115"/>
  <c r="G90" i="115" s="1"/>
  <c r="F91" i="114"/>
  <c r="G91" i="114" s="1"/>
  <c r="F89" i="110"/>
  <c r="G89" i="110" s="1"/>
  <c r="F89" i="115"/>
  <c r="G89" i="115" s="1"/>
  <c r="F90" i="114"/>
  <c r="G90" i="114" s="1"/>
  <c r="F89" i="114"/>
  <c r="G89" i="114" s="1"/>
  <c r="F91" i="111"/>
  <c r="G91" i="111" s="1"/>
  <c r="F91" i="109"/>
  <c r="G91" i="109" s="1"/>
  <c r="F90" i="112"/>
  <c r="G90" i="112" s="1"/>
  <c r="F90" i="109"/>
  <c r="G90" i="109" s="1"/>
  <c r="F89" i="109"/>
  <c r="G89" i="109" s="1"/>
  <c r="F91" i="112"/>
  <c r="G91" i="112" s="1"/>
  <c r="F91" i="104"/>
  <c r="G91" i="104" s="1"/>
  <c r="F90" i="104"/>
  <c r="G90" i="104" s="1"/>
  <c r="F89" i="104"/>
  <c r="G89" i="104" s="1"/>
  <c r="F91" i="106"/>
  <c r="G91" i="106" s="1"/>
  <c r="F90" i="106"/>
  <c r="G90" i="106" s="1"/>
  <c r="F91" i="107"/>
  <c r="G91" i="107" s="1"/>
  <c r="F89" i="106"/>
  <c r="G89" i="106" s="1"/>
  <c r="F90" i="107"/>
  <c r="G90" i="107" s="1"/>
  <c r="F91" i="103"/>
  <c r="G91" i="103" s="1"/>
  <c r="F89" i="107"/>
  <c r="G89" i="107" s="1"/>
  <c r="F91" i="105"/>
  <c r="G91" i="105" s="1"/>
  <c r="F90" i="103"/>
  <c r="G90" i="103" s="1"/>
  <c r="F91" i="108"/>
  <c r="G91" i="108" s="1"/>
  <c r="F90" i="105"/>
  <c r="G90" i="105" s="1"/>
  <c r="F89" i="103"/>
  <c r="G89" i="103" s="1"/>
  <c r="F90" i="108"/>
  <c r="G90" i="108" s="1"/>
  <c r="F89" i="105"/>
  <c r="G89" i="105" s="1"/>
  <c r="F89" i="108"/>
  <c r="G89" i="108" s="1"/>
  <c r="F88" i="35"/>
  <c r="G88" i="35" s="1"/>
  <c r="F89" i="35"/>
  <c r="G89" i="35" s="1"/>
  <c r="F90" i="35"/>
  <c r="G90" i="35" s="1"/>
  <c r="F91" i="35"/>
  <c r="G91" i="35" s="1"/>
  <c r="H183" i="112"/>
  <c r="Y161" i="101" s="1"/>
  <c r="H180" i="112"/>
  <c r="Y158" i="101" s="1"/>
  <c r="H182" i="112"/>
  <c r="Y160" i="101" s="1"/>
  <c r="J178" i="112"/>
  <c r="AA156" i="101" s="1"/>
  <c r="I177" i="112"/>
  <c r="H177" i="112"/>
  <c r="J177" i="112"/>
  <c r="K183" i="112"/>
  <c r="AB161" i="101" s="1"/>
  <c r="H181" i="112"/>
  <c r="Y159" i="101" s="1"/>
  <c r="K181" i="112"/>
  <c r="AB159" i="101" s="1"/>
  <c r="K179" i="112"/>
  <c r="AB157" i="101" s="1"/>
  <c r="K178" i="112"/>
  <c r="AB156" i="101" s="1"/>
  <c r="H178" i="112"/>
  <c r="Y156" i="101" s="1"/>
  <c r="K177" i="112"/>
  <c r="H179" i="112"/>
  <c r="Y157" i="101" s="1"/>
  <c r="I181" i="112"/>
  <c r="Z159" i="101" s="1"/>
  <c r="J179" i="112"/>
  <c r="AA157" i="101" s="1"/>
  <c r="J181" i="112"/>
  <c r="AA159" i="101" s="1"/>
  <c r="I179" i="112"/>
  <c r="Z157" i="101" s="1"/>
  <c r="I178" i="112"/>
  <c r="Z156" i="101" s="1"/>
  <c r="I180" i="112"/>
  <c r="Z158" i="101" s="1"/>
  <c r="J180" i="112"/>
  <c r="AA158" i="101" s="1"/>
  <c r="I183" i="112"/>
  <c r="Z161" i="101" s="1"/>
  <c r="J183" i="112"/>
  <c r="AA161" i="101" s="1"/>
  <c r="I182" i="112"/>
  <c r="Z160" i="101" s="1"/>
  <c r="J182" i="112"/>
  <c r="AA160" i="101" s="1"/>
  <c r="K180" i="112"/>
  <c r="AB158" i="101" s="1"/>
  <c r="K182" i="112"/>
  <c r="AB160" i="101" s="1"/>
  <c r="H132" i="115"/>
  <c r="H16" i="115" s="1"/>
  <c r="H130" i="114"/>
  <c r="H14" i="114" s="1"/>
  <c r="H133" i="113"/>
  <c r="H17" i="113" s="1"/>
  <c r="H132" i="113"/>
  <c r="H16" i="113" s="1"/>
  <c r="H134" i="113"/>
  <c r="H18" i="113" s="1"/>
  <c r="H133" i="115"/>
  <c r="H17" i="115" s="1"/>
  <c r="G125" i="115"/>
  <c r="H135" i="115"/>
  <c r="H19" i="115" s="1"/>
  <c r="G114" i="114"/>
  <c r="H130" i="115"/>
  <c r="H14" i="115" s="1"/>
  <c r="I112" i="106"/>
  <c r="H122" i="106"/>
  <c r="I109" i="106"/>
  <c r="H109" i="106"/>
  <c r="H131" i="106" s="1"/>
  <c r="H15" i="106" s="1"/>
  <c r="G107" i="106"/>
  <c r="I108" i="106"/>
  <c r="H121" i="106"/>
  <c r="H132" i="106" s="1"/>
  <c r="H16" i="106" s="1"/>
  <c r="H107" i="106"/>
  <c r="H108" i="106"/>
  <c r="H112" i="106"/>
  <c r="G124" i="106"/>
  <c r="H123" i="106"/>
  <c r="G112" i="106"/>
  <c r="G122" i="106"/>
  <c r="G118" i="106"/>
  <c r="H111" i="106"/>
  <c r="G111" i="106"/>
  <c r="G120" i="106"/>
  <c r="I111" i="106"/>
  <c r="H113" i="106"/>
  <c r="H135" i="106" s="1"/>
  <c r="H19" i="106" s="1"/>
  <c r="G119" i="106"/>
  <c r="H119" i="106"/>
  <c r="H132" i="108"/>
  <c r="H16" i="108" s="1"/>
  <c r="G123" i="106"/>
  <c r="I107" i="106"/>
  <c r="H118" i="106"/>
  <c r="G108" i="106"/>
  <c r="M110" i="114"/>
  <c r="M109" i="113"/>
  <c r="M110" i="115"/>
  <c r="M108" i="114"/>
  <c r="M111" i="113"/>
  <c r="M113" i="115"/>
  <c r="K114" i="114"/>
  <c r="M107" i="114"/>
  <c r="H114" i="114"/>
  <c r="H129" i="114"/>
  <c r="M107" i="113"/>
  <c r="K114" i="113"/>
  <c r="H129" i="113"/>
  <c r="H114" i="113"/>
  <c r="H130" i="113"/>
  <c r="H14" i="113" s="1"/>
  <c r="M108" i="115"/>
  <c r="M109" i="114"/>
  <c r="M112" i="113"/>
  <c r="G125" i="113"/>
  <c r="M109" i="115"/>
  <c r="H131" i="115"/>
  <c r="H15" i="115" s="1"/>
  <c r="M113" i="114"/>
  <c r="H134" i="114"/>
  <c r="H18" i="114" s="1"/>
  <c r="M110" i="113"/>
  <c r="H125" i="113"/>
  <c r="G120" i="112"/>
  <c r="G111" i="112"/>
  <c r="G110" i="112"/>
  <c r="G113" i="112"/>
  <c r="G121" i="112"/>
  <c r="G109" i="112"/>
  <c r="G112" i="112"/>
  <c r="G124" i="112"/>
  <c r="H120" i="112"/>
  <c r="Y95" i="101" s="1"/>
  <c r="G118" i="112"/>
  <c r="H108" i="112"/>
  <c r="Y82" i="101" s="1"/>
  <c r="H123" i="112"/>
  <c r="Y98" i="101" s="1"/>
  <c r="G123" i="112"/>
  <c r="H113" i="112"/>
  <c r="Y87" i="101" s="1"/>
  <c r="H124" i="112"/>
  <c r="Y99" i="101" s="1"/>
  <c r="G108" i="112"/>
  <c r="H121" i="112"/>
  <c r="Y96" i="101" s="1"/>
  <c r="H112" i="112"/>
  <c r="Y86" i="101" s="1"/>
  <c r="H107" i="112"/>
  <c r="Y81" i="101" s="1"/>
  <c r="H119" i="112"/>
  <c r="Y94" i="101" s="1"/>
  <c r="H109" i="112"/>
  <c r="Y83" i="101" s="1"/>
  <c r="H118" i="112"/>
  <c r="Y93" i="101" s="1"/>
  <c r="H111" i="112"/>
  <c r="Y85" i="101" s="1"/>
  <c r="G119" i="112"/>
  <c r="H110" i="112"/>
  <c r="Y84" i="101" s="1"/>
  <c r="G107" i="112"/>
  <c r="G122" i="112"/>
  <c r="H122" i="112"/>
  <c r="Y97" i="101" s="1"/>
  <c r="I109" i="112"/>
  <c r="Z83" i="101" s="1"/>
  <c r="I112" i="112"/>
  <c r="Z86" i="101" s="1"/>
  <c r="I107" i="112"/>
  <c r="Z81" i="101" s="1"/>
  <c r="I113" i="112"/>
  <c r="Z87" i="101" s="1"/>
  <c r="I108" i="112"/>
  <c r="Z82" i="101" s="1"/>
  <c r="I111" i="112"/>
  <c r="Z85" i="101" s="1"/>
  <c r="I110" i="112"/>
  <c r="Z84" i="101" s="1"/>
  <c r="J112" i="112"/>
  <c r="AA86" i="101" s="1"/>
  <c r="J107" i="112"/>
  <c r="AA81" i="101" s="1"/>
  <c r="J108" i="112"/>
  <c r="AA82" i="101" s="1"/>
  <c r="J113" i="112"/>
  <c r="AA87" i="101" s="1"/>
  <c r="J110" i="112"/>
  <c r="AA84" i="101" s="1"/>
  <c r="J111" i="112"/>
  <c r="AA85" i="101" s="1"/>
  <c r="J109" i="112"/>
  <c r="AA83" i="101" s="1"/>
  <c r="K112" i="112"/>
  <c r="AB86" i="101" s="1"/>
  <c r="K110" i="112"/>
  <c r="AB84" i="101" s="1"/>
  <c r="K111" i="112"/>
  <c r="AB85" i="101" s="1"/>
  <c r="K109" i="112"/>
  <c r="AB83" i="101" s="1"/>
  <c r="K108" i="112"/>
  <c r="AB82" i="101" s="1"/>
  <c r="K107" i="112"/>
  <c r="AB81" i="101" s="1"/>
  <c r="K113" i="112"/>
  <c r="AB87" i="101" s="1"/>
  <c r="M111" i="115"/>
  <c r="M112" i="114"/>
  <c r="H131" i="114"/>
  <c r="H15" i="114" s="1"/>
  <c r="I114" i="113"/>
  <c r="G114" i="113"/>
  <c r="M113" i="113"/>
  <c r="K114" i="115"/>
  <c r="M107" i="115"/>
  <c r="M111" i="114"/>
  <c r="G125" i="114"/>
  <c r="H133" i="114"/>
  <c r="H17" i="114" s="1"/>
  <c r="H135" i="113"/>
  <c r="H19" i="113" s="1"/>
  <c r="M112" i="115"/>
  <c r="H134" i="115"/>
  <c r="H18" i="115" s="1"/>
  <c r="H135" i="114"/>
  <c r="H19" i="114" s="1"/>
  <c r="I114" i="115"/>
  <c r="G114" i="115"/>
  <c r="H129" i="115"/>
  <c r="H114" i="115"/>
  <c r="J114" i="114"/>
  <c r="I114" i="114"/>
  <c r="H132" i="114"/>
  <c r="H16" i="114" s="1"/>
  <c r="J114" i="115"/>
  <c r="H125" i="114"/>
  <c r="G110" i="106"/>
  <c r="H125" i="115"/>
  <c r="M108" i="113"/>
  <c r="J114" i="113"/>
  <c r="H131" i="113"/>
  <c r="H15" i="113" s="1"/>
  <c r="H135" i="105"/>
  <c r="H19" i="105" s="1"/>
  <c r="H125" i="105"/>
  <c r="H129" i="105"/>
  <c r="H13" i="105" s="1"/>
  <c r="G22" i="117"/>
  <c r="G25" i="117" s="1"/>
  <c r="E22" i="117"/>
  <c r="E25" i="117" s="1"/>
  <c r="F69" i="117"/>
  <c r="D69" i="117"/>
  <c r="E69" i="117"/>
  <c r="G69" i="117"/>
  <c r="H69" i="117"/>
  <c r="D42" i="117"/>
  <c r="J42" i="117"/>
  <c r="H11" i="117" s="1"/>
  <c r="AB119" i="101" s="1"/>
  <c r="F42" i="117"/>
  <c r="H42" i="117"/>
  <c r="G42" i="117"/>
  <c r="I42" i="117"/>
  <c r="H10" i="117" s="1"/>
  <c r="AB118" i="101" s="1"/>
  <c r="E42" i="117"/>
  <c r="H25" i="117"/>
  <c r="I22" i="117"/>
  <c r="I25" i="117" s="1"/>
  <c r="I51" i="117"/>
  <c r="H51" i="117"/>
  <c r="H78" i="117"/>
  <c r="H130" i="111"/>
  <c r="H14" i="111" s="1"/>
  <c r="H133" i="105"/>
  <c r="H17" i="105" s="1"/>
  <c r="H133" i="108"/>
  <c r="H17" i="108" s="1"/>
  <c r="H134" i="103"/>
  <c r="H18" i="103" s="1"/>
  <c r="G114" i="111"/>
  <c r="H131" i="111"/>
  <c r="H15" i="111" s="1"/>
  <c r="H131" i="108"/>
  <c r="H15" i="108" s="1"/>
  <c r="H134" i="105"/>
  <c r="H18" i="105" s="1"/>
  <c r="H133" i="103"/>
  <c r="H17" i="103" s="1"/>
  <c r="H134" i="108"/>
  <c r="H18" i="108" s="1"/>
  <c r="H114" i="108"/>
  <c r="H130" i="108"/>
  <c r="H14" i="108" s="1"/>
  <c r="G114" i="108"/>
  <c r="G125" i="103"/>
  <c r="G125" i="105"/>
  <c r="H133" i="107"/>
  <c r="H17" i="107" s="1"/>
  <c r="H135" i="108"/>
  <c r="H19" i="108" s="1"/>
  <c r="H125" i="108"/>
  <c r="H114" i="105"/>
  <c r="H131" i="105"/>
  <c r="H15" i="105" s="1"/>
  <c r="H134" i="111"/>
  <c r="H18" i="111" s="1"/>
  <c r="H135" i="111"/>
  <c r="H19" i="111" s="1"/>
  <c r="G114" i="104"/>
  <c r="H130" i="105"/>
  <c r="H14" i="105" s="1"/>
  <c r="G114" i="105"/>
  <c r="G125" i="104"/>
  <c r="H125" i="111"/>
  <c r="H130" i="110"/>
  <c r="H14" i="110" s="1"/>
  <c r="H129" i="111"/>
  <c r="H114" i="111"/>
  <c r="M111" i="110"/>
  <c r="J114" i="110"/>
  <c r="I114" i="110"/>
  <c r="H132" i="110"/>
  <c r="H16" i="110" s="1"/>
  <c r="J114" i="111"/>
  <c r="G114" i="110"/>
  <c r="H134" i="110"/>
  <c r="H18" i="110" s="1"/>
  <c r="M110" i="110"/>
  <c r="M110" i="111"/>
  <c r="M109" i="110"/>
  <c r="M111" i="111"/>
  <c r="M108" i="111"/>
  <c r="H132" i="111"/>
  <c r="H16" i="111" s="1"/>
  <c r="M113" i="110"/>
  <c r="M112" i="110"/>
  <c r="M109" i="111"/>
  <c r="H133" i="111"/>
  <c r="H17" i="111" s="1"/>
  <c r="M107" i="110"/>
  <c r="K114" i="110"/>
  <c r="H125" i="110"/>
  <c r="H133" i="110"/>
  <c r="H17" i="110" s="1"/>
  <c r="M113" i="111"/>
  <c r="M108" i="110"/>
  <c r="H135" i="110"/>
  <c r="H19" i="110" s="1"/>
  <c r="H114" i="110"/>
  <c r="H129" i="110"/>
  <c r="I114" i="111"/>
  <c r="K114" i="111"/>
  <c r="M107" i="111"/>
  <c r="M112" i="111"/>
  <c r="G125" i="111"/>
  <c r="G125" i="110"/>
  <c r="H131" i="110"/>
  <c r="H15" i="110" s="1"/>
  <c r="H135" i="104"/>
  <c r="H19" i="104" s="1"/>
  <c r="H130" i="104"/>
  <c r="H14" i="104" s="1"/>
  <c r="G125" i="107"/>
  <c r="H129" i="108"/>
  <c r="H13" i="108" s="1"/>
  <c r="G125" i="108"/>
  <c r="H130" i="107"/>
  <c r="H14" i="107" s="1"/>
  <c r="G114" i="107"/>
  <c r="H134" i="107"/>
  <c r="H18" i="107" s="1"/>
  <c r="H131" i="103"/>
  <c r="H15" i="103" s="1"/>
  <c r="H125" i="103"/>
  <c r="H131" i="104"/>
  <c r="H15" i="104" s="1"/>
  <c r="G114" i="103"/>
  <c r="H125" i="107"/>
  <c r="H131" i="107"/>
  <c r="H15" i="107" s="1"/>
  <c r="H133" i="104"/>
  <c r="H17" i="104" s="1"/>
  <c r="H114" i="107"/>
  <c r="H129" i="107"/>
  <c r="H132" i="103"/>
  <c r="H16" i="103" s="1"/>
  <c r="H129" i="103"/>
  <c r="H13" i="103" s="1"/>
  <c r="H114" i="103"/>
  <c r="H135" i="107"/>
  <c r="H19" i="107" s="1"/>
  <c r="H134" i="104"/>
  <c r="H18" i="104" s="1"/>
  <c r="H125" i="104"/>
  <c r="H114" i="104"/>
  <c r="H129" i="104"/>
  <c r="H135" i="103"/>
  <c r="H19" i="103" s="1"/>
  <c r="H132" i="104"/>
  <c r="H16" i="104" s="1"/>
  <c r="H130" i="103"/>
  <c r="H14" i="103" s="1"/>
  <c r="J149" i="108"/>
  <c r="J55" i="108"/>
  <c r="I107" i="108"/>
  <c r="I114" i="107"/>
  <c r="J55" i="107"/>
  <c r="J55" i="106"/>
  <c r="J149" i="107"/>
  <c r="J149" i="106"/>
  <c r="J55" i="104"/>
  <c r="I107" i="104"/>
  <c r="K149" i="104"/>
  <c r="J149" i="104"/>
  <c r="J55" i="105"/>
  <c r="I107" i="105"/>
  <c r="J149" i="105"/>
  <c r="J55" i="103"/>
  <c r="I107" i="103"/>
  <c r="G92" i="35"/>
  <c r="E75" i="117" l="1"/>
  <c r="E78" i="117" s="1"/>
  <c r="G75" i="117"/>
  <c r="G78" i="117" s="1"/>
  <c r="I75" i="117"/>
  <c r="I78" i="117" s="1"/>
  <c r="E51" i="117"/>
  <c r="H64" i="117" s="1"/>
  <c r="F51" i="117"/>
  <c r="E65" i="117" s="1"/>
  <c r="AA155" i="101"/>
  <c r="AA163" i="101" s="1"/>
  <c r="J184" i="112"/>
  <c r="Y155" i="101"/>
  <c r="Y163" i="101" s="1"/>
  <c r="H184" i="112"/>
  <c r="Z155" i="101"/>
  <c r="Z163" i="101" s="1"/>
  <c r="I184" i="112"/>
  <c r="AB155" i="101"/>
  <c r="AB163" i="101" s="1"/>
  <c r="K184" i="112"/>
  <c r="J23" i="115"/>
  <c r="J23" i="114"/>
  <c r="I23" i="114"/>
  <c r="K100" i="108"/>
  <c r="J100" i="108"/>
  <c r="J121" i="108" s="1"/>
  <c r="I100" i="108"/>
  <c r="I121" i="108" s="1"/>
  <c r="I132" i="108" s="1"/>
  <c r="K101" i="106"/>
  <c r="J101" i="106"/>
  <c r="J122" i="106" s="1"/>
  <c r="I101" i="106"/>
  <c r="I122" i="106" s="1"/>
  <c r="I133" i="106" s="1"/>
  <c r="J99" i="115"/>
  <c r="J120" i="115" s="1"/>
  <c r="J131" i="115" s="1"/>
  <c r="J15" i="115" s="1"/>
  <c r="I99" i="115"/>
  <c r="I120" i="115" s="1"/>
  <c r="I131" i="115" s="1"/>
  <c r="I15" i="115" s="1"/>
  <c r="K99" i="115"/>
  <c r="K101" i="113"/>
  <c r="I101" i="113"/>
  <c r="I122" i="113" s="1"/>
  <c r="I133" i="113" s="1"/>
  <c r="I17" i="113" s="1"/>
  <c r="J101" i="113"/>
  <c r="J122" i="113" s="1"/>
  <c r="J133" i="113" s="1"/>
  <c r="J17" i="113" s="1"/>
  <c r="K98" i="115"/>
  <c r="I98" i="115"/>
  <c r="I119" i="115" s="1"/>
  <c r="I130" i="115" s="1"/>
  <c r="I14" i="115" s="1"/>
  <c r="J98" i="115"/>
  <c r="J119" i="115" s="1"/>
  <c r="J130" i="115" s="1"/>
  <c r="J14" i="115" s="1"/>
  <c r="K97" i="103"/>
  <c r="J97" i="103"/>
  <c r="I97" i="103"/>
  <c r="G92" i="108"/>
  <c r="F93" i="108"/>
  <c r="G93" i="108" s="1"/>
  <c r="J99" i="103"/>
  <c r="J120" i="103" s="1"/>
  <c r="K99" i="103"/>
  <c r="I99" i="103"/>
  <c r="I120" i="103" s="1"/>
  <c r="I131" i="103" s="1"/>
  <c r="K99" i="104"/>
  <c r="J99" i="104"/>
  <c r="J120" i="104" s="1"/>
  <c r="I99" i="104"/>
  <c r="I120" i="104" s="1"/>
  <c r="I131" i="104" s="1"/>
  <c r="I99" i="110"/>
  <c r="I120" i="110" s="1"/>
  <c r="I131" i="110" s="1"/>
  <c r="I15" i="110" s="1"/>
  <c r="J99" i="110"/>
  <c r="J120" i="110" s="1"/>
  <c r="J131" i="110" s="1"/>
  <c r="J15" i="110" s="1"/>
  <c r="K99" i="110"/>
  <c r="K98" i="110"/>
  <c r="I98" i="110"/>
  <c r="I119" i="110" s="1"/>
  <c r="I130" i="110" s="1"/>
  <c r="I14" i="110" s="1"/>
  <c r="J98" i="110"/>
  <c r="J119" i="110" s="1"/>
  <c r="J130" i="110" s="1"/>
  <c r="J14" i="110" s="1"/>
  <c r="K97" i="108"/>
  <c r="J97" i="108"/>
  <c r="I97" i="108"/>
  <c r="F93" i="105"/>
  <c r="G93" i="105" s="1"/>
  <c r="G92" i="105"/>
  <c r="K100" i="105"/>
  <c r="J100" i="105"/>
  <c r="J121" i="105" s="1"/>
  <c r="I100" i="105"/>
  <c r="I121" i="105" s="1"/>
  <c r="I132" i="105" s="1"/>
  <c r="K100" i="104"/>
  <c r="J100" i="104"/>
  <c r="J121" i="104" s="1"/>
  <c r="I100" i="104"/>
  <c r="I121" i="104" s="1"/>
  <c r="I132" i="104" s="1"/>
  <c r="K101" i="114"/>
  <c r="J101" i="114"/>
  <c r="J122" i="114" s="1"/>
  <c r="J133" i="114" s="1"/>
  <c r="J17" i="114" s="1"/>
  <c r="I101" i="114"/>
  <c r="I122" i="114" s="1"/>
  <c r="I133" i="114" s="1"/>
  <c r="I17" i="114" s="1"/>
  <c r="K98" i="113"/>
  <c r="J98" i="113"/>
  <c r="J119" i="113" s="1"/>
  <c r="J130" i="113" s="1"/>
  <c r="J14" i="113" s="1"/>
  <c r="I98" i="113"/>
  <c r="I119" i="113" s="1"/>
  <c r="I130" i="113" s="1"/>
  <c r="I14" i="113" s="1"/>
  <c r="K97" i="109"/>
  <c r="J97" i="109"/>
  <c r="F93" i="103"/>
  <c r="G93" i="103" s="1"/>
  <c r="G92" i="103"/>
  <c r="J101" i="108"/>
  <c r="J122" i="108" s="1"/>
  <c r="I101" i="108"/>
  <c r="I122" i="108" s="1"/>
  <c r="I133" i="108" s="1"/>
  <c r="K101" i="108"/>
  <c r="K101" i="104"/>
  <c r="J101" i="104"/>
  <c r="J122" i="104" s="1"/>
  <c r="I101" i="104"/>
  <c r="I122" i="104" s="1"/>
  <c r="I133" i="104" s="1"/>
  <c r="K100" i="115"/>
  <c r="J100" i="115"/>
  <c r="J121" i="115" s="1"/>
  <c r="J132" i="115" s="1"/>
  <c r="J16" i="115" s="1"/>
  <c r="I100" i="115"/>
  <c r="I121" i="115" s="1"/>
  <c r="I132" i="115" s="1"/>
  <c r="I16" i="115" s="1"/>
  <c r="K98" i="111"/>
  <c r="J98" i="111"/>
  <c r="J119" i="111" s="1"/>
  <c r="J130" i="111" s="1"/>
  <c r="J14" i="111" s="1"/>
  <c r="I98" i="111"/>
  <c r="I119" i="111" s="1"/>
  <c r="I130" i="111" s="1"/>
  <c r="I14" i="111" s="1"/>
  <c r="K97" i="114"/>
  <c r="J97" i="114"/>
  <c r="F93" i="107"/>
  <c r="G93" i="107" s="1"/>
  <c r="G92" i="107"/>
  <c r="I100" i="103"/>
  <c r="I121" i="103" s="1"/>
  <c r="I132" i="103" s="1"/>
  <c r="J100" i="103"/>
  <c r="J121" i="103" s="1"/>
  <c r="K100" i="103"/>
  <c r="J101" i="112"/>
  <c r="J122" i="112" s="1"/>
  <c r="J133" i="112" s="1"/>
  <c r="J17" i="112" s="1"/>
  <c r="K101" i="112"/>
  <c r="I101" i="112"/>
  <c r="I122" i="112" s="1"/>
  <c r="I133" i="112" s="1"/>
  <c r="I17" i="112" s="1"/>
  <c r="I100" i="110"/>
  <c r="I121" i="110" s="1"/>
  <c r="I132" i="110" s="1"/>
  <c r="I16" i="110" s="1"/>
  <c r="J100" i="110"/>
  <c r="J121" i="110" s="1"/>
  <c r="J132" i="110" s="1"/>
  <c r="J16" i="110" s="1"/>
  <c r="K100" i="110"/>
  <c r="K98" i="105"/>
  <c r="J98" i="105"/>
  <c r="J119" i="105" s="1"/>
  <c r="I98" i="105"/>
  <c r="I119" i="105" s="1"/>
  <c r="I130" i="105" s="1"/>
  <c r="I98" i="112"/>
  <c r="I119" i="112" s="1"/>
  <c r="I130" i="112" s="1"/>
  <c r="I14" i="112" s="1"/>
  <c r="J98" i="112"/>
  <c r="J119" i="112" s="1"/>
  <c r="J130" i="112" s="1"/>
  <c r="J14" i="112" s="1"/>
  <c r="K98" i="112"/>
  <c r="K97" i="115"/>
  <c r="J97" i="115"/>
  <c r="F93" i="106"/>
  <c r="G93" i="106" s="1"/>
  <c r="G92" i="106"/>
  <c r="K101" i="105"/>
  <c r="J101" i="105"/>
  <c r="J122" i="105" s="1"/>
  <c r="I101" i="105"/>
  <c r="I122" i="105" s="1"/>
  <c r="I133" i="105" s="1"/>
  <c r="I99" i="109"/>
  <c r="I120" i="109" s="1"/>
  <c r="I131" i="109" s="1"/>
  <c r="I15" i="109" s="1"/>
  <c r="J99" i="109"/>
  <c r="J120" i="109" s="1"/>
  <c r="J131" i="109" s="1"/>
  <c r="J15" i="109" s="1"/>
  <c r="K99" i="109"/>
  <c r="K99" i="113"/>
  <c r="I99" i="113"/>
  <c r="I120" i="113" s="1"/>
  <c r="I131" i="113" s="1"/>
  <c r="I15" i="113" s="1"/>
  <c r="J99" i="113"/>
  <c r="J120" i="113" s="1"/>
  <c r="J131" i="113" s="1"/>
  <c r="J15" i="113" s="1"/>
  <c r="K98" i="107"/>
  <c r="J98" i="107"/>
  <c r="J119" i="107" s="1"/>
  <c r="I98" i="107"/>
  <c r="I119" i="107" s="1"/>
  <c r="I130" i="107" s="1"/>
  <c r="K97" i="110"/>
  <c r="J97" i="110"/>
  <c r="F93" i="111"/>
  <c r="G93" i="111" s="1"/>
  <c r="G92" i="111"/>
  <c r="J99" i="107"/>
  <c r="J120" i="107" s="1"/>
  <c r="I99" i="107"/>
  <c r="I120" i="107" s="1"/>
  <c r="I131" i="107" s="1"/>
  <c r="K99" i="107"/>
  <c r="J100" i="109"/>
  <c r="J121" i="109" s="1"/>
  <c r="J132" i="109" s="1"/>
  <c r="J16" i="109" s="1"/>
  <c r="I100" i="109"/>
  <c r="I121" i="109" s="1"/>
  <c r="I132" i="109" s="1"/>
  <c r="I16" i="109" s="1"/>
  <c r="K100" i="109"/>
  <c r="K101" i="115"/>
  <c r="I101" i="115"/>
  <c r="I122" i="115" s="1"/>
  <c r="I133" i="115" s="1"/>
  <c r="I17" i="115" s="1"/>
  <c r="J101" i="115"/>
  <c r="J122" i="115" s="1"/>
  <c r="J133" i="115" s="1"/>
  <c r="J17" i="115" s="1"/>
  <c r="K98" i="106"/>
  <c r="J98" i="106"/>
  <c r="J119" i="106" s="1"/>
  <c r="I98" i="106"/>
  <c r="I119" i="106" s="1"/>
  <c r="I130" i="106" s="1"/>
  <c r="J97" i="113"/>
  <c r="K97" i="113"/>
  <c r="F93" i="112"/>
  <c r="G93" i="112" s="1"/>
  <c r="G92" i="112"/>
  <c r="J101" i="103"/>
  <c r="J122" i="103" s="1"/>
  <c r="K101" i="103"/>
  <c r="I101" i="103"/>
  <c r="I122" i="103" s="1"/>
  <c r="I133" i="103" s="1"/>
  <c r="J100" i="112"/>
  <c r="J121" i="112" s="1"/>
  <c r="J132" i="112" s="1"/>
  <c r="J16" i="112" s="1"/>
  <c r="K100" i="112"/>
  <c r="I100" i="112"/>
  <c r="I121" i="112" s="1"/>
  <c r="I132" i="112" s="1"/>
  <c r="I16" i="112" s="1"/>
  <c r="K101" i="110"/>
  <c r="I101" i="110"/>
  <c r="I122" i="110" s="1"/>
  <c r="I133" i="110" s="1"/>
  <c r="I17" i="110" s="1"/>
  <c r="J101" i="110"/>
  <c r="J122" i="110" s="1"/>
  <c r="J133" i="110" s="1"/>
  <c r="J17" i="110" s="1"/>
  <c r="J98" i="108"/>
  <c r="J119" i="108" s="1"/>
  <c r="I98" i="108"/>
  <c r="I119" i="108" s="1"/>
  <c r="I130" i="108" s="1"/>
  <c r="K98" i="108"/>
  <c r="K97" i="111"/>
  <c r="J97" i="111"/>
  <c r="G92" i="113"/>
  <c r="F93" i="113"/>
  <c r="G93" i="113" s="1"/>
  <c r="G114" i="106"/>
  <c r="K100" i="107"/>
  <c r="J100" i="107"/>
  <c r="J121" i="107" s="1"/>
  <c r="I100" i="107"/>
  <c r="I121" i="107" s="1"/>
  <c r="I132" i="107" s="1"/>
  <c r="I101" i="109"/>
  <c r="I122" i="109" s="1"/>
  <c r="I133" i="109" s="1"/>
  <c r="I17" i="109" s="1"/>
  <c r="K101" i="109"/>
  <c r="J101" i="109"/>
  <c r="J122" i="109" s="1"/>
  <c r="J133" i="109" s="1"/>
  <c r="J17" i="109" s="1"/>
  <c r="J99" i="111"/>
  <c r="J120" i="111" s="1"/>
  <c r="J131" i="111" s="1"/>
  <c r="J15" i="111" s="1"/>
  <c r="K99" i="111"/>
  <c r="I99" i="111"/>
  <c r="I120" i="111" s="1"/>
  <c r="I131" i="111" s="1"/>
  <c r="I15" i="111" s="1"/>
  <c r="K98" i="104"/>
  <c r="I98" i="104"/>
  <c r="I119" i="104" s="1"/>
  <c r="I130" i="104" s="1"/>
  <c r="J98" i="104"/>
  <c r="J119" i="104" s="1"/>
  <c r="J97" i="107"/>
  <c r="I97" i="107"/>
  <c r="K97" i="107"/>
  <c r="J97" i="112"/>
  <c r="K97" i="112"/>
  <c r="F93" i="109"/>
  <c r="G93" i="109" s="1"/>
  <c r="G92" i="109"/>
  <c r="J99" i="106"/>
  <c r="J120" i="106" s="1"/>
  <c r="I99" i="106"/>
  <c r="I120" i="106" s="1"/>
  <c r="I131" i="106" s="1"/>
  <c r="K99" i="106"/>
  <c r="K101" i="111"/>
  <c r="I101" i="111"/>
  <c r="I122" i="111" s="1"/>
  <c r="I133" i="111" s="1"/>
  <c r="I17" i="111" s="1"/>
  <c r="J101" i="111"/>
  <c r="J122" i="111" s="1"/>
  <c r="J133" i="111" s="1"/>
  <c r="J17" i="111" s="1"/>
  <c r="K100" i="113"/>
  <c r="J100" i="113"/>
  <c r="J121" i="113" s="1"/>
  <c r="J132" i="113" s="1"/>
  <c r="J16" i="113" s="1"/>
  <c r="I100" i="113"/>
  <c r="I121" i="113" s="1"/>
  <c r="I132" i="113" s="1"/>
  <c r="I16" i="113" s="1"/>
  <c r="J98" i="103"/>
  <c r="J119" i="103" s="1"/>
  <c r="I98" i="103"/>
  <c r="I119" i="103" s="1"/>
  <c r="I130" i="103" s="1"/>
  <c r="K98" i="103"/>
  <c r="J97" i="106"/>
  <c r="I97" i="106"/>
  <c r="K97" i="106"/>
  <c r="G92" i="114"/>
  <c r="F93" i="114"/>
  <c r="G93" i="114" s="1"/>
  <c r="K99" i="108"/>
  <c r="J99" i="108"/>
  <c r="J120" i="108" s="1"/>
  <c r="I99" i="108"/>
  <c r="I120" i="108" s="1"/>
  <c r="I131" i="108" s="1"/>
  <c r="J101" i="107"/>
  <c r="J122" i="107" s="1"/>
  <c r="I101" i="107"/>
  <c r="I122" i="107" s="1"/>
  <c r="I133" i="107" s="1"/>
  <c r="K101" i="107"/>
  <c r="J99" i="114"/>
  <c r="J120" i="114" s="1"/>
  <c r="J131" i="114" s="1"/>
  <c r="J15" i="114" s="1"/>
  <c r="I99" i="114"/>
  <c r="I120" i="114" s="1"/>
  <c r="I131" i="114" s="1"/>
  <c r="I15" i="114" s="1"/>
  <c r="K99" i="114"/>
  <c r="J100" i="111"/>
  <c r="J121" i="111" s="1"/>
  <c r="J132" i="111" s="1"/>
  <c r="J16" i="111" s="1"/>
  <c r="K100" i="111"/>
  <c r="I100" i="111"/>
  <c r="I121" i="111" s="1"/>
  <c r="I132" i="111" s="1"/>
  <c r="I16" i="111" s="1"/>
  <c r="J98" i="109"/>
  <c r="J119" i="109" s="1"/>
  <c r="J130" i="109" s="1"/>
  <c r="J14" i="109" s="1"/>
  <c r="I98" i="109"/>
  <c r="I119" i="109" s="1"/>
  <c r="I130" i="109" s="1"/>
  <c r="I14" i="109" s="1"/>
  <c r="K98" i="109"/>
  <c r="J97" i="104"/>
  <c r="I97" i="104"/>
  <c r="K97" i="104"/>
  <c r="F93" i="115"/>
  <c r="G93" i="115" s="1"/>
  <c r="G92" i="115"/>
  <c r="K99" i="105"/>
  <c r="J99" i="105"/>
  <c r="J120" i="105" s="1"/>
  <c r="I99" i="105"/>
  <c r="I120" i="105" s="1"/>
  <c r="I131" i="105" s="1"/>
  <c r="K100" i="106"/>
  <c r="J100" i="106"/>
  <c r="J121" i="106" s="1"/>
  <c r="I100" i="106"/>
  <c r="I121" i="106" s="1"/>
  <c r="I132" i="106" s="1"/>
  <c r="K100" i="114"/>
  <c r="J100" i="114"/>
  <c r="J121" i="114" s="1"/>
  <c r="J132" i="114" s="1"/>
  <c r="J16" i="114" s="1"/>
  <c r="I100" i="114"/>
  <c r="I121" i="114" s="1"/>
  <c r="I132" i="114" s="1"/>
  <c r="I16" i="114" s="1"/>
  <c r="J99" i="112"/>
  <c r="J120" i="112" s="1"/>
  <c r="J131" i="112" s="1"/>
  <c r="J15" i="112" s="1"/>
  <c r="I99" i="112"/>
  <c r="I120" i="112" s="1"/>
  <c r="I131" i="112" s="1"/>
  <c r="I15" i="112" s="1"/>
  <c r="K99" i="112"/>
  <c r="K98" i="114"/>
  <c r="J98" i="114"/>
  <c r="J119" i="114" s="1"/>
  <c r="J130" i="114" s="1"/>
  <c r="J14" i="114" s="1"/>
  <c r="I98" i="114"/>
  <c r="I119" i="114" s="1"/>
  <c r="I130" i="114" s="1"/>
  <c r="I14" i="114" s="1"/>
  <c r="K97" i="105"/>
  <c r="J97" i="105"/>
  <c r="I97" i="105"/>
  <c r="F93" i="104"/>
  <c r="G93" i="104" s="1"/>
  <c r="G92" i="104"/>
  <c r="G92" i="110"/>
  <c r="F93" i="110"/>
  <c r="G93" i="110" s="1"/>
  <c r="H133" i="106"/>
  <c r="H17" i="106" s="1"/>
  <c r="I23" i="111"/>
  <c r="J23" i="113"/>
  <c r="H134" i="112"/>
  <c r="H18" i="112" s="1"/>
  <c r="Y62" i="101" s="1"/>
  <c r="Y88" i="101"/>
  <c r="Y89" i="101" s="1"/>
  <c r="I114" i="106"/>
  <c r="I23" i="113"/>
  <c r="H130" i="112"/>
  <c r="H14" i="112" s="1"/>
  <c r="Y58" i="101" s="1"/>
  <c r="H132" i="112"/>
  <c r="H16" i="112" s="1"/>
  <c r="H130" i="106"/>
  <c r="H14" i="106" s="1"/>
  <c r="H129" i="106"/>
  <c r="H13" i="106" s="1"/>
  <c r="I23" i="115"/>
  <c r="H133" i="112"/>
  <c r="H17" i="112" s="1"/>
  <c r="Y61" i="101" s="1"/>
  <c r="H135" i="112"/>
  <c r="H19" i="112" s="1"/>
  <c r="Y63" i="101" s="1"/>
  <c r="H131" i="112"/>
  <c r="H15" i="112" s="1"/>
  <c r="G114" i="112"/>
  <c r="G125" i="106"/>
  <c r="H125" i="106"/>
  <c r="H134" i="106"/>
  <c r="H18" i="106" s="1"/>
  <c r="H114" i="106"/>
  <c r="M109" i="112"/>
  <c r="H13" i="114"/>
  <c r="H20" i="114" s="1"/>
  <c r="H136" i="114"/>
  <c r="M111" i="112"/>
  <c r="H129" i="112"/>
  <c r="H125" i="112"/>
  <c r="M110" i="112"/>
  <c r="M112" i="112"/>
  <c r="I114" i="112"/>
  <c r="M114" i="114"/>
  <c r="K23" i="114"/>
  <c r="H114" i="112"/>
  <c r="M108" i="112"/>
  <c r="M114" i="115"/>
  <c r="K23" i="115"/>
  <c r="G125" i="112"/>
  <c r="H136" i="113"/>
  <c r="H13" i="113"/>
  <c r="H20" i="113" s="1"/>
  <c r="H13" i="115"/>
  <c r="H20" i="115" s="1"/>
  <c r="H136" i="115"/>
  <c r="M113" i="112"/>
  <c r="J114" i="112"/>
  <c r="K23" i="113"/>
  <c r="M114" i="113"/>
  <c r="K114" i="112"/>
  <c r="M107" i="112"/>
  <c r="J23" i="111"/>
  <c r="H6" i="117"/>
  <c r="AB114" i="101" s="1"/>
  <c r="H9" i="117"/>
  <c r="AB117" i="101" s="1"/>
  <c r="H7" i="117"/>
  <c r="AB115" i="101" s="1"/>
  <c r="E67" i="117"/>
  <c r="F67" i="117"/>
  <c r="H67" i="117"/>
  <c r="D67" i="117"/>
  <c r="G67" i="117"/>
  <c r="D68" i="117"/>
  <c r="G68" i="117"/>
  <c r="H68" i="117"/>
  <c r="E68" i="117"/>
  <c r="F68" i="117"/>
  <c r="D65" i="117"/>
  <c r="H65" i="117"/>
  <c r="F66" i="117"/>
  <c r="H66" i="117"/>
  <c r="G66" i="117"/>
  <c r="E66" i="117"/>
  <c r="D66" i="117"/>
  <c r="F64" i="117"/>
  <c r="G64" i="117"/>
  <c r="D41" i="117"/>
  <c r="I41" i="117"/>
  <c r="F41" i="117"/>
  <c r="G41" i="117"/>
  <c r="H41" i="117"/>
  <c r="E41" i="117"/>
  <c r="J41" i="117"/>
  <c r="H40" i="117"/>
  <c r="D40" i="117"/>
  <c r="G40" i="117"/>
  <c r="J40" i="117"/>
  <c r="G11" i="117" s="1"/>
  <c r="AA119" i="101" s="1"/>
  <c r="F40" i="117"/>
  <c r="I40" i="117"/>
  <c r="E40" i="117"/>
  <c r="E38" i="117"/>
  <c r="D38" i="117"/>
  <c r="J38" i="117"/>
  <c r="F11" i="117" s="1"/>
  <c r="Z119" i="101" s="1"/>
  <c r="I38" i="117"/>
  <c r="F10" i="117" s="1"/>
  <c r="Z118" i="101" s="1"/>
  <c r="H38" i="117"/>
  <c r="G38" i="117"/>
  <c r="F38" i="117"/>
  <c r="I37" i="117"/>
  <c r="H37" i="117"/>
  <c r="J37" i="117"/>
  <c r="D37" i="117"/>
  <c r="F37" i="117"/>
  <c r="E37" i="117"/>
  <c r="G37" i="117"/>
  <c r="G10" i="117"/>
  <c r="AA118" i="101" s="1"/>
  <c r="H8" i="117"/>
  <c r="AB116" i="101" s="1"/>
  <c r="I39" i="117"/>
  <c r="E39" i="117"/>
  <c r="G39" i="117"/>
  <c r="D39" i="117"/>
  <c r="H39" i="117"/>
  <c r="F39" i="117"/>
  <c r="J39" i="117"/>
  <c r="H20" i="108"/>
  <c r="H20" i="105"/>
  <c r="H136" i="108"/>
  <c r="I23" i="107"/>
  <c r="H136" i="105"/>
  <c r="M114" i="111"/>
  <c r="K23" i="111"/>
  <c r="Y100" i="101"/>
  <c r="Y101" i="101" s="1"/>
  <c r="I23" i="110"/>
  <c r="J23" i="110"/>
  <c r="AB88" i="101"/>
  <c r="K23" i="110"/>
  <c r="M114" i="110"/>
  <c r="H136" i="110"/>
  <c r="H13" i="110"/>
  <c r="H136" i="111"/>
  <c r="H13" i="111"/>
  <c r="H20" i="111" s="1"/>
  <c r="H20" i="103"/>
  <c r="H13" i="107"/>
  <c r="H20" i="107" s="1"/>
  <c r="H136" i="107"/>
  <c r="H136" i="103"/>
  <c r="H13" i="104"/>
  <c r="H20" i="104" s="1"/>
  <c r="H136" i="104"/>
  <c r="K149" i="108"/>
  <c r="I114" i="108"/>
  <c r="I23" i="108" s="1"/>
  <c r="J78" i="108"/>
  <c r="J108" i="108" s="1"/>
  <c r="J79" i="108"/>
  <c r="J109" i="108" s="1"/>
  <c r="J77" i="108"/>
  <c r="J83" i="108"/>
  <c r="J113" i="108" s="1"/>
  <c r="J82" i="108"/>
  <c r="J112" i="108" s="1"/>
  <c r="J80" i="108"/>
  <c r="J110" i="108" s="1"/>
  <c r="J81" i="108"/>
  <c r="J111" i="108" s="1"/>
  <c r="K149" i="107"/>
  <c r="J79" i="107"/>
  <c r="J109" i="107" s="1"/>
  <c r="J77" i="107"/>
  <c r="J82" i="107"/>
  <c r="J112" i="107" s="1"/>
  <c r="J78" i="107"/>
  <c r="J108" i="107" s="1"/>
  <c r="J81" i="107"/>
  <c r="J111" i="107" s="1"/>
  <c r="J80" i="107"/>
  <c r="J110" i="107" s="1"/>
  <c r="J83" i="107"/>
  <c r="J113" i="107" s="1"/>
  <c r="J83" i="106"/>
  <c r="J113" i="106" s="1"/>
  <c r="J81" i="106"/>
  <c r="J111" i="106" s="1"/>
  <c r="J77" i="106"/>
  <c r="J78" i="106"/>
  <c r="J108" i="106" s="1"/>
  <c r="J79" i="106"/>
  <c r="J109" i="106" s="1"/>
  <c r="J131" i="106" s="1"/>
  <c r="J82" i="106"/>
  <c r="J112" i="106" s="1"/>
  <c r="J80" i="106"/>
  <c r="J110" i="106" s="1"/>
  <c r="J81" i="105"/>
  <c r="J111" i="105" s="1"/>
  <c r="J133" i="105" s="1"/>
  <c r="J82" i="105"/>
  <c r="J112" i="105" s="1"/>
  <c r="J83" i="105"/>
  <c r="J113" i="105" s="1"/>
  <c r="J77" i="105"/>
  <c r="J80" i="105"/>
  <c r="J110" i="105" s="1"/>
  <c r="J79" i="105"/>
  <c r="J109" i="105" s="1"/>
  <c r="J78" i="105"/>
  <c r="J108" i="105" s="1"/>
  <c r="J130" i="105" s="1"/>
  <c r="J80" i="104"/>
  <c r="J110" i="104" s="1"/>
  <c r="J81" i="104"/>
  <c r="J111" i="104" s="1"/>
  <c r="J82" i="104"/>
  <c r="J112" i="104" s="1"/>
  <c r="J77" i="104"/>
  <c r="J83" i="104"/>
  <c r="J113" i="104" s="1"/>
  <c r="J78" i="104"/>
  <c r="J108" i="104" s="1"/>
  <c r="J79" i="104"/>
  <c r="J109" i="104" s="1"/>
  <c r="I114" i="105"/>
  <c r="I23" i="105" s="1"/>
  <c r="I114" i="104"/>
  <c r="I23" i="104" s="1"/>
  <c r="K149" i="105"/>
  <c r="J83" i="103"/>
  <c r="J113" i="103" s="1"/>
  <c r="J80" i="103"/>
  <c r="J110" i="103" s="1"/>
  <c r="J78" i="103"/>
  <c r="J108" i="103" s="1"/>
  <c r="J77" i="103"/>
  <c r="J79" i="103"/>
  <c r="J109" i="103" s="1"/>
  <c r="J81" i="103"/>
  <c r="J111" i="103" s="1"/>
  <c r="J82" i="103"/>
  <c r="J112" i="103" s="1"/>
  <c r="I114" i="103"/>
  <c r="I23" i="103" s="1"/>
  <c r="H78" i="35"/>
  <c r="H98" i="35" s="1"/>
  <c r="H79" i="35"/>
  <c r="H99" i="35" s="1"/>
  <c r="H80" i="35"/>
  <c r="H100" i="35" s="1"/>
  <c r="H81" i="35"/>
  <c r="H101" i="35" s="1"/>
  <c r="H82" i="35"/>
  <c r="H102" i="35" s="1"/>
  <c r="H83" i="35"/>
  <c r="H103" i="35" s="1"/>
  <c r="H77" i="35"/>
  <c r="G77" i="35" s="1"/>
  <c r="C73" i="98"/>
  <c r="B73" i="98"/>
  <c r="C64" i="98"/>
  <c r="B64" i="98"/>
  <c r="C55" i="98"/>
  <c r="B55" i="98"/>
  <c r="C37" i="98"/>
  <c r="B37" i="98"/>
  <c r="C28" i="98"/>
  <c r="B28" i="98"/>
  <c r="C19" i="98"/>
  <c r="B19" i="98"/>
  <c r="C10" i="98"/>
  <c r="B10" i="98"/>
  <c r="E64" i="117" l="1"/>
  <c r="D64" i="117"/>
  <c r="F65" i="117"/>
  <c r="G65" i="117"/>
  <c r="F8" i="117" s="1"/>
  <c r="Z116" i="101" s="1"/>
  <c r="J130" i="106"/>
  <c r="F6" i="117"/>
  <c r="Z114" i="101" s="1"/>
  <c r="J131" i="107"/>
  <c r="J131" i="103"/>
  <c r="J133" i="107"/>
  <c r="I23" i="106"/>
  <c r="J132" i="107"/>
  <c r="J132" i="108"/>
  <c r="J133" i="106"/>
  <c r="J133" i="103"/>
  <c r="J132" i="103"/>
  <c r="J132" i="105"/>
  <c r="J130" i="103"/>
  <c r="J130" i="108"/>
  <c r="J133" i="108"/>
  <c r="J131" i="108"/>
  <c r="J130" i="107"/>
  <c r="J131" i="105"/>
  <c r="J132" i="106"/>
  <c r="AA95" i="101"/>
  <c r="Z95" i="101"/>
  <c r="AA59" i="101"/>
  <c r="AA37" i="101" s="1"/>
  <c r="AA58" i="101"/>
  <c r="AA61" i="101"/>
  <c r="Z61" i="101"/>
  <c r="Z59" i="101"/>
  <c r="Z37" i="101" s="1"/>
  <c r="Z134" i="101" s="1"/>
  <c r="Z60" i="101"/>
  <c r="Z38" i="101" s="1"/>
  <c r="K102" i="104"/>
  <c r="J102" i="104"/>
  <c r="J123" i="104" s="1"/>
  <c r="J134" i="104" s="1"/>
  <c r="I102" i="104"/>
  <c r="I123" i="104" s="1"/>
  <c r="I134" i="104" s="1"/>
  <c r="M97" i="104"/>
  <c r="K118" i="104"/>
  <c r="M101" i="107"/>
  <c r="K122" i="107"/>
  <c r="M122" i="107" s="1"/>
  <c r="J102" i="109"/>
  <c r="J123" i="109" s="1"/>
  <c r="J134" i="109" s="1"/>
  <c r="J18" i="109" s="1"/>
  <c r="K102" i="109"/>
  <c r="I102" i="109"/>
  <c r="I123" i="109" s="1"/>
  <c r="I134" i="109" s="1"/>
  <c r="I18" i="109" s="1"/>
  <c r="M99" i="111"/>
  <c r="K120" i="111"/>
  <c r="J118" i="111"/>
  <c r="J118" i="110"/>
  <c r="M98" i="105"/>
  <c r="K119" i="105"/>
  <c r="M119" i="105" s="1"/>
  <c r="I118" i="114"/>
  <c r="M101" i="108"/>
  <c r="K122" i="108"/>
  <c r="M122" i="108" s="1"/>
  <c r="M97" i="108"/>
  <c r="K118" i="108"/>
  <c r="M99" i="115"/>
  <c r="K120" i="115"/>
  <c r="K103" i="104"/>
  <c r="J103" i="104"/>
  <c r="J124" i="104" s="1"/>
  <c r="J135" i="104" s="1"/>
  <c r="I103" i="104"/>
  <c r="I124" i="104" s="1"/>
  <c r="I135" i="104" s="1"/>
  <c r="M100" i="114"/>
  <c r="K121" i="114"/>
  <c r="I118" i="104"/>
  <c r="K103" i="109"/>
  <c r="J103" i="109"/>
  <c r="J124" i="109" s="1"/>
  <c r="J135" i="109" s="1"/>
  <c r="J19" i="109" s="1"/>
  <c r="I103" i="109"/>
  <c r="I124" i="109" s="1"/>
  <c r="I135" i="109" s="1"/>
  <c r="I19" i="109" s="1"/>
  <c r="I118" i="111"/>
  <c r="M101" i="103"/>
  <c r="K122" i="103"/>
  <c r="M122" i="103" s="1"/>
  <c r="M97" i="110"/>
  <c r="K118" i="110"/>
  <c r="M101" i="105"/>
  <c r="K122" i="105"/>
  <c r="M122" i="105" s="1"/>
  <c r="M100" i="110"/>
  <c r="K121" i="110"/>
  <c r="J118" i="114"/>
  <c r="M101" i="114"/>
  <c r="K122" i="114"/>
  <c r="K103" i="108"/>
  <c r="J103" i="108"/>
  <c r="J124" i="108" s="1"/>
  <c r="J135" i="108" s="1"/>
  <c r="I103" i="108"/>
  <c r="I124" i="108" s="1"/>
  <c r="I135" i="108" s="1"/>
  <c r="I118" i="105"/>
  <c r="K69" i="104"/>
  <c r="J118" i="104"/>
  <c r="M97" i="112"/>
  <c r="K118" i="112"/>
  <c r="M97" i="111"/>
  <c r="K118" i="111"/>
  <c r="M101" i="115"/>
  <c r="K122" i="115"/>
  <c r="I102" i="106"/>
  <c r="I123" i="106" s="1"/>
  <c r="I134" i="106" s="1"/>
  <c r="J102" i="106"/>
  <c r="J123" i="106" s="1"/>
  <c r="J134" i="106" s="1"/>
  <c r="K102" i="106"/>
  <c r="M97" i="114"/>
  <c r="K118" i="114"/>
  <c r="K102" i="108"/>
  <c r="J102" i="108"/>
  <c r="J123" i="108" s="1"/>
  <c r="J134" i="108" s="1"/>
  <c r="I102" i="108"/>
  <c r="I123" i="108" s="1"/>
  <c r="I134" i="108" s="1"/>
  <c r="Z58" i="101"/>
  <c r="J118" i="105"/>
  <c r="M98" i="109"/>
  <c r="K119" i="109"/>
  <c r="J118" i="112"/>
  <c r="M101" i="109"/>
  <c r="K122" i="109"/>
  <c r="M98" i="108"/>
  <c r="K119" i="108"/>
  <c r="M119" i="108" s="1"/>
  <c r="K121" i="109"/>
  <c r="M100" i="109"/>
  <c r="J103" i="106"/>
  <c r="J124" i="106" s="1"/>
  <c r="J135" i="106" s="1"/>
  <c r="I103" i="106"/>
  <c r="I124" i="106" s="1"/>
  <c r="I135" i="106" s="1"/>
  <c r="K103" i="106"/>
  <c r="K102" i="103"/>
  <c r="J102" i="103"/>
  <c r="J123" i="103" s="1"/>
  <c r="J134" i="103" s="1"/>
  <c r="I102" i="103"/>
  <c r="I123" i="103" s="1"/>
  <c r="I134" i="103" s="1"/>
  <c r="M98" i="110"/>
  <c r="K119" i="110"/>
  <c r="I118" i="103"/>
  <c r="M97" i="105"/>
  <c r="K118" i="105"/>
  <c r="M100" i="106"/>
  <c r="K121" i="106"/>
  <c r="M121" i="106" s="1"/>
  <c r="M100" i="113"/>
  <c r="K121" i="113"/>
  <c r="I118" i="112"/>
  <c r="I102" i="112"/>
  <c r="I123" i="112" s="1"/>
  <c r="K102" i="112"/>
  <c r="J102" i="112"/>
  <c r="J123" i="112" s="1"/>
  <c r="M98" i="107"/>
  <c r="K119" i="107"/>
  <c r="M119" i="107" s="1"/>
  <c r="J118" i="115"/>
  <c r="Z97" i="101"/>
  <c r="J103" i="103"/>
  <c r="J124" i="103" s="1"/>
  <c r="J135" i="103" s="1"/>
  <c r="I103" i="103"/>
  <c r="I124" i="103" s="1"/>
  <c r="I135" i="103" s="1"/>
  <c r="K103" i="103"/>
  <c r="M100" i="104"/>
  <c r="K121" i="104"/>
  <c r="M121" i="104" s="1"/>
  <c r="M99" i="110"/>
  <c r="K120" i="110"/>
  <c r="J118" i="103"/>
  <c r="M99" i="108"/>
  <c r="K120" i="108"/>
  <c r="M120" i="108" s="1"/>
  <c r="K118" i="107"/>
  <c r="M97" i="107"/>
  <c r="J103" i="112"/>
  <c r="J124" i="112" s="1"/>
  <c r="K103" i="112"/>
  <c r="I103" i="112"/>
  <c r="I124" i="112" s="1"/>
  <c r="I118" i="115"/>
  <c r="M101" i="112"/>
  <c r="K122" i="112"/>
  <c r="M98" i="111"/>
  <c r="K119" i="111"/>
  <c r="I118" i="109"/>
  <c r="M97" i="103"/>
  <c r="K118" i="103"/>
  <c r="M101" i="106"/>
  <c r="K122" i="106"/>
  <c r="M122" i="106" s="1"/>
  <c r="I103" i="114"/>
  <c r="I124" i="114" s="1"/>
  <c r="I135" i="114" s="1"/>
  <c r="I19" i="114" s="1"/>
  <c r="K103" i="114"/>
  <c r="J103" i="114"/>
  <c r="J124" i="114" s="1"/>
  <c r="J135" i="114" s="1"/>
  <c r="J19" i="114" s="1"/>
  <c r="I118" i="107"/>
  <c r="I118" i="113"/>
  <c r="M99" i="107"/>
  <c r="K120" i="107"/>
  <c r="M120" i="107" s="1"/>
  <c r="M97" i="115"/>
  <c r="K118" i="115"/>
  <c r="AA97" i="101"/>
  <c r="J118" i="109"/>
  <c r="M98" i="114"/>
  <c r="K119" i="114"/>
  <c r="M99" i="105"/>
  <c r="K120" i="105"/>
  <c r="M120" i="105" s="1"/>
  <c r="M100" i="111"/>
  <c r="K121" i="111"/>
  <c r="J102" i="114"/>
  <c r="J123" i="114" s="1"/>
  <c r="J134" i="114" s="1"/>
  <c r="J18" i="114" s="1"/>
  <c r="I102" i="114"/>
  <c r="I123" i="114" s="1"/>
  <c r="I134" i="114" s="1"/>
  <c r="I18" i="114" s="1"/>
  <c r="K102" i="114"/>
  <c r="M101" i="111"/>
  <c r="K122" i="111"/>
  <c r="J118" i="107"/>
  <c r="M100" i="107"/>
  <c r="K121" i="107"/>
  <c r="M121" i="107" s="1"/>
  <c r="M97" i="113"/>
  <c r="K118" i="113"/>
  <c r="M99" i="113"/>
  <c r="K120" i="113"/>
  <c r="M98" i="112"/>
  <c r="K119" i="112"/>
  <c r="M100" i="103"/>
  <c r="K121" i="103"/>
  <c r="M121" i="103" s="1"/>
  <c r="M97" i="109"/>
  <c r="K118" i="109"/>
  <c r="M100" i="105"/>
  <c r="K121" i="105"/>
  <c r="M121" i="105" s="1"/>
  <c r="M99" i="112"/>
  <c r="K120" i="112"/>
  <c r="M97" i="106"/>
  <c r="K118" i="106"/>
  <c r="M99" i="106"/>
  <c r="K120" i="106"/>
  <c r="M120" i="106" s="1"/>
  <c r="M101" i="110"/>
  <c r="K122" i="110"/>
  <c r="J118" i="113"/>
  <c r="M99" i="109"/>
  <c r="K120" i="109"/>
  <c r="AA94" i="101"/>
  <c r="M100" i="115"/>
  <c r="K121" i="115"/>
  <c r="I102" i="105"/>
  <c r="I123" i="105" s="1"/>
  <c r="I134" i="105" s="1"/>
  <c r="K102" i="105"/>
  <c r="J102" i="105"/>
  <c r="J123" i="105" s="1"/>
  <c r="J134" i="105" s="1"/>
  <c r="M98" i="115"/>
  <c r="K119" i="115"/>
  <c r="M100" i="108"/>
  <c r="K121" i="108"/>
  <c r="M121" i="108" s="1"/>
  <c r="M99" i="114"/>
  <c r="K120" i="114"/>
  <c r="I118" i="106"/>
  <c r="J69" i="106"/>
  <c r="Z96" i="101"/>
  <c r="K102" i="111"/>
  <c r="J102" i="111"/>
  <c r="J123" i="111" s="1"/>
  <c r="J134" i="111" s="1"/>
  <c r="J18" i="111" s="1"/>
  <c r="I102" i="111"/>
  <c r="I123" i="111" s="1"/>
  <c r="I134" i="111" s="1"/>
  <c r="I18" i="111" s="1"/>
  <c r="Z94" i="101"/>
  <c r="J103" i="105"/>
  <c r="J124" i="105" s="1"/>
  <c r="J135" i="105" s="1"/>
  <c r="K103" i="105"/>
  <c r="I103" i="105"/>
  <c r="I124" i="105" s="1"/>
  <c r="I135" i="105" s="1"/>
  <c r="M99" i="104"/>
  <c r="K120" i="104"/>
  <c r="M120" i="104" s="1"/>
  <c r="I103" i="110"/>
  <c r="I124" i="110" s="1"/>
  <c r="I135" i="110" s="1"/>
  <c r="I19" i="110" s="1"/>
  <c r="J103" i="110"/>
  <c r="J124" i="110" s="1"/>
  <c r="J135" i="110" s="1"/>
  <c r="J19" i="110" s="1"/>
  <c r="K103" i="110"/>
  <c r="K102" i="115"/>
  <c r="J102" i="115"/>
  <c r="J123" i="115" s="1"/>
  <c r="J134" i="115" s="1"/>
  <c r="J18" i="115" s="1"/>
  <c r="I102" i="115"/>
  <c r="I123" i="115" s="1"/>
  <c r="I134" i="115" s="1"/>
  <c r="I18" i="115" s="1"/>
  <c r="K69" i="106"/>
  <c r="J118" i="106"/>
  <c r="M98" i="104"/>
  <c r="K119" i="104"/>
  <c r="M119" i="104" s="1"/>
  <c r="J103" i="113"/>
  <c r="J124" i="113" s="1"/>
  <c r="J135" i="113" s="1"/>
  <c r="J19" i="113" s="1"/>
  <c r="K103" i="113"/>
  <c r="I103" i="113"/>
  <c r="I124" i="113" s="1"/>
  <c r="I135" i="113" s="1"/>
  <c r="I19" i="113" s="1"/>
  <c r="M100" i="112"/>
  <c r="K121" i="112"/>
  <c r="K103" i="111"/>
  <c r="J103" i="111"/>
  <c r="J124" i="111" s="1"/>
  <c r="J135" i="111" s="1"/>
  <c r="J19" i="111" s="1"/>
  <c r="I103" i="111"/>
  <c r="I124" i="111" s="1"/>
  <c r="I135" i="111" s="1"/>
  <c r="I19" i="111" s="1"/>
  <c r="J102" i="107"/>
  <c r="J123" i="107" s="1"/>
  <c r="J134" i="107" s="1"/>
  <c r="I102" i="107"/>
  <c r="I123" i="107" s="1"/>
  <c r="I134" i="107" s="1"/>
  <c r="K102" i="107"/>
  <c r="M98" i="113"/>
  <c r="K119" i="113"/>
  <c r="J69" i="108"/>
  <c r="I118" i="108"/>
  <c r="I102" i="110"/>
  <c r="I123" i="110" s="1"/>
  <c r="I134" i="110" s="1"/>
  <c r="I18" i="110" s="1"/>
  <c r="K102" i="110"/>
  <c r="J102" i="110"/>
  <c r="J123" i="110" s="1"/>
  <c r="J134" i="110" s="1"/>
  <c r="J18" i="110" s="1"/>
  <c r="I103" i="115"/>
  <c r="I124" i="115" s="1"/>
  <c r="I135" i="115" s="1"/>
  <c r="I19" i="115" s="1"/>
  <c r="J103" i="115"/>
  <c r="J124" i="115" s="1"/>
  <c r="J135" i="115" s="1"/>
  <c r="J19" i="115" s="1"/>
  <c r="K103" i="115"/>
  <c r="M98" i="103"/>
  <c r="K119" i="103"/>
  <c r="M119" i="103" s="1"/>
  <c r="K102" i="113"/>
  <c r="I102" i="113"/>
  <c r="I123" i="113" s="1"/>
  <c r="I134" i="113" s="1"/>
  <c r="I18" i="113" s="1"/>
  <c r="J102" i="113"/>
  <c r="J123" i="113" s="1"/>
  <c r="J134" i="113" s="1"/>
  <c r="J18" i="113" s="1"/>
  <c r="AA96" i="101"/>
  <c r="M98" i="106"/>
  <c r="K119" i="106"/>
  <c r="M119" i="106" s="1"/>
  <c r="I118" i="110"/>
  <c r="K103" i="107"/>
  <c r="J103" i="107"/>
  <c r="J124" i="107" s="1"/>
  <c r="J135" i="107" s="1"/>
  <c r="I103" i="107"/>
  <c r="I124" i="107" s="1"/>
  <c r="I135" i="107" s="1"/>
  <c r="M101" i="104"/>
  <c r="K122" i="104"/>
  <c r="M122" i="104" s="1"/>
  <c r="J118" i="108"/>
  <c r="K69" i="108"/>
  <c r="M99" i="103"/>
  <c r="K120" i="103"/>
  <c r="M120" i="103" s="1"/>
  <c r="M101" i="113"/>
  <c r="K122" i="113"/>
  <c r="J23" i="112"/>
  <c r="Y36" i="101"/>
  <c r="K36" i="98" s="1"/>
  <c r="Y59" i="101"/>
  <c r="Y37" i="101" s="1"/>
  <c r="K37" i="98" s="1"/>
  <c r="L37" i="98" s="1"/>
  <c r="N37" i="98" s="1"/>
  <c r="Y60" i="101"/>
  <c r="Y38" i="101" s="1"/>
  <c r="K38" i="98" s="1"/>
  <c r="Y39" i="101"/>
  <c r="K39" i="98" s="1"/>
  <c r="L39" i="98" s="1"/>
  <c r="N39" i="98" s="1"/>
  <c r="AA60" i="101"/>
  <c r="AA38" i="101" s="1"/>
  <c r="Y40" i="101"/>
  <c r="H20" i="106"/>
  <c r="H136" i="106"/>
  <c r="I23" i="112"/>
  <c r="AA88" i="101"/>
  <c r="AA89" i="101" s="1"/>
  <c r="Z88" i="101"/>
  <c r="Z89" i="101" s="1"/>
  <c r="G7" i="117"/>
  <c r="AA115" i="101" s="1"/>
  <c r="K23" i="112"/>
  <c r="M114" i="112"/>
  <c r="H13" i="112"/>
  <c r="H20" i="112" s="1"/>
  <c r="H136" i="112"/>
  <c r="F7" i="117"/>
  <c r="Z115" i="101" s="1"/>
  <c r="G9" i="117"/>
  <c r="AA117" i="101" s="1"/>
  <c r="F9" i="117"/>
  <c r="Z117" i="101" s="1"/>
  <c r="G6" i="117"/>
  <c r="AA114" i="101" s="1"/>
  <c r="H5" i="117"/>
  <c r="G8" i="117"/>
  <c r="AA116" i="101" s="1"/>
  <c r="AB89" i="101"/>
  <c r="H20" i="110"/>
  <c r="J130" i="104"/>
  <c r="J133" i="104"/>
  <c r="J132" i="104"/>
  <c r="J131" i="104"/>
  <c r="K55" i="107"/>
  <c r="J107" i="107"/>
  <c r="K55" i="108"/>
  <c r="J107" i="108"/>
  <c r="K55" i="106"/>
  <c r="J107" i="106"/>
  <c r="K55" i="104"/>
  <c r="J107" i="104"/>
  <c r="K55" i="105"/>
  <c r="J107" i="105"/>
  <c r="K55" i="103"/>
  <c r="J107" i="103"/>
  <c r="G78" i="35"/>
  <c r="G98" i="35" s="1"/>
  <c r="J101" i="35"/>
  <c r="G82" i="35"/>
  <c r="G81" i="35"/>
  <c r="G80" i="35"/>
  <c r="G79" i="35"/>
  <c r="I101" i="35"/>
  <c r="I100" i="35"/>
  <c r="H97" i="35"/>
  <c r="G83" i="35"/>
  <c r="K101" i="35"/>
  <c r="K100" i="35"/>
  <c r="J100" i="35"/>
  <c r="K40" i="98" l="1"/>
  <c r="L40" i="98" s="1"/>
  <c r="N40" i="98" s="1"/>
  <c r="K69" i="109"/>
  <c r="J69" i="109"/>
  <c r="J69" i="112"/>
  <c r="Y57" i="101"/>
  <c r="Y64" i="101" s="1"/>
  <c r="Z39" i="101"/>
  <c r="Z136" i="101" s="1"/>
  <c r="Z36" i="101"/>
  <c r="Z133" i="101" s="1"/>
  <c r="AA39" i="101"/>
  <c r="J125" i="106"/>
  <c r="J24" i="106" s="1"/>
  <c r="J125" i="104"/>
  <c r="J24" i="104" s="1"/>
  <c r="J125" i="108"/>
  <c r="J24" i="108" s="1"/>
  <c r="AA36" i="101"/>
  <c r="M103" i="113"/>
  <c r="K124" i="113"/>
  <c r="I129" i="106"/>
  <c r="I136" i="106" s="1"/>
  <c r="I125" i="106"/>
  <c r="I24" i="106" s="1"/>
  <c r="M118" i="103"/>
  <c r="AA99" i="101"/>
  <c r="J135" i="112"/>
  <c r="J19" i="112" s="1"/>
  <c r="AA63" i="101" s="1"/>
  <c r="M103" i="103"/>
  <c r="K124" i="103"/>
  <c r="M124" i="103" s="1"/>
  <c r="M102" i="108"/>
  <c r="K123" i="108"/>
  <c r="M123" i="108" s="1"/>
  <c r="K132" i="110"/>
  <c r="M121" i="110"/>
  <c r="M103" i="109"/>
  <c r="K124" i="109"/>
  <c r="M118" i="108"/>
  <c r="K131" i="111"/>
  <c r="M120" i="111"/>
  <c r="M102" i="113"/>
  <c r="K123" i="113"/>
  <c r="K130" i="113"/>
  <c r="M119" i="113"/>
  <c r="K131" i="114"/>
  <c r="M120" i="114"/>
  <c r="M120" i="109"/>
  <c r="K131" i="109"/>
  <c r="K132" i="111"/>
  <c r="M121" i="111"/>
  <c r="M121" i="113"/>
  <c r="K132" i="113"/>
  <c r="AA93" i="101"/>
  <c r="J129" i="112"/>
  <c r="J125" i="112"/>
  <c r="J24" i="112" s="1"/>
  <c r="M118" i="114"/>
  <c r="K129" i="114"/>
  <c r="J69" i="104"/>
  <c r="K129" i="113"/>
  <c r="M118" i="113"/>
  <c r="M118" i="107"/>
  <c r="K69" i="112"/>
  <c r="I125" i="105"/>
  <c r="I24" i="105" s="1"/>
  <c r="I129" i="105"/>
  <c r="I136" i="105" s="1"/>
  <c r="I125" i="104"/>
  <c r="I24" i="104" s="1"/>
  <c r="I129" i="104"/>
  <c r="I136" i="104" s="1"/>
  <c r="M102" i="107"/>
  <c r="K123" i="107"/>
  <c r="M123" i="107" s="1"/>
  <c r="J125" i="113"/>
  <c r="J24" i="113" s="1"/>
  <c r="J129" i="113"/>
  <c r="I129" i="113"/>
  <c r="I125" i="113"/>
  <c r="I24" i="113" s="1"/>
  <c r="I125" i="109"/>
  <c r="I24" i="109" s="1"/>
  <c r="I129" i="109"/>
  <c r="K123" i="103"/>
  <c r="M123" i="103" s="1"/>
  <c r="M102" i="103"/>
  <c r="M119" i="109"/>
  <c r="K130" i="109"/>
  <c r="M102" i="106"/>
  <c r="K123" i="106"/>
  <c r="M123" i="106" s="1"/>
  <c r="J69" i="105"/>
  <c r="M121" i="114"/>
  <c r="K132" i="114"/>
  <c r="M102" i="109"/>
  <c r="K123" i="109"/>
  <c r="M120" i="113"/>
  <c r="K131" i="113"/>
  <c r="M103" i="115"/>
  <c r="K124" i="115"/>
  <c r="M103" i="105"/>
  <c r="K124" i="105"/>
  <c r="M124" i="105" s="1"/>
  <c r="K69" i="113"/>
  <c r="J69" i="113"/>
  <c r="K130" i="111"/>
  <c r="M119" i="111"/>
  <c r="J125" i="115"/>
  <c r="J24" i="115" s="1"/>
  <c r="J129" i="115"/>
  <c r="M103" i="106"/>
  <c r="K124" i="106"/>
  <c r="M124" i="106" s="1"/>
  <c r="K129" i="110"/>
  <c r="M118" i="110"/>
  <c r="I125" i="114"/>
  <c r="I24" i="114" s="1"/>
  <c r="I129" i="114"/>
  <c r="M103" i="107"/>
  <c r="K124" i="107"/>
  <c r="M124" i="107" s="1"/>
  <c r="M119" i="115"/>
  <c r="K130" i="115"/>
  <c r="K133" i="110"/>
  <c r="M122" i="110"/>
  <c r="K130" i="114"/>
  <c r="M119" i="114"/>
  <c r="J69" i="107"/>
  <c r="K69" i="115"/>
  <c r="M118" i="105"/>
  <c r="J125" i="105"/>
  <c r="J24" i="105" s="1"/>
  <c r="J69" i="114"/>
  <c r="I129" i="110"/>
  <c r="I125" i="110"/>
  <c r="I24" i="110" s="1"/>
  <c r="M118" i="109"/>
  <c r="K129" i="109"/>
  <c r="K69" i="107"/>
  <c r="I129" i="107"/>
  <c r="I136" i="107" s="1"/>
  <c r="I125" i="107"/>
  <c r="I24" i="107" s="1"/>
  <c r="AB97" i="101"/>
  <c r="M122" i="112"/>
  <c r="K133" i="112"/>
  <c r="J125" i="103"/>
  <c r="J24" i="103" s="1"/>
  <c r="K69" i="105"/>
  <c r="M122" i="115"/>
  <c r="K133" i="115"/>
  <c r="M122" i="113"/>
  <c r="K133" i="113"/>
  <c r="J69" i="110"/>
  <c r="J125" i="107"/>
  <c r="J24" i="107" s="1"/>
  <c r="K69" i="103"/>
  <c r="M103" i="108"/>
  <c r="K124" i="108"/>
  <c r="M124" i="108" s="1"/>
  <c r="M103" i="104"/>
  <c r="K124" i="104"/>
  <c r="M124" i="104" s="1"/>
  <c r="M118" i="104"/>
  <c r="M102" i="110"/>
  <c r="K123" i="110"/>
  <c r="M103" i="111"/>
  <c r="K124" i="111"/>
  <c r="K123" i="105"/>
  <c r="M123" i="105" s="1"/>
  <c r="M102" i="105"/>
  <c r="M122" i="111"/>
  <c r="K133" i="111"/>
  <c r="M103" i="114"/>
  <c r="K124" i="114"/>
  <c r="I129" i="115"/>
  <c r="I125" i="115"/>
  <c r="I24" i="115" s="1"/>
  <c r="M120" i="110"/>
  <c r="K131" i="110"/>
  <c r="AA98" i="101"/>
  <c r="J134" i="112"/>
  <c r="J18" i="112" s="1"/>
  <c r="AA62" i="101" s="1"/>
  <c r="M121" i="109"/>
  <c r="K132" i="109"/>
  <c r="K129" i="111"/>
  <c r="M118" i="111"/>
  <c r="M122" i="114"/>
  <c r="K133" i="114"/>
  <c r="I129" i="111"/>
  <c r="I125" i="111"/>
  <c r="I24" i="111" s="1"/>
  <c r="J129" i="110"/>
  <c r="J125" i="110"/>
  <c r="J24" i="110" s="1"/>
  <c r="AB96" i="101"/>
  <c r="M121" i="112"/>
  <c r="K132" i="112"/>
  <c r="M102" i="115"/>
  <c r="K123" i="115"/>
  <c r="M102" i="111"/>
  <c r="K123" i="111"/>
  <c r="M118" i="106"/>
  <c r="J125" i="109"/>
  <c r="J24" i="109" s="1"/>
  <c r="J129" i="109"/>
  <c r="J69" i="115"/>
  <c r="M102" i="112"/>
  <c r="K123" i="112"/>
  <c r="I125" i="103"/>
  <c r="I24" i="103" s="1"/>
  <c r="I129" i="103"/>
  <c r="I136" i="103" s="1"/>
  <c r="J69" i="111"/>
  <c r="K69" i="110"/>
  <c r="M103" i="110"/>
  <c r="K124" i="110"/>
  <c r="K132" i="115"/>
  <c r="M121" i="115"/>
  <c r="AB94" i="101"/>
  <c r="K130" i="112"/>
  <c r="M119" i="112"/>
  <c r="M102" i="114"/>
  <c r="K123" i="114"/>
  <c r="Z99" i="101"/>
  <c r="I135" i="112"/>
  <c r="I19" i="112" s="1"/>
  <c r="Z63" i="101" s="1"/>
  <c r="Z98" i="101"/>
  <c r="I134" i="112"/>
  <c r="I18" i="112" s="1"/>
  <c r="Z62" i="101" s="1"/>
  <c r="J69" i="103"/>
  <c r="AB93" i="101"/>
  <c r="M118" i="112"/>
  <c r="K129" i="112"/>
  <c r="J125" i="114"/>
  <c r="J24" i="114" s="1"/>
  <c r="J129" i="114"/>
  <c r="K131" i="115"/>
  <c r="M120" i="115"/>
  <c r="J125" i="111"/>
  <c r="J24" i="111" s="1"/>
  <c r="J129" i="111"/>
  <c r="I125" i="108"/>
  <c r="I24" i="108" s="1"/>
  <c r="I129" i="108"/>
  <c r="I136" i="108" s="1"/>
  <c r="AB95" i="101"/>
  <c r="M120" i="112"/>
  <c r="K131" i="112"/>
  <c r="M118" i="115"/>
  <c r="K129" i="115"/>
  <c r="M103" i="112"/>
  <c r="K124" i="112"/>
  <c r="Z93" i="101"/>
  <c r="I129" i="112"/>
  <c r="I125" i="112"/>
  <c r="I24" i="112" s="1"/>
  <c r="K130" i="110"/>
  <c r="M119" i="110"/>
  <c r="M122" i="109"/>
  <c r="K133" i="109"/>
  <c r="K69" i="114"/>
  <c r="K69" i="111"/>
  <c r="M102" i="104"/>
  <c r="K123" i="104"/>
  <c r="M123" i="104" s="1"/>
  <c r="Y35" i="101"/>
  <c r="K35" i="98" s="1"/>
  <c r="K41" i="98" s="1"/>
  <c r="L36" i="98"/>
  <c r="N36" i="98" s="1"/>
  <c r="F5" i="117"/>
  <c r="F14" i="117" s="1"/>
  <c r="G5" i="117"/>
  <c r="AB120" i="101"/>
  <c r="H14" i="117"/>
  <c r="K77" i="108"/>
  <c r="K80" i="108"/>
  <c r="K83" i="108"/>
  <c r="K78" i="108"/>
  <c r="K81" i="108"/>
  <c r="K79" i="108"/>
  <c r="K82" i="108"/>
  <c r="K80" i="107"/>
  <c r="K83" i="107"/>
  <c r="K82" i="107"/>
  <c r="K77" i="107"/>
  <c r="K79" i="107"/>
  <c r="K81" i="107"/>
  <c r="K78" i="107"/>
  <c r="K79" i="106"/>
  <c r="K78" i="106"/>
  <c r="K77" i="106"/>
  <c r="K82" i="106"/>
  <c r="K83" i="106"/>
  <c r="K81" i="106"/>
  <c r="K80" i="106"/>
  <c r="J114" i="106"/>
  <c r="J23" i="106" s="1"/>
  <c r="J129" i="106"/>
  <c r="J114" i="107"/>
  <c r="J23" i="107" s="1"/>
  <c r="J129" i="107"/>
  <c r="J129" i="108"/>
  <c r="J114" i="108"/>
  <c r="J23" i="108" s="1"/>
  <c r="J114" i="104"/>
  <c r="J23" i="104" s="1"/>
  <c r="J129" i="104"/>
  <c r="K83" i="104"/>
  <c r="K82" i="104"/>
  <c r="K81" i="104"/>
  <c r="K79" i="104"/>
  <c r="K77" i="104"/>
  <c r="K80" i="104"/>
  <c r="K78" i="104"/>
  <c r="J129" i="105"/>
  <c r="J114" i="105"/>
  <c r="J23" i="105" s="1"/>
  <c r="K78" i="105"/>
  <c r="K77" i="105"/>
  <c r="K80" i="105"/>
  <c r="K81" i="105"/>
  <c r="K79" i="105"/>
  <c r="K82" i="105"/>
  <c r="K83" i="105"/>
  <c r="J129" i="103"/>
  <c r="J114" i="103"/>
  <c r="J23" i="103" s="1"/>
  <c r="K79" i="103"/>
  <c r="K83" i="103"/>
  <c r="K80" i="103"/>
  <c r="K78" i="103"/>
  <c r="K77" i="103"/>
  <c r="K81" i="103"/>
  <c r="K82" i="103"/>
  <c r="G102" i="35"/>
  <c r="G99" i="35"/>
  <c r="G97" i="35"/>
  <c r="G101" i="35"/>
  <c r="M101" i="35" s="1"/>
  <c r="G103" i="35"/>
  <c r="G100" i="35"/>
  <c r="M100" i="35" s="1"/>
  <c r="K121" i="35"/>
  <c r="E96" i="101" s="1"/>
  <c r="K122" i="35"/>
  <c r="E97" i="101" s="1"/>
  <c r="P26" i="99"/>
  <c r="P27" i="99" s="1"/>
  <c r="P28" i="99" s="1"/>
  <c r="O12" i="99"/>
  <c r="O13" i="99" s="1"/>
  <c r="P12" i="99"/>
  <c r="P13" i="99" s="1"/>
  <c r="N12" i="99"/>
  <c r="N13" i="99" s="1"/>
  <c r="AA40" i="101" l="1"/>
  <c r="Z40" i="101"/>
  <c r="K125" i="115"/>
  <c r="K24" i="115" s="1"/>
  <c r="K125" i="109"/>
  <c r="M125" i="109" s="1"/>
  <c r="K125" i="111"/>
  <c r="K125" i="105"/>
  <c r="K125" i="106"/>
  <c r="K24" i="106" s="1"/>
  <c r="K125" i="112"/>
  <c r="M125" i="112" s="1"/>
  <c r="Z100" i="101"/>
  <c r="Z101" i="101" s="1"/>
  <c r="M130" i="112"/>
  <c r="K14" i="112"/>
  <c r="K17" i="113"/>
  <c r="M133" i="113"/>
  <c r="K13" i="109"/>
  <c r="M129" i="109"/>
  <c r="K13" i="110"/>
  <c r="M129" i="110"/>
  <c r="K135" i="115"/>
  <c r="M124" i="115"/>
  <c r="K17" i="109"/>
  <c r="M133" i="109"/>
  <c r="K15" i="112"/>
  <c r="M131" i="112"/>
  <c r="M129" i="112"/>
  <c r="K13" i="112"/>
  <c r="J136" i="109"/>
  <c r="J13" i="109"/>
  <c r="J136" i="110"/>
  <c r="J13" i="110"/>
  <c r="J20" i="110" s="1"/>
  <c r="M131" i="110"/>
  <c r="K15" i="110"/>
  <c r="M123" i="110"/>
  <c r="K134" i="110"/>
  <c r="M130" i="114"/>
  <c r="K14" i="114"/>
  <c r="K125" i="110"/>
  <c r="M130" i="113"/>
  <c r="K14" i="113"/>
  <c r="K17" i="115"/>
  <c r="M133" i="115"/>
  <c r="K15" i="113"/>
  <c r="M131" i="113"/>
  <c r="J136" i="112"/>
  <c r="J13" i="112"/>
  <c r="J20" i="112" s="1"/>
  <c r="M123" i="113"/>
  <c r="K134" i="113"/>
  <c r="M132" i="115"/>
  <c r="K16" i="115"/>
  <c r="I136" i="111"/>
  <c r="I13" i="111"/>
  <c r="I20" i="111" s="1"/>
  <c r="M133" i="110"/>
  <c r="K17" i="110"/>
  <c r="I136" i="109"/>
  <c r="I13" i="109"/>
  <c r="AA100" i="101"/>
  <c r="AA101" i="101" s="1"/>
  <c r="M124" i="110"/>
  <c r="K135" i="110"/>
  <c r="M133" i="114"/>
  <c r="K17" i="114"/>
  <c r="I136" i="115"/>
  <c r="I13" i="115"/>
  <c r="I20" i="115" s="1"/>
  <c r="K125" i="104"/>
  <c r="I136" i="110"/>
  <c r="I13" i="110"/>
  <c r="I20" i="110" s="1"/>
  <c r="M130" i="115"/>
  <c r="K14" i="115"/>
  <c r="J136" i="115"/>
  <c r="J13" i="115"/>
  <c r="J20" i="115" s="1"/>
  <c r="M123" i="109"/>
  <c r="K134" i="109"/>
  <c r="AB98" i="101"/>
  <c r="M132" i="113"/>
  <c r="K16" i="113"/>
  <c r="M130" i="110"/>
  <c r="K14" i="110"/>
  <c r="M123" i="111"/>
  <c r="K134" i="111"/>
  <c r="K135" i="114"/>
  <c r="M124" i="114"/>
  <c r="K125" i="107"/>
  <c r="K15" i="111"/>
  <c r="M131" i="111"/>
  <c r="I13" i="112"/>
  <c r="I20" i="112" s="1"/>
  <c r="I136" i="112"/>
  <c r="J136" i="111"/>
  <c r="J13" i="111"/>
  <c r="J20" i="111" s="1"/>
  <c r="M125" i="111"/>
  <c r="K24" i="111"/>
  <c r="M133" i="112"/>
  <c r="K17" i="112"/>
  <c r="K16" i="114"/>
  <c r="M132" i="114"/>
  <c r="I136" i="113"/>
  <c r="I13" i="113"/>
  <c r="I20" i="113" s="1"/>
  <c r="K125" i="113"/>
  <c r="K134" i="115"/>
  <c r="M123" i="115"/>
  <c r="M133" i="111"/>
  <c r="K17" i="111"/>
  <c r="K14" i="111"/>
  <c r="M130" i="111"/>
  <c r="J136" i="113"/>
  <c r="J13" i="113"/>
  <c r="J20" i="113" s="1"/>
  <c r="M132" i="111"/>
  <c r="K16" i="111"/>
  <c r="K125" i="108"/>
  <c r="K125" i="103"/>
  <c r="AB99" i="101"/>
  <c r="K135" i="112"/>
  <c r="M124" i="112"/>
  <c r="M129" i="111"/>
  <c r="K13" i="111"/>
  <c r="K13" i="113"/>
  <c r="M129" i="113"/>
  <c r="M131" i="109"/>
  <c r="K15" i="109"/>
  <c r="M124" i="109"/>
  <c r="K135" i="109"/>
  <c r="M131" i="115"/>
  <c r="K15" i="115"/>
  <c r="M123" i="114"/>
  <c r="K134" i="114"/>
  <c r="K16" i="112"/>
  <c r="M132" i="112"/>
  <c r="M132" i="109"/>
  <c r="K16" i="109"/>
  <c r="M125" i="105"/>
  <c r="K24" i="105"/>
  <c r="I136" i="114"/>
  <c r="I13" i="114"/>
  <c r="I20" i="114" s="1"/>
  <c r="M129" i="115"/>
  <c r="K13" i="115"/>
  <c r="J136" i="114"/>
  <c r="J13" i="114"/>
  <c r="J20" i="114" s="1"/>
  <c r="M123" i="112"/>
  <c r="K134" i="112"/>
  <c r="K13" i="114"/>
  <c r="M129" i="114"/>
  <c r="K135" i="113"/>
  <c r="M124" i="113"/>
  <c r="K135" i="111"/>
  <c r="M124" i="111"/>
  <c r="K14" i="109"/>
  <c r="M130" i="109"/>
  <c r="K125" i="114"/>
  <c r="K15" i="114"/>
  <c r="M131" i="114"/>
  <c r="K16" i="110"/>
  <c r="M132" i="110"/>
  <c r="L35" i="98"/>
  <c r="L41" i="98" s="1"/>
  <c r="N41" i="98" s="1"/>
  <c r="Z120" i="101"/>
  <c r="AB30" i="101"/>
  <c r="AA120" i="101"/>
  <c r="G14" i="117"/>
  <c r="K155" i="107"/>
  <c r="K109" i="107"/>
  <c r="K153" i="107"/>
  <c r="K107" i="107"/>
  <c r="K159" i="107"/>
  <c r="K113" i="107"/>
  <c r="J136" i="106"/>
  <c r="K156" i="107"/>
  <c r="K110" i="107"/>
  <c r="K158" i="108"/>
  <c r="K112" i="108"/>
  <c r="K159" i="106"/>
  <c r="K113" i="106"/>
  <c r="K153" i="106"/>
  <c r="K107" i="106"/>
  <c r="K157" i="108"/>
  <c r="K111" i="108"/>
  <c r="K157" i="106"/>
  <c r="K111" i="106"/>
  <c r="K154" i="106"/>
  <c r="K108" i="106"/>
  <c r="K154" i="108"/>
  <c r="K108" i="108"/>
  <c r="K156" i="106"/>
  <c r="K110" i="106"/>
  <c r="K158" i="106"/>
  <c r="K112" i="106"/>
  <c r="K155" i="106"/>
  <c r="K109" i="106"/>
  <c r="K159" i="108"/>
  <c r="K113" i="108"/>
  <c r="K155" i="108"/>
  <c r="K109" i="108"/>
  <c r="J136" i="108"/>
  <c r="K154" i="107"/>
  <c r="K108" i="107"/>
  <c r="K156" i="108"/>
  <c r="K110" i="108"/>
  <c r="K158" i="107"/>
  <c r="K112" i="107"/>
  <c r="J136" i="107"/>
  <c r="K157" i="107"/>
  <c r="K111" i="107"/>
  <c r="K153" i="108"/>
  <c r="K107" i="108"/>
  <c r="K154" i="104"/>
  <c r="K108" i="104"/>
  <c r="K158" i="105"/>
  <c r="K112" i="105"/>
  <c r="K157" i="104"/>
  <c r="K111" i="104"/>
  <c r="J136" i="105"/>
  <c r="K153" i="104"/>
  <c r="K107" i="104"/>
  <c r="K159" i="105"/>
  <c r="K113" i="105"/>
  <c r="K155" i="105"/>
  <c r="K109" i="105"/>
  <c r="K158" i="104"/>
  <c r="K112" i="104"/>
  <c r="K154" i="105"/>
  <c r="K108" i="105"/>
  <c r="K156" i="104"/>
  <c r="K110" i="104"/>
  <c r="K155" i="104"/>
  <c r="K109" i="104"/>
  <c r="K157" i="105"/>
  <c r="K111" i="105"/>
  <c r="K159" i="104"/>
  <c r="K113" i="104"/>
  <c r="K156" i="105"/>
  <c r="K110" i="105"/>
  <c r="J136" i="104"/>
  <c r="K153" i="105"/>
  <c r="K107" i="105"/>
  <c r="K157" i="103"/>
  <c r="K111" i="103"/>
  <c r="K154" i="103"/>
  <c r="K108" i="103"/>
  <c r="K159" i="103"/>
  <c r="K113" i="103"/>
  <c r="K158" i="103"/>
  <c r="K112" i="103"/>
  <c r="K156" i="103"/>
  <c r="K110" i="103"/>
  <c r="K155" i="103"/>
  <c r="K109" i="103"/>
  <c r="K153" i="103"/>
  <c r="K107" i="103"/>
  <c r="J136" i="103"/>
  <c r="O26" i="99"/>
  <c r="O27" i="99" s="1"/>
  <c r="O28" i="99" s="1"/>
  <c r="K24" i="109" l="1"/>
  <c r="M125" i="115"/>
  <c r="Z30" i="101"/>
  <c r="N35" i="98"/>
  <c r="M125" i="106"/>
  <c r="K24" i="112"/>
  <c r="K136" i="113"/>
  <c r="M136" i="113" s="1"/>
  <c r="K136" i="112"/>
  <c r="M136" i="112" s="1"/>
  <c r="K136" i="115"/>
  <c r="M136" i="115" s="1"/>
  <c r="AB100" i="101"/>
  <c r="AB101" i="101" s="1"/>
  <c r="K136" i="111"/>
  <c r="M136" i="111" s="1"/>
  <c r="K136" i="109"/>
  <c r="M136" i="109" s="1"/>
  <c r="AB60" i="101"/>
  <c r="AB38" i="101" s="1"/>
  <c r="K24" i="107"/>
  <c r="M125" i="107"/>
  <c r="K18" i="112"/>
  <c r="M134" i="112"/>
  <c r="M135" i="110"/>
  <c r="K19" i="110"/>
  <c r="K18" i="113"/>
  <c r="M134" i="113"/>
  <c r="M135" i="114"/>
  <c r="K19" i="114"/>
  <c r="AB57" i="101"/>
  <c r="AB35" i="101" s="1"/>
  <c r="M125" i="114"/>
  <c r="K24" i="114"/>
  <c r="K18" i="111"/>
  <c r="M134" i="111"/>
  <c r="K18" i="114"/>
  <c r="M134" i="114"/>
  <c r="I20" i="109"/>
  <c r="Z57" i="101"/>
  <c r="Z35" i="101" s="1"/>
  <c r="Z132" i="101" s="1"/>
  <c r="K18" i="110"/>
  <c r="M134" i="110"/>
  <c r="M125" i="110"/>
  <c r="K24" i="110"/>
  <c r="AB58" i="101"/>
  <c r="AB36" i="101" s="1"/>
  <c r="K24" i="104"/>
  <c r="M125" i="104"/>
  <c r="AB61" i="101"/>
  <c r="AB39" i="101" s="1"/>
  <c r="K19" i="111"/>
  <c r="M135" i="111"/>
  <c r="M135" i="112"/>
  <c r="K19" i="112"/>
  <c r="M135" i="109"/>
  <c r="K19" i="109"/>
  <c r="M134" i="115"/>
  <c r="K18" i="115"/>
  <c r="M135" i="115"/>
  <c r="K19" i="115"/>
  <c r="M135" i="113"/>
  <c r="K19" i="113"/>
  <c r="K24" i="103"/>
  <c r="M125" i="103"/>
  <c r="K24" i="113"/>
  <c r="M125" i="113"/>
  <c r="K136" i="114"/>
  <c r="M136" i="114" s="1"/>
  <c r="AB59" i="101"/>
  <c r="AB37" i="101" s="1"/>
  <c r="K24" i="108"/>
  <c r="M125" i="108"/>
  <c r="K18" i="109"/>
  <c r="M134" i="109"/>
  <c r="J20" i="109"/>
  <c r="AA57" i="101"/>
  <c r="AA35" i="101" s="1"/>
  <c r="K136" i="110"/>
  <c r="M136" i="110" s="1"/>
  <c r="Y41" i="101"/>
  <c r="Y42" i="101" s="1"/>
  <c r="Y29" i="101"/>
  <c r="Y31" i="101" s="1"/>
  <c r="Y65" i="101"/>
  <c r="AA30" i="101"/>
  <c r="K129" i="108"/>
  <c r="K114" i="108"/>
  <c r="M107" i="108"/>
  <c r="J158" i="108"/>
  <c r="K168" i="108"/>
  <c r="K132" i="107"/>
  <c r="M110" i="107"/>
  <c r="J157" i="107"/>
  <c r="K167" i="107"/>
  <c r="J155" i="108"/>
  <c r="K165" i="108"/>
  <c r="J154" i="106"/>
  <c r="K164" i="106"/>
  <c r="J156" i="107"/>
  <c r="K166" i="107"/>
  <c r="K135" i="108"/>
  <c r="M113" i="108"/>
  <c r="K133" i="106"/>
  <c r="M111" i="106"/>
  <c r="K130" i="106"/>
  <c r="M108" i="106"/>
  <c r="J159" i="108"/>
  <c r="K169" i="108"/>
  <c r="J157" i="106"/>
  <c r="K167" i="106"/>
  <c r="K133" i="108"/>
  <c r="M111" i="108"/>
  <c r="K135" i="107"/>
  <c r="M113" i="107"/>
  <c r="K134" i="108"/>
  <c r="M112" i="108"/>
  <c r="J153" i="108"/>
  <c r="K163" i="108"/>
  <c r="K134" i="107"/>
  <c r="M112" i="107"/>
  <c r="J158" i="107"/>
  <c r="K168" i="107"/>
  <c r="J155" i="106"/>
  <c r="K165" i="106"/>
  <c r="J157" i="108"/>
  <c r="K167" i="108"/>
  <c r="J159" i="107"/>
  <c r="K169" i="107"/>
  <c r="M108" i="108"/>
  <c r="K130" i="108"/>
  <c r="M111" i="107"/>
  <c r="K133" i="107"/>
  <c r="K131" i="106"/>
  <c r="M109" i="106"/>
  <c r="M110" i="108"/>
  <c r="K132" i="108"/>
  <c r="M112" i="106"/>
  <c r="K134" i="106"/>
  <c r="K114" i="106"/>
  <c r="K129" i="106"/>
  <c r="M107" i="106"/>
  <c r="M107" i="107"/>
  <c r="K129" i="107"/>
  <c r="K114" i="107"/>
  <c r="K131" i="108"/>
  <c r="M109" i="108"/>
  <c r="J156" i="108"/>
  <c r="K166" i="108"/>
  <c r="J158" i="106"/>
  <c r="K168" i="106"/>
  <c r="J153" i="106"/>
  <c r="K163" i="106"/>
  <c r="J153" i="107"/>
  <c r="K163" i="107"/>
  <c r="J154" i="108"/>
  <c r="K164" i="108"/>
  <c r="K130" i="107"/>
  <c r="M108" i="107"/>
  <c r="M110" i="106"/>
  <c r="K132" i="106"/>
  <c r="K135" i="106"/>
  <c r="M113" i="106"/>
  <c r="M109" i="107"/>
  <c r="K131" i="107"/>
  <c r="J154" i="107"/>
  <c r="K164" i="107"/>
  <c r="J156" i="106"/>
  <c r="K166" i="106"/>
  <c r="J159" i="106"/>
  <c r="K169" i="106"/>
  <c r="J155" i="107"/>
  <c r="K165" i="107"/>
  <c r="M107" i="104"/>
  <c r="K129" i="104"/>
  <c r="K114" i="104"/>
  <c r="K135" i="105"/>
  <c r="M113" i="105"/>
  <c r="M109" i="104"/>
  <c r="K131" i="104"/>
  <c r="J153" i="104"/>
  <c r="K163" i="104"/>
  <c r="M108" i="105"/>
  <c r="K130" i="105"/>
  <c r="J154" i="105"/>
  <c r="K164" i="105"/>
  <c r="J157" i="104"/>
  <c r="K167" i="104"/>
  <c r="J157" i="105"/>
  <c r="K167" i="105"/>
  <c r="K133" i="105"/>
  <c r="M111" i="105"/>
  <c r="J159" i="105"/>
  <c r="K169" i="105"/>
  <c r="J155" i="104"/>
  <c r="K165" i="104"/>
  <c r="K129" i="105"/>
  <c r="K114" i="105"/>
  <c r="M107" i="105"/>
  <c r="K132" i="104"/>
  <c r="M110" i="104"/>
  <c r="J153" i="105"/>
  <c r="K163" i="105"/>
  <c r="J156" i="104"/>
  <c r="K166" i="104"/>
  <c r="M111" i="104"/>
  <c r="K133" i="104"/>
  <c r="M110" i="105"/>
  <c r="K132" i="105"/>
  <c r="K134" i="104"/>
  <c r="M112" i="104"/>
  <c r="K134" i="105"/>
  <c r="M112" i="105"/>
  <c r="J156" i="105"/>
  <c r="K166" i="105"/>
  <c r="J158" i="104"/>
  <c r="K168" i="104"/>
  <c r="J158" i="105"/>
  <c r="K168" i="105"/>
  <c r="K130" i="104"/>
  <c r="M108" i="104"/>
  <c r="K135" i="104"/>
  <c r="M113" i="104"/>
  <c r="K131" i="105"/>
  <c r="M109" i="105"/>
  <c r="J159" i="104"/>
  <c r="K169" i="104"/>
  <c r="J155" i="105"/>
  <c r="K165" i="105"/>
  <c r="J154" i="104"/>
  <c r="K164" i="104"/>
  <c r="K130" i="103"/>
  <c r="M108" i="103"/>
  <c r="M109" i="103"/>
  <c r="K131" i="103"/>
  <c r="J155" i="103"/>
  <c r="K165" i="103"/>
  <c r="K132" i="103"/>
  <c r="M110" i="103"/>
  <c r="J156" i="103"/>
  <c r="K166" i="103"/>
  <c r="K134" i="103"/>
  <c r="M112" i="103"/>
  <c r="J158" i="103"/>
  <c r="K168" i="103"/>
  <c r="M113" i="103"/>
  <c r="K135" i="103"/>
  <c r="J159" i="103"/>
  <c r="K169" i="103"/>
  <c r="J154" i="103"/>
  <c r="K164" i="103"/>
  <c r="M107" i="103"/>
  <c r="K129" i="103"/>
  <c r="K114" i="103"/>
  <c r="M111" i="103"/>
  <c r="K133" i="103"/>
  <c r="J153" i="103"/>
  <c r="K163" i="103"/>
  <c r="J157" i="103"/>
  <c r="K167" i="103"/>
  <c r="H51" i="35"/>
  <c r="H65" i="35" s="1"/>
  <c r="H50" i="35"/>
  <c r="H64" i="35" s="1"/>
  <c r="H49" i="35"/>
  <c r="H63" i="35" s="1"/>
  <c r="H48" i="35"/>
  <c r="H62" i="35" s="1"/>
  <c r="H47" i="35"/>
  <c r="H61" i="35" s="1"/>
  <c r="H46" i="35"/>
  <c r="H60" i="35" s="1"/>
  <c r="H45" i="35"/>
  <c r="K20" i="114" l="1"/>
  <c r="K20" i="110"/>
  <c r="K20" i="113"/>
  <c r="K20" i="112"/>
  <c r="K20" i="115"/>
  <c r="K20" i="111"/>
  <c r="K20" i="109"/>
  <c r="AA64" i="101"/>
  <c r="AB62" i="101"/>
  <c r="AB63" i="101"/>
  <c r="Z64" i="101"/>
  <c r="I159" i="106"/>
  <c r="I169" i="106" s="1"/>
  <c r="I19" i="106" s="1"/>
  <c r="J169" i="106"/>
  <c r="J19" i="106" s="1"/>
  <c r="M130" i="107"/>
  <c r="K14" i="107"/>
  <c r="M131" i="108"/>
  <c r="K15" i="108"/>
  <c r="M131" i="106"/>
  <c r="K15" i="106"/>
  <c r="I158" i="107"/>
  <c r="I168" i="107" s="1"/>
  <c r="I18" i="107" s="1"/>
  <c r="J168" i="107"/>
  <c r="J18" i="107" s="1"/>
  <c r="I157" i="106"/>
  <c r="I167" i="106" s="1"/>
  <c r="I17" i="106" s="1"/>
  <c r="J167" i="106"/>
  <c r="J17" i="106" s="1"/>
  <c r="I154" i="106"/>
  <c r="I164" i="106" s="1"/>
  <c r="I14" i="106" s="1"/>
  <c r="J164" i="106"/>
  <c r="J14" i="106" s="1"/>
  <c r="M114" i="107"/>
  <c r="K23" i="107"/>
  <c r="K17" i="107"/>
  <c r="M133" i="107"/>
  <c r="I156" i="106"/>
  <c r="I166" i="106" s="1"/>
  <c r="I16" i="106" s="1"/>
  <c r="J166" i="106"/>
  <c r="J16" i="106" s="1"/>
  <c r="I154" i="108"/>
  <c r="I164" i="108" s="1"/>
  <c r="I14" i="108" s="1"/>
  <c r="J164" i="108"/>
  <c r="J14" i="108" s="1"/>
  <c r="M129" i="107"/>
  <c r="K13" i="107"/>
  <c r="K136" i="107"/>
  <c r="M136" i="107" s="1"/>
  <c r="M134" i="107"/>
  <c r="K18" i="107"/>
  <c r="I159" i="108"/>
  <c r="I169" i="108" s="1"/>
  <c r="I19" i="108" s="1"/>
  <c r="J169" i="108"/>
  <c r="J19" i="108" s="1"/>
  <c r="I155" i="108"/>
  <c r="I165" i="108" s="1"/>
  <c r="I15" i="108" s="1"/>
  <c r="J165" i="108"/>
  <c r="J15" i="108" s="1"/>
  <c r="K170" i="107"/>
  <c r="K170" i="108"/>
  <c r="M130" i="108"/>
  <c r="K14" i="108"/>
  <c r="I154" i="107"/>
  <c r="I164" i="107" s="1"/>
  <c r="I14" i="107" s="1"/>
  <c r="J164" i="107"/>
  <c r="J14" i="107" s="1"/>
  <c r="I153" i="107"/>
  <c r="I163" i="107" s="1"/>
  <c r="J163" i="107"/>
  <c r="I153" i="108"/>
  <c r="I163" i="108" s="1"/>
  <c r="J163" i="108"/>
  <c r="M130" i="106"/>
  <c r="K14" i="106"/>
  <c r="I157" i="107"/>
  <c r="I167" i="107" s="1"/>
  <c r="I17" i="107" s="1"/>
  <c r="J167" i="107"/>
  <c r="J17" i="107" s="1"/>
  <c r="M129" i="106"/>
  <c r="K13" i="106"/>
  <c r="K136" i="106"/>
  <c r="M136" i="106" s="1"/>
  <c r="K170" i="106"/>
  <c r="I153" i="106"/>
  <c r="I163" i="106" s="1"/>
  <c r="J163" i="106"/>
  <c r="M114" i="106"/>
  <c r="K23" i="106"/>
  <c r="I159" i="107"/>
  <c r="I169" i="107" s="1"/>
  <c r="I19" i="107" s="1"/>
  <c r="J169" i="107"/>
  <c r="J19" i="107" s="1"/>
  <c r="K18" i="108"/>
  <c r="M134" i="108"/>
  <c r="M133" i="106"/>
  <c r="K17" i="106"/>
  <c r="M132" i="107"/>
  <c r="K16" i="107"/>
  <c r="M134" i="106"/>
  <c r="K18" i="106"/>
  <c r="M135" i="106"/>
  <c r="K19" i="106"/>
  <c r="I158" i="106"/>
  <c r="I168" i="106" s="1"/>
  <c r="I18" i="106" s="1"/>
  <c r="J168" i="106"/>
  <c r="J18" i="106" s="1"/>
  <c r="I157" i="108"/>
  <c r="I167" i="108" s="1"/>
  <c r="I17" i="108" s="1"/>
  <c r="J167" i="108"/>
  <c r="J17" i="108" s="1"/>
  <c r="K19" i="107"/>
  <c r="M135" i="107"/>
  <c r="K19" i="108"/>
  <c r="M135" i="108"/>
  <c r="I158" i="108"/>
  <c r="I168" i="108" s="1"/>
  <c r="I18" i="108" s="1"/>
  <c r="J168" i="108"/>
  <c r="J18" i="108" s="1"/>
  <c r="M132" i="106"/>
  <c r="K16" i="106"/>
  <c r="K16" i="108"/>
  <c r="M132" i="108"/>
  <c r="M131" i="107"/>
  <c r="K15" i="107"/>
  <c r="I155" i="107"/>
  <c r="I165" i="107" s="1"/>
  <c r="I15" i="107" s="1"/>
  <c r="J165" i="107"/>
  <c r="J15" i="107" s="1"/>
  <c r="I156" i="108"/>
  <c r="I166" i="108" s="1"/>
  <c r="I16" i="108" s="1"/>
  <c r="J166" i="108"/>
  <c r="J16" i="108" s="1"/>
  <c r="I155" i="106"/>
  <c r="I165" i="106" s="1"/>
  <c r="I15" i="106" s="1"/>
  <c r="J165" i="106"/>
  <c r="J15" i="106" s="1"/>
  <c r="M133" i="108"/>
  <c r="K17" i="108"/>
  <c r="I156" i="107"/>
  <c r="I166" i="107" s="1"/>
  <c r="I16" i="107" s="1"/>
  <c r="J166" i="107"/>
  <c r="J16" i="107" s="1"/>
  <c r="M114" i="108"/>
  <c r="K23" i="108"/>
  <c r="M129" i="108"/>
  <c r="K13" i="108"/>
  <c r="K136" i="108"/>
  <c r="M136" i="108" s="1"/>
  <c r="M130" i="105"/>
  <c r="K14" i="105"/>
  <c r="I154" i="105"/>
  <c r="I164" i="105" s="1"/>
  <c r="I14" i="105" s="1"/>
  <c r="J164" i="105"/>
  <c r="J14" i="105" s="1"/>
  <c r="K170" i="104"/>
  <c r="M131" i="104"/>
  <c r="K15" i="104"/>
  <c r="M130" i="104"/>
  <c r="K14" i="104"/>
  <c r="M133" i="104"/>
  <c r="K17" i="104"/>
  <c r="I153" i="104"/>
  <c r="I163" i="104" s="1"/>
  <c r="J163" i="104"/>
  <c r="I158" i="104"/>
  <c r="I168" i="104" s="1"/>
  <c r="I18" i="104" s="1"/>
  <c r="J168" i="104"/>
  <c r="J18" i="104" s="1"/>
  <c r="K170" i="105"/>
  <c r="M133" i="105"/>
  <c r="K17" i="105"/>
  <c r="I159" i="104"/>
  <c r="I169" i="104" s="1"/>
  <c r="I19" i="104" s="1"/>
  <c r="J169" i="104"/>
  <c r="J19" i="104" s="1"/>
  <c r="I156" i="105"/>
  <c r="I166" i="105" s="1"/>
  <c r="I16" i="105" s="1"/>
  <c r="J166" i="105"/>
  <c r="J16" i="105" s="1"/>
  <c r="I153" i="105"/>
  <c r="I163" i="105" s="1"/>
  <c r="J163" i="105"/>
  <c r="I155" i="105"/>
  <c r="I165" i="105" s="1"/>
  <c r="I15" i="105" s="1"/>
  <c r="J165" i="105"/>
  <c r="J15" i="105" s="1"/>
  <c r="I156" i="104"/>
  <c r="I166" i="104" s="1"/>
  <c r="I16" i="104" s="1"/>
  <c r="J166" i="104"/>
  <c r="J16" i="104" s="1"/>
  <c r="I157" i="105"/>
  <c r="I167" i="105" s="1"/>
  <c r="I17" i="105" s="1"/>
  <c r="J167" i="105"/>
  <c r="J17" i="105" s="1"/>
  <c r="K19" i="105"/>
  <c r="M135" i="105"/>
  <c r="M129" i="105"/>
  <c r="K13" i="105"/>
  <c r="K136" i="105"/>
  <c r="M136" i="105" s="1"/>
  <c r="I154" i="104"/>
  <c r="I164" i="104" s="1"/>
  <c r="I14" i="104" s="1"/>
  <c r="J164" i="104"/>
  <c r="J14" i="104" s="1"/>
  <c r="K16" i="104"/>
  <c r="M132" i="104"/>
  <c r="M114" i="104"/>
  <c r="K23" i="104"/>
  <c r="I155" i="104"/>
  <c r="I165" i="104" s="1"/>
  <c r="I15" i="104" s="1"/>
  <c r="J165" i="104"/>
  <c r="J15" i="104" s="1"/>
  <c r="M129" i="104"/>
  <c r="K13" i="104"/>
  <c r="K136" i="104"/>
  <c r="M136" i="104" s="1"/>
  <c r="K16" i="105"/>
  <c r="M132" i="105"/>
  <c r="I158" i="105"/>
  <c r="I168" i="105" s="1"/>
  <c r="I18" i="105" s="1"/>
  <c r="J168" i="105"/>
  <c r="J18" i="105" s="1"/>
  <c r="I159" i="105"/>
  <c r="I169" i="105" s="1"/>
  <c r="I19" i="105" s="1"/>
  <c r="J169" i="105"/>
  <c r="J19" i="105" s="1"/>
  <c r="M131" i="105"/>
  <c r="K15" i="105"/>
  <c r="K18" i="105"/>
  <c r="M134" i="105"/>
  <c r="I157" i="104"/>
  <c r="I167" i="104" s="1"/>
  <c r="I17" i="104" s="1"/>
  <c r="J167" i="104"/>
  <c r="J17" i="104" s="1"/>
  <c r="K19" i="104"/>
  <c r="M135" i="104"/>
  <c r="M134" i="104"/>
  <c r="K18" i="104"/>
  <c r="M114" i="105"/>
  <c r="K23" i="105"/>
  <c r="K15" i="103"/>
  <c r="M131" i="103"/>
  <c r="M129" i="103"/>
  <c r="K136" i="103"/>
  <c r="M136" i="103" s="1"/>
  <c r="K13" i="103"/>
  <c r="K23" i="103"/>
  <c r="M114" i="103"/>
  <c r="M134" i="103"/>
  <c r="K18" i="103"/>
  <c r="I156" i="103"/>
  <c r="I166" i="103" s="1"/>
  <c r="I16" i="103" s="1"/>
  <c r="J166" i="103"/>
  <c r="J16" i="103" s="1"/>
  <c r="I154" i="103"/>
  <c r="I164" i="103" s="1"/>
  <c r="I14" i="103" s="1"/>
  <c r="J164" i="103"/>
  <c r="J14" i="103" s="1"/>
  <c r="M132" i="103"/>
  <c r="K16" i="103"/>
  <c r="I159" i="103"/>
  <c r="I169" i="103" s="1"/>
  <c r="I19" i="103" s="1"/>
  <c r="J169" i="103"/>
  <c r="J19" i="103" s="1"/>
  <c r="I155" i="103"/>
  <c r="I165" i="103" s="1"/>
  <c r="I15" i="103" s="1"/>
  <c r="J165" i="103"/>
  <c r="J15" i="103" s="1"/>
  <c r="K170" i="103"/>
  <c r="I157" i="103"/>
  <c r="I167" i="103" s="1"/>
  <c r="I17" i="103" s="1"/>
  <c r="J167" i="103"/>
  <c r="J17" i="103" s="1"/>
  <c r="M135" i="103"/>
  <c r="K19" i="103"/>
  <c r="I153" i="103"/>
  <c r="I163" i="103" s="1"/>
  <c r="J163" i="103"/>
  <c r="K17" i="103"/>
  <c r="M133" i="103"/>
  <c r="I158" i="103"/>
  <c r="I168" i="103" s="1"/>
  <c r="I18" i="103" s="1"/>
  <c r="J168" i="103"/>
  <c r="J18" i="103" s="1"/>
  <c r="K14" i="103"/>
  <c r="M130" i="103"/>
  <c r="H59" i="35"/>
  <c r="I60" i="35"/>
  <c r="G60" i="35"/>
  <c r="J60" i="35"/>
  <c r="G61" i="35"/>
  <c r="J61" i="35"/>
  <c r="I61" i="35"/>
  <c r="G62" i="35"/>
  <c r="J62" i="35"/>
  <c r="I62" i="35"/>
  <c r="J63" i="35"/>
  <c r="G63" i="35"/>
  <c r="I63" i="35"/>
  <c r="J64" i="35"/>
  <c r="G64" i="35"/>
  <c r="I64" i="35"/>
  <c r="G65" i="35"/>
  <c r="J65" i="35"/>
  <c r="I65" i="35"/>
  <c r="I45" i="35"/>
  <c r="J45" i="35"/>
  <c r="G45" i="35"/>
  <c r="H52" i="35"/>
  <c r="J51" i="35"/>
  <c r="G51" i="35"/>
  <c r="I51" i="35"/>
  <c r="J46" i="35"/>
  <c r="I46" i="35"/>
  <c r="G46" i="35"/>
  <c r="I47" i="35"/>
  <c r="J47" i="35"/>
  <c r="G47" i="35"/>
  <c r="J48" i="35"/>
  <c r="G48" i="35"/>
  <c r="I48" i="35"/>
  <c r="G49" i="35"/>
  <c r="J49" i="35"/>
  <c r="I49" i="35"/>
  <c r="G50" i="35"/>
  <c r="I50" i="35"/>
  <c r="J50" i="35"/>
  <c r="H165" i="35"/>
  <c r="H166" i="35"/>
  <c r="H107" i="35"/>
  <c r="B81" i="101" s="1"/>
  <c r="Z41" i="101" l="1"/>
  <c r="Z42" i="101" s="1"/>
  <c r="Z65" i="101"/>
  <c r="AB40" i="101"/>
  <c r="AB64" i="101"/>
  <c r="AB41" i="101" s="1"/>
  <c r="AB42" i="101" s="1"/>
  <c r="Z29" i="101"/>
  <c r="Z31" i="101" s="1"/>
  <c r="AA29" i="101"/>
  <c r="AA31" i="101" s="1"/>
  <c r="AA65" i="101"/>
  <c r="AA41" i="101"/>
  <c r="AA42" i="101" s="1"/>
  <c r="K20" i="103"/>
  <c r="K20" i="108"/>
  <c r="K20" i="105"/>
  <c r="K20" i="107"/>
  <c r="K20" i="106"/>
  <c r="J170" i="108"/>
  <c r="J13" i="108"/>
  <c r="J20" i="108" s="1"/>
  <c r="I170" i="108"/>
  <c r="I13" i="108"/>
  <c r="I20" i="108" s="1"/>
  <c r="J170" i="106"/>
  <c r="J13" i="106"/>
  <c r="J20" i="106" s="1"/>
  <c r="J170" i="107"/>
  <c r="J13" i="107"/>
  <c r="J20" i="107" s="1"/>
  <c r="I170" i="106"/>
  <c r="I13" i="106"/>
  <c r="I20" i="106" s="1"/>
  <c r="I170" i="107"/>
  <c r="I13" i="107"/>
  <c r="I20" i="107" s="1"/>
  <c r="J170" i="105"/>
  <c r="J13" i="105"/>
  <c r="J20" i="105" s="1"/>
  <c r="I170" i="104"/>
  <c r="I13" i="104"/>
  <c r="I170" i="105"/>
  <c r="I13" i="105"/>
  <c r="I20" i="105" s="1"/>
  <c r="K20" i="104"/>
  <c r="J170" i="104"/>
  <c r="J13" i="104"/>
  <c r="J170" i="103"/>
  <c r="J13" i="103"/>
  <c r="J20" i="103" s="1"/>
  <c r="I170" i="103"/>
  <c r="I13" i="103"/>
  <c r="I20" i="103" s="1"/>
  <c r="H55" i="35"/>
  <c r="I55" i="35"/>
  <c r="G59" i="35"/>
  <c r="G66" i="35" s="1"/>
  <c r="J59" i="35"/>
  <c r="J66" i="35" s="1"/>
  <c r="I59" i="35"/>
  <c r="G112" i="35"/>
  <c r="G123" i="35"/>
  <c r="J122" i="35"/>
  <c r="D97" i="101" s="1"/>
  <c r="G113" i="35"/>
  <c r="G124" i="35"/>
  <c r="G111" i="35"/>
  <c r="G122" i="35"/>
  <c r="I121" i="35"/>
  <c r="C96" i="101" s="1"/>
  <c r="I122" i="35"/>
  <c r="C97" i="101" s="1"/>
  <c r="G110" i="35"/>
  <c r="G121" i="35"/>
  <c r="J121" i="35"/>
  <c r="D96" i="101" s="1"/>
  <c r="G107" i="35"/>
  <c r="G118" i="35"/>
  <c r="G52" i="35"/>
  <c r="G108" i="35"/>
  <c r="G119" i="35"/>
  <c r="G109" i="35"/>
  <c r="G120" i="35"/>
  <c r="H119" i="35"/>
  <c r="B94" i="101" s="1"/>
  <c r="H122" i="35"/>
  <c r="B97" i="101" s="1"/>
  <c r="H110" i="35"/>
  <c r="B84" i="101" s="1"/>
  <c r="H113" i="35"/>
  <c r="B87" i="101" s="1"/>
  <c r="H118" i="35"/>
  <c r="B93" i="101" s="1"/>
  <c r="H124" i="35"/>
  <c r="B99" i="101" s="1"/>
  <c r="H112" i="35"/>
  <c r="B86" i="101" s="1"/>
  <c r="H120" i="35"/>
  <c r="B95" i="101" s="1"/>
  <c r="H123" i="35"/>
  <c r="B98" i="101" s="1"/>
  <c r="H108" i="35"/>
  <c r="B82" i="101" s="1"/>
  <c r="H111" i="35"/>
  <c r="B85" i="101" s="1"/>
  <c r="H121" i="35"/>
  <c r="B96" i="101" s="1"/>
  <c r="H109" i="35"/>
  <c r="B83" i="101" s="1"/>
  <c r="H149" i="35"/>
  <c r="AB65" i="101" l="1"/>
  <c r="AB29" i="101"/>
  <c r="AB31" i="101" s="1"/>
  <c r="B100" i="101"/>
  <c r="B101" i="101" s="1"/>
  <c r="B88" i="101"/>
  <c r="B89" i="101" s="1"/>
  <c r="I80" i="35"/>
  <c r="I110" i="35" s="1"/>
  <c r="C84" i="101" s="1"/>
  <c r="I81" i="35"/>
  <c r="I111" i="35" s="1"/>
  <c r="C85" i="101" s="1"/>
  <c r="I82" i="35"/>
  <c r="I112" i="35" s="1"/>
  <c r="C86" i="101" s="1"/>
  <c r="I83" i="35"/>
  <c r="I113" i="35" s="1"/>
  <c r="C87" i="101" s="1"/>
  <c r="I79" i="35"/>
  <c r="I78" i="35"/>
  <c r="I20" i="104"/>
  <c r="J20" i="104"/>
  <c r="H69" i="35"/>
  <c r="M121" i="35"/>
  <c r="I66" i="35"/>
  <c r="I69" i="35"/>
  <c r="M122" i="35"/>
  <c r="G125" i="35"/>
  <c r="G114" i="35"/>
  <c r="I77" i="35"/>
  <c r="H133" i="35"/>
  <c r="H129" i="35"/>
  <c r="H114" i="35"/>
  <c r="H134" i="35"/>
  <c r="H125" i="35"/>
  <c r="H130" i="35"/>
  <c r="H135" i="35"/>
  <c r="H132" i="35"/>
  <c r="H16" i="35" s="1"/>
  <c r="H131" i="35"/>
  <c r="H15" i="35" s="1"/>
  <c r="B59" i="101" l="1"/>
  <c r="B60" i="101"/>
  <c r="B38" i="101" s="1"/>
  <c r="I133" i="35"/>
  <c r="I132" i="35"/>
  <c r="J55" i="35"/>
  <c r="I107" i="35"/>
  <c r="C81" i="101" s="1"/>
  <c r="H136" i="35"/>
  <c r="J78" i="35" l="1"/>
  <c r="J82" i="35"/>
  <c r="J79" i="35"/>
  <c r="J83" i="35"/>
  <c r="J81" i="35"/>
  <c r="J77" i="35"/>
  <c r="J80" i="35"/>
  <c r="I108" i="35"/>
  <c r="C82" i="101" s="1"/>
  <c r="K103" i="35"/>
  <c r="J103" i="35"/>
  <c r="J124" i="35" s="1"/>
  <c r="D99" i="101" s="1"/>
  <c r="I103" i="35"/>
  <c r="I124" i="35" s="1"/>
  <c r="C99" i="101" s="1"/>
  <c r="I99" i="35"/>
  <c r="K99" i="35"/>
  <c r="M99" i="35" s="1"/>
  <c r="J99" i="35"/>
  <c r="K102" i="35"/>
  <c r="J102" i="35"/>
  <c r="J123" i="35" s="1"/>
  <c r="D98" i="101" s="1"/>
  <c r="I102" i="35"/>
  <c r="I123" i="35" s="1"/>
  <c r="C98" i="101" s="1"/>
  <c r="I98" i="35"/>
  <c r="I119" i="35" s="1"/>
  <c r="C94" i="101" s="1"/>
  <c r="J98" i="35"/>
  <c r="K98" i="35"/>
  <c r="J97" i="35"/>
  <c r="K97" i="35"/>
  <c r="M97" i="35" s="1"/>
  <c r="I97" i="35"/>
  <c r="H8" i="35"/>
  <c r="C9" i="101" s="1"/>
  <c r="C23" i="101" s="1"/>
  <c r="H7" i="35"/>
  <c r="J69" i="35" l="1"/>
  <c r="I135" i="35"/>
  <c r="I134" i="35"/>
  <c r="K69" i="35"/>
  <c r="K124" i="35"/>
  <c r="E99" i="101" s="1"/>
  <c r="M103" i="35"/>
  <c r="K123" i="35"/>
  <c r="E98" i="101" s="1"/>
  <c r="M102" i="35"/>
  <c r="K119" i="35"/>
  <c r="E94" i="101" s="1"/>
  <c r="M98" i="35"/>
  <c r="J119" i="35"/>
  <c r="D94" i="101" s="1"/>
  <c r="J118" i="35"/>
  <c r="D93" i="101" s="1"/>
  <c r="I130" i="35"/>
  <c r="I118" i="35"/>
  <c r="C93" i="101" s="1"/>
  <c r="K120" i="35"/>
  <c r="E95" i="101" s="1"/>
  <c r="K118" i="35"/>
  <c r="E93" i="101" s="1"/>
  <c r="H163" i="35"/>
  <c r="H13" i="35" s="1"/>
  <c r="H9" i="35"/>
  <c r="C10" i="101" s="1"/>
  <c r="C24" i="101" s="1"/>
  <c r="B57" i="101" l="1"/>
  <c r="M124" i="35"/>
  <c r="M123" i="35"/>
  <c r="M120" i="35"/>
  <c r="M119" i="35"/>
  <c r="M118" i="35"/>
  <c r="J110" i="35"/>
  <c r="D84" i="101" s="1"/>
  <c r="K55" i="35"/>
  <c r="J112" i="35"/>
  <c r="D86" i="101" s="1"/>
  <c r="J108" i="35"/>
  <c r="D82" i="101" s="1"/>
  <c r="J113" i="35"/>
  <c r="D87" i="101" s="1"/>
  <c r="J109" i="35"/>
  <c r="D83" i="101" s="1"/>
  <c r="J111" i="35"/>
  <c r="D85" i="101" s="1"/>
  <c r="I129" i="35"/>
  <c r="J52" i="35"/>
  <c r="J120" i="35"/>
  <c r="D95" i="101" s="1"/>
  <c r="K125" i="35"/>
  <c r="I109" i="35"/>
  <c r="C83" i="101" s="1"/>
  <c r="I120" i="35"/>
  <c r="C95" i="101" s="1"/>
  <c r="J149" i="35"/>
  <c r="K149" i="35"/>
  <c r="H167" i="35"/>
  <c r="H17" i="35" s="1"/>
  <c r="H169" i="35"/>
  <c r="H19" i="35" s="1"/>
  <c r="B63" i="101" s="1"/>
  <c r="H164" i="35"/>
  <c r="H14" i="35" s="1"/>
  <c r="I52" i="35"/>
  <c r="B61" i="101" l="1"/>
  <c r="B58" i="101"/>
  <c r="I131" i="35"/>
  <c r="I125" i="35"/>
  <c r="I24" i="35" s="1"/>
  <c r="C100" i="101"/>
  <c r="C101" i="101" s="1"/>
  <c r="J125" i="35"/>
  <c r="J24" i="35" s="1"/>
  <c r="D100" i="101"/>
  <c r="D101" i="101" s="1"/>
  <c r="E100" i="101"/>
  <c r="E101" i="101" s="1"/>
  <c r="J130" i="35"/>
  <c r="J135" i="35"/>
  <c r="J134" i="35"/>
  <c r="J132" i="35"/>
  <c r="I114" i="35"/>
  <c r="I23" i="35" s="1"/>
  <c r="C88" i="101"/>
  <c r="C89" i="101" s="1"/>
  <c r="J133" i="35"/>
  <c r="M125" i="35"/>
  <c r="K24" i="35"/>
  <c r="K81" i="35"/>
  <c r="K78" i="35"/>
  <c r="K82" i="35"/>
  <c r="K83" i="35"/>
  <c r="K80" i="35"/>
  <c r="K79" i="35"/>
  <c r="J107" i="35"/>
  <c r="D81" i="101" s="1"/>
  <c r="J131" i="35"/>
  <c r="H168" i="35"/>
  <c r="J114" i="35" l="1"/>
  <c r="J23" i="35" s="1"/>
  <c r="D88" i="101"/>
  <c r="D89" i="101" s="1"/>
  <c r="H170" i="35"/>
  <c r="H18" i="35"/>
  <c r="I136" i="35"/>
  <c r="J129" i="35"/>
  <c r="K77" i="35"/>
  <c r="B62" i="101" l="1"/>
  <c r="H20" i="35"/>
  <c r="J136" i="35"/>
  <c r="K159" i="35"/>
  <c r="K113" i="35"/>
  <c r="E87" i="101" s="1"/>
  <c r="K155" i="35"/>
  <c r="K109" i="35"/>
  <c r="E83" i="101" s="1"/>
  <c r="K107" i="35"/>
  <c r="E81" i="101" s="1"/>
  <c r="K153" i="35"/>
  <c r="K156" i="35"/>
  <c r="K110" i="35"/>
  <c r="E84" i="101" s="1"/>
  <c r="K157" i="35"/>
  <c r="K111" i="35"/>
  <c r="E85" i="101" s="1"/>
  <c r="K112" i="35"/>
  <c r="E86" i="101" s="1"/>
  <c r="K158" i="35"/>
  <c r="K108" i="35"/>
  <c r="E82" i="101" s="1"/>
  <c r="K154" i="35"/>
  <c r="J154" i="35" s="1"/>
  <c r="I149" i="35"/>
  <c r="B64" i="101" l="1"/>
  <c r="M107" i="35"/>
  <c r="E88" i="101"/>
  <c r="E89" i="101" s="1"/>
  <c r="K130" i="35"/>
  <c r="M108" i="35"/>
  <c r="K133" i="35"/>
  <c r="M111" i="35"/>
  <c r="K132" i="35"/>
  <c r="M110" i="35"/>
  <c r="K131" i="35"/>
  <c r="M109" i="35"/>
  <c r="K135" i="35"/>
  <c r="M113" i="35"/>
  <c r="K134" i="35"/>
  <c r="M112" i="35"/>
  <c r="K114" i="35"/>
  <c r="K129" i="35"/>
  <c r="J158" i="35"/>
  <c r="K168" i="35"/>
  <c r="J157" i="35"/>
  <c r="K167" i="35"/>
  <c r="K166" i="35"/>
  <c r="J156" i="35"/>
  <c r="J153" i="35"/>
  <c r="K163" i="35"/>
  <c r="K165" i="35"/>
  <c r="J155" i="35"/>
  <c r="K164" i="35"/>
  <c r="J159" i="35"/>
  <c r="K169" i="35"/>
  <c r="AB71" i="101" l="1"/>
  <c r="Y74" i="101"/>
  <c r="Z75" i="101"/>
  <c r="Y71" i="101"/>
  <c r="Y134" i="101" s="1"/>
  <c r="Y75" i="101"/>
  <c r="Z74" i="101"/>
  <c r="AA75" i="101"/>
  <c r="AA70" i="101"/>
  <c r="AA133" i="101" s="1"/>
  <c r="Y73" i="101"/>
  <c r="Y136" i="101" s="1"/>
  <c r="AA71" i="101"/>
  <c r="AA134" i="101" s="1"/>
  <c r="AA73" i="101"/>
  <c r="AA136" i="101" s="1"/>
  <c r="Z71" i="101"/>
  <c r="AA74" i="101"/>
  <c r="AA137" i="101" s="1"/>
  <c r="Z72" i="101"/>
  <c r="Z135" i="101" s="1"/>
  <c r="AA72" i="101"/>
  <c r="AA135" i="101" s="1"/>
  <c r="Y70" i="101"/>
  <c r="Y133" i="101" s="1"/>
  <c r="Z73" i="101"/>
  <c r="Y72" i="101"/>
  <c r="Y135" i="101" s="1"/>
  <c r="Z70" i="101"/>
  <c r="AB134" i="101"/>
  <c r="AB69" i="101"/>
  <c r="AB132" i="101" s="1"/>
  <c r="AB73" i="101"/>
  <c r="AB136" i="101" s="1"/>
  <c r="AB72" i="101"/>
  <c r="AB135" i="101" s="1"/>
  <c r="AB75" i="101"/>
  <c r="Z69" i="101"/>
  <c r="AB70" i="101"/>
  <c r="Y69" i="101"/>
  <c r="Y132" i="101" s="1"/>
  <c r="AB74" i="101"/>
  <c r="AA69" i="101"/>
  <c r="AA132" i="101" s="1"/>
  <c r="Z76" i="101"/>
  <c r="AB76" i="101"/>
  <c r="AA76" i="101"/>
  <c r="B72" i="101"/>
  <c r="B135" i="101" s="1"/>
  <c r="B71" i="101"/>
  <c r="B69" i="101"/>
  <c r="B70" i="101"/>
  <c r="B73" i="101"/>
  <c r="B75" i="101"/>
  <c r="B74" i="101"/>
  <c r="B65" i="101"/>
  <c r="M114" i="35"/>
  <c r="K23" i="35"/>
  <c r="K18" i="35"/>
  <c r="E62" i="101" s="1"/>
  <c r="M134" i="35"/>
  <c r="M133" i="35"/>
  <c r="K17" i="35"/>
  <c r="E61" i="101" s="1"/>
  <c r="M131" i="35"/>
  <c r="K15" i="35"/>
  <c r="E59" i="101" s="1"/>
  <c r="M132" i="35"/>
  <c r="K16" i="35"/>
  <c r="E60" i="101" s="1"/>
  <c r="K136" i="35"/>
  <c r="M136" i="35" s="1"/>
  <c r="M129" i="35"/>
  <c r="K13" i="35"/>
  <c r="E57" i="101" s="1"/>
  <c r="K19" i="35"/>
  <c r="E63" i="101" s="1"/>
  <c r="M135" i="35"/>
  <c r="M130" i="35"/>
  <c r="K14" i="35"/>
  <c r="E58" i="101" s="1"/>
  <c r="K170" i="35"/>
  <c r="I156" i="35"/>
  <c r="I166" i="35" s="1"/>
  <c r="I16" i="35" s="1"/>
  <c r="C60" i="101" s="1"/>
  <c r="J166" i="35"/>
  <c r="J16" i="35" s="1"/>
  <c r="D60" i="101" s="1"/>
  <c r="I153" i="35"/>
  <c r="I163" i="35" s="1"/>
  <c r="I13" i="35" s="1"/>
  <c r="C57" i="101" s="1"/>
  <c r="J163" i="35"/>
  <c r="J13" i="35" s="1"/>
  <c r="D57" i="101" s="1"/>
  <c r="I154" i="35"/>
  <c r="I164" i="35" s="1"/>
  <c r="I14" i="35" s="1"/>
  <c r="C58" i="101" s="1"/>
  <c r="J164" i="35"/>
  <c r="J14" i="35" s="1"/>
  <c r="D58" i="101" s="1"/>
  <c r="J167" i="35"/>
  <c r="J17" i="35" s="1"/>
  <c r="D61" i="101" s="1"/>
  <c r="I157" i="35"/>
  <c r="I167" i="35" s="1"/>
  <c r="I17" i="35" s="1"/>
  <c r="C61" i="101" s="1"/>
  <c r="I159" i="35"/>
  <c r="I169" i="35" s="1"/>
  <c r="I19" i="35" s="1"/>
  <c r="C63" i="101" s="1"/>
  <c r="J169" i="35"/>
  <c r="J19" i="35" s="1"/>
  <c r="D63" i="101" s="1"/>
  <c r="I158" i="35"/>
  <c r="I168" i="35" s="1"/>
  <c r="I18" i="35" s="1"/>
  <c r="C62" i="101" s="1"/>
  <c r="J168" i="35"/>
  <c r="J18" i="35" s="1"/>
  <c r="D62" i="101" s="1"/>
  <c r="I155" i="35"/>
  <c r="I165" i="35" s="1"/>
  <c r="I15" i="35" s="1"/>
  <c r="C59" i="101" s="1"/>
  <c r="J165" i="35"/>
  <c r="J15" i="35" s="1"/>
  <c r="D59" i="101" s="1"/>
  <c r="AA140" i="101" l="1"/>
  <c r="Y140" i="101"/>
  <c r="Z139" i="101"/>
  <c r="Z140" i="101"/>
  <c r="Z143" i="101" s="1"/>
  <c r="C75" i="101"/>
  <c r="D37" i="101"/>
  <c r="D38" i="101"/>
  <c r="E37" i="101"/>
  <c r="C37" i="101"/>
  <c r="C38" i="101"/>
  <c r="D75" i="101"/>
  <c r="D39" i="101"/>
  <c r="E35" i="101"/>
  <c r="E39" i="101"/>
  <c r="C39" i="101"/>
  <c r="E75" i="101"/>
  <c r="D36" i="101"/>
  <c r="E36" i="101"/>
  <c r="C36" i="101"/>
  <c r="D35" i="101"/>
  <c r="E38" i="101"/>
  <c r="C35" i="101"/>
  <c r="Y139" i="101"/>
  <c r="AA139" i="101"/>
  <c r="AA138" i="101"/>
  <c r="Z137" i="101"/>
  <c r="Z138" i="101" s="1"/>
  <c r="Y137" i="101"/>
  <c r="Y138" i="101" s="1"/>
  <c r="AA77" i="101"/>
  <c r="AB77" i="101"/>
  <c r="Z77" i="101"/>
  <c r="AB137" i="101"/>
  <c r="K20" i="35"/>
  <c r="J170" i="35"/>
  <c r="J20" i="35"/>
  <c r="I20" i="35"/>
  <c r="I170" i="35"/>
  <c r="D72" i="101" l="1"/>
  <c r="D135" i="101" s="1"/>
  <c r="D40" i="101"/>
  <c r="D137" i="101" s="1"/>
  <c r="E73" i="101"/>
  <c r="E136" i="101" s="1"/>
  <c r="D64" i="101"/>
  <c r="D76" i="101" s="1"/>
  <c r="D41" i="101" s="1"/>
  <c r="D74" i="101"/>
  <c r="D73" i="101"/>
  <c r="D136" i="101" s="1"/>
  <c r="D71" i="101"/>
  <c r="D134" i="101" s="1"/>
  <c r="E69" i="101"/>
  <c r="E132" i="101" s="1"/>
  <c r="E40" i="101"/>
  <c r="E137" i="101" s="1"/>
  <c r="C69" i="101"/>
  <c r="C132" i="101" s="1"/>
  <c r="D70" i="101"/>
  <c r="D133" i="101" s="1"/>
  <c r="E74" i="101"/>
  <c r="C70" i="101"/>
  <c r="C133" i="101" s="1"/>
  <c r="E71" i="101"/>
  <c r="E134" i="101" s="1"/>
  <c r="E70" i="101"/>
  <c r="E133" i="101" s="1"/>
  <c r="E64" i="101"/>
  <c r="E76" i="101" s="1"/>
  <c r="E41" i="101" s="1"/>
  <c r="C64" i="101"/>
  <c r="C76" i="101" s="1"/>
  <c r="C29" i="101" s="1"/>
  <c r="C31" i="101" s="1"/>
  <c r="E72" i="101"/>
  <c r="E135" i="101" s="1"/>
  <c r="C72" i="101"/>
  <c r="C135" i="101" s="1"/>
  <c r="C40" i="101"/>
  <c r="C137" i="101" s="1"/>
  <c r="D69" i="101"/>
  <c r="D132" i="101" s="1"/>
  <c r="C73" i="101"/>
  <c r="C136" i="101" s="1"/>
  <c r="C71" i="101"/>
  <c r="C134" i="101" s="1"/>
  <c r="C74" i="101"/>
  <c r="AB133" i="101"/>
  <c r="AB139" i="101" l="1"/>
  <c r="AB140" i="101"/>
  <c r="D65" i="101"/>
  <c r="D77" i="101"/>
  <c r="E77" i="101"/>
  <c r="D29" i="101"/>
  <c r="D31" i="101" s="1"/>
  <c r="E29" i="101"/>
  <c r="E31" i="101" s="1"/>
  <c r="E138" i="101"/>
  <c r="C44" i="101"/>
  <c r="C77" i="101"/>
  <c r="C138" i="101"/>
  <c r="E139" i="101"/>
  <c r="D44" i="101"/>
  <c r="C65" i="101"/>
  <c r="E65" i="101"/>
  <c r="C41" i="101"/>
  <c r="C139" i="101"/>
  <c r="D139" i="101"/>
  <c r="D138" i="101"/>
  <c r="E44" i="101"/>
  <c r="AB138" i="101"/>
  <c r="E7" i="116" l="1"/>
  <c r="B115" i="101" s="1"/>
  <c r="B36" i="101" s="1"/>
  <c r="B133" i="101" s="1"/>
  <c r="E10" i="116" l="1"/>
  <c r="B118" i="101" s="1"/>
  <c r="B37" i="101" s="1"/>
  <c r="B134" i="101" s="1"/>
  <c r="E9" i="116"/>
  <c r="B117" i="101" s="1"/>
  <c r="B39" i="101" s="1"/>
  <c r="B136" i="101" s="1"/>
  <c r="E8" i="116"/>
  <c r="B116" i="101" s="1"/>
  <c r="B35" i="101" s="1"/>
  <c r="E6" i="116"/>
  <c r="B114" i="101" l="1"/>
  <c r="B40" i="101" s="1"/>
  <c r="B137" i="101" s="1"/>
  <c r="E5" i="116"/>
  <c r="B132" i="101"/>
  <c r="B44" i="101" l="1"/>
  <c r="B139" i="101"/>
  <c r="B138" i="101"/>
  <c r="F14" i="116"/>
  <c r="E14" i="116"/>
  <c r="G14" i="116"/>
  <c r="B120" i="101"/>
  <c r="H14" i="116"/>
  <c r="D123" i="101" l="1"/>
  <c r="B41" i="101"/>
  <c r="C123" i="101"/>
  <c r="B123" i="101"/>
  <c r="AB123" i="101"/>
  <c r="Z123" i="101"/>
  <c r="Y123" i="101"/>
  <c r="B30" i="101"/>
  <c r="B31" i="101" s="1"/>
  <c r="AA123" i="101"/>
  <c r="E123" i="101"/>
  <c r="C143" i="101"/>
  <c r="AA143" i="101"/>
  <c r="E143" i="101"/>
  <c r="D143" i="101"/>
  <c r="AB143" i="101"/>
  <c r="D42" i="101" l="1"/>
  <c r="C42" i="101"/>
  <c r="B42" i="101"/>
  <c r="E42" i="10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<sst xmlns="http://schemas.openxmlformats.org/spreadsheetml/2006/main" count="3034" uniqueCount="315">
  <si>
    <t>Bureaux</t>
  </si>
  <si>
    <t>Habitat communautaire</t>
  </si>
  <si>
    <t>Santé</t>
  </si>
  <si>
    <t>Commerce</t>
  </si>
  <si>
    <t>Transport</t>
  </si>
  <si>
    <t>2020-2030</t>
  </si>
  <si>
    <t>2030-2040</t>
  </si>
  <si>
    <t>2040-2050</t>
  </si>
  <si>
    <t>S2</t>
  </si>
  <si>
    <t>S3</t>
  </si>
  <si>
    <t>S4</t>
  </si>
  <si>
    <t>Cafés-hôtels-restaurants</t>
  </si>
  <si>
    <t>Enseignement-recherche</t>
  </si>
  <si>
    <t>Sport, Loisirs, Culture</t>
  </si>
  <si>
    <t>TOTAL</t>
  </si>
  <si>
    <t>Fuel domestique</t>
  </si>
  <si>
    <t>Gaz naturel</t>
  </si>
  <si>
    <t>Total</t>
  </si>
  <si>
    <t>AME</t>
  </si>
  <si>
    <t>AMS</t>
  </si>
  <si>
    <t>Energie</t>
  </si>
  <si>
    <t>Réseau de chaleur</t>
  </si>
  <si>
    <t>GPL</t>
  </si>
  <si>
    <t>Proportion</t>
  </si>
  <si>
    <t>CHAUFFAGE</t>
  </si>
  <si>
    <t>Joule</t>
  </si>
  <si>
    <t>PAC</t>
  </si>
  <si>
    <t>Catégorie</t>
  </si>
  <si>
    <t>Tous bureaux</t>
  </si>
  <si>
    <t xml:space="preserve">Dont surfaces construites après 2015 </t>
  </si>
  <si>
    <t>Dont surfaces existantes en 2015</t>
  </si>
  <si>
    <t>SURFACES CHAUFFEES</t>
  </si>
  <si>
    <t>Justification hypothèses</t>
  </si>
  <si>
    <t>Surface</t>
  </si>
  <si>
    <t>Surface [thousand sq m]</t>
  </si>
  <si>
    <t>Proportion du parc suivant la trajectoire décret tertiaire</t>
  </si>
  <si>
    <t>Trajectoire décret tertiaire [kWh/sq m]</t>
  </si>
  <si>
    <t>Hypothèse TCAM 2020-2050</t>
  </si>
  <si>
    <t>La consommation du parc neuf évolue pour se caler sur les consommations du décret tertiaire, dès les années 2030</t>
  </si>
  <si>
    <t>Café Hôtel Restaurant</t>
  </si>
  <si>
    <t xml:space="preserve">Réduction de consommation de -60% par rapport aux consommations 2010. Il s'agit d'une moyenne (certains bâtiments feront plus, d'autres feront moins, notamment avec les modulations prévues pour raisons techniques, architecturales…)
</t>
  </si>
  <si>
    <t>Fuel : éradication du fuel,
Gaz naturel : devient résiduel
RCU : triplement des surfaces raccordées
Electricité :   Augmentation de la part de PAC au dépend du Joule (ratio 80/20)</t>
  </si>
  <si>
    <t>ENR</t>
  </si>
  <si>
    <t>Répartition du parc neuf</t>
  </si>
  <si>
    <t>Répartition du parc existant</t>
  </si>
  <si>
    <t>Enseignement</t>
  </si>
  <si>
    <t>Sport Loisir Culture</t>
  </si>
  <si>
    <t>Santé social</t>
  </si>
  <si>
    <t>Electricité Joule</t>
  </si>
  <si>
    <t>Electricité PAC</t>
  </si>
  <si>
    <t>Consommation unitaire de l'existant (kWh/m²)</t>
  </si>
  <si>
    <t>Café Hôtels Restaurants</t>
  </si>
  <si>
    <t>Données CEREN 2020</t>
  </si>
  <si>
    <t>Etat initial (2020)</t>
  </si>
  <si>
    <t>Bureaux Administration</t>
  </si>
  <si>
    <t>Enseignement Recherche</t>
  </si>
  <si>
    <t>Santé Action Sociale</t>
  </si>
  <si>
    <t>total</t>
  </si>
  <si>
    <t>Projection surface tertiaire AME 2023</t>
  </si>
  <si>
    <t>Projection surface tertiaire nette AMS 2023</t>
  </si>
  <si>
    <t>Renouvellement du parc (destruction reconstruction)</t>
  </si>
  <si>
    <t>Renouvellement du parc (destruction reconstruction + réhabilitation de bureaux en logements)</t>
  </si>
  <si>
    <t>Parc post-2020</t>
  </si>
  <si>
    <t>Etude d'impact du décret tertiaire (DHUP)</t>
  </si>
  <si>
    <t>Bureaux - Scénario AME</t>
  </si>
  <si>
    <t>Résultats - Scénario AME</t>
  </si>
  <si>
    <t>Surface chauffée  - Scénario AME [thousand sq m]</t>
  </si>
  <si>
    <t>Consommation par source énergie - Scénario AME [GWh LHV]</t>
  </si>
  <si>
    <t>Calculs - Scénario AME</t>
  </si>
  <si>
    <t>Surfaces chauffées - Scénario AME [thousand sq m]</t>
  </si>
  <si>
    <t>Parc existant en 2015 hors décret tertiaire - Hypothèses de consommation unitaire de chauffage par type d'énergie - Scénario AME</t>
  </si>
  <si>
    <t>Parc existant en 2020 hors décret tertiaire - Consommation unitaire de chauffage par type d'énergie [kWh/sq m] - Scénario AME</t>
  </si>
  <si>
    <t>Parc existant en 2015 -  Consommation de chauffage par type d'énergie - Scénario AME [GWh LHV]</t>
  </si>
  <si>
    <t>Parc neuf post 2015 -  Consommation de chauffage par type d'énergie - Scénario AME [GWh LHV]</t>
  </si>
  <si>
    <t>Hyp de décroissance de la conso de 0,2%/an (SDES)</t>
  </si>
  <si>
    <t>Réseaux de chaleur</t>
  </si>
  <si>
    <t>Parc neuf post 2020 - Répartition des surfaces chauffées par type d'énergie de chauffage - Scénario AME</t>
  </si>
  <si>
    <t>Parc neuf post 2020 - Consommation unitaire de chauffage par type d'énergie [kWh/sq m] - Scénario AME</t>
  </si>
  <si>
    <t>Parc neuf post-2020</t>
  </si>
  <si>
    <t>Parc existant en 2020</t>
  </si>
  <si>
    <t>Part du parc assujettie (&gt;1000m²) x part du parc asujetti respectant la trajectoire du décret</t>
  </si>
  <si>
    <t>Taux</t>
  </si>
  <si>
    <t>Taux annuel moyen</t>
  </si>
  <si>
    <t>Gaz</t>
  </si>
  <si>
    <t>Fioul</t>
  </si>
  <si>
    <t>Autres combustibles</t>
  </si>
  <si>
    <t>Électricité</t>
  </si>
  <si>
    <t>Baisse annuelle</t>
  </si>
  <si>
    <t>Conso unitaire chauffage toutes branches TWh/ milliers m² (données CEREN)</t>
  </si>
  <si>
    <t>TCAM 2010-2020 toutes branches</t>
  </si>
  <si>
    <t xml:space="preserve">Les segments du parc non concernés par le décret tertiaire sont rénovés plus lentement que le rythme tendanciel, car il s'agit de surfaces plus difficiles à rénover (nature du propriétaire…). </t>
  </si>
  <si>
    <t>Proportion du parc assujetti suivant la trajectoire du décret tertiaire</t>
  </si>
  <si>
    <t>Proportion du parc assujeti (&gt;1000m²)</t>
  </si>
  <si>
    <t>Parc existant en 2015 suivant le décret tertiaire -  Consommation de chauffage par type d'énergie - Scénario AME [GWh LHV]</t>
  </si>
  <si>
    <t>Parc existant en 2015 hors décret tertiaire -  Consommation de chauffage par type d'énergie - Scénario AME [GWh LHV]</t>
  </si>
  <si>
    <t xml:space="preserve">Baisses de consommation induites par les changements de système de chauffage </t>
  </si>
  <si>
    <t>Parc existant en 2015 - Répartition des surfaces chauffées par type d'énergie de chauffage - Scénario Tendanciel - surfaces hors décret</t>
  </si>
  <si>
    <t>Baisses de consommation induites par les changements de système de chauffage</t>
  </si>
  <si>
    <t>Parc existant en 2015 - Répartition des surfaces chauffées par type d'énergie de chauffage - Scénario Tendanciel - surfaces suivant la traj décret</t>
  </si>
  <si>
    <t>[Aide au calage] Evolution 2010-2050</t>
  </si>
  <si>
    <t>Part Etat</t>
  </si>
  <si>
    <t>Part Privé</t>
  </si>
  <si>
    <t>Part collectivités</t>
  </si>
  <si>
    <t>Etat</t>
  </si>
  <si>
    <t>Privé</t>
  </si>
  <si>
    <t>Collectivités</t>
  </si>
  <si>
    <t>Réalisation des objectifs</t>
  </si>
  <si>
    <t>Baisse de la consommation du parc suivant le décret</t>
  </si>
  <si>
    <t>Baisse de la consommation du parc hors décret</t>
  </si>
  <si>
    <t>Surface du parc (milliers de m²)</t>
  </si>
  <si>
    <t>Existant 2020</t>
  </si>
  <si>
    <t>Neuf post 2020</t>
  </si>
  <si>
    <t>Gain énergétique</t>
  </si>
  <si>
    <t>Consommation totale en GWh AME</t>
  </si>
  <si>
    <t>Consommation parc suivant le décret en GWh AME</t>
  </si>
  <si>
    <t>Consommation parc hors décret en GWh AME</t>
  </si>
  <si>
    <t>Scénario AME</t>
  </si>
  <si>
    <t>Scénario AMS</t>
  </si>
  <si>
    <t>Consommation parc suivant le décret en GWh AMS</t>
  </si>
  <si>
    <t>Consommation parc hors décret en GWh AMS</t>
  </si>
  <si>
    <t>Surfaces &gt; 1000m²</t>
  </si>
  <si>
    <t>Surfaces &gt; 500m²</t>
  </si>
  <si>
    <t>Dont surfaces existantes en 2020</t>
  </si>
  <si>
    <t>Dont surfaces construites après 2020</t>
  </si>
  <si>
    <t>https://www.ecologie.gouv.fr/sites/default/files/CGDD_scenarios_renovation_batiments_tertiaires_publication_20201203.pdf</t>
  </si>
  <si>
    <t>p. 54</t>
  </si>
  <si>
    <t>Parc post-2020 (besoins suppl. + destruction/reconstruction)</t>
  </si>
  <si>
    <t>Flux de renouvellement annuel</t>
  </si>
  <si>
    <t>Hors chauffage - Scénario AME</t>
  </si>
  <si>
    <t>Eau chaude sanitaire</t>
  </si>
  <si>
    <t>CUISSON</t>
  </si>
  <si>
    <t>ELECTRICITE SPECIFIQUE</t>
  </si>
  <si>
    <t>CLIMATISATION</t>
  </si>
  <si>
    <t>HORS CEREN</t>
  </si>
  <si>
    <t>ECS (kWh/m²)</t>
  </si>
  <si>
    <t>Surface tertiaire (Mm²)</t>
  </si>
  <si>
    <t>Conso (TWh ef)</t>
  </si>
  <si>
    <t>électricité (PAC incluses)</t>
  </si>
  <si>
    <t>Gaz réseau</t>
  </si>
  <si>
    <t>Charbon</t>
  </si>
  <si>
    <t>Pétrole/GPL</t>
  </si>
  <si>
    <t>Bois</t>
  </si>
  <si>
    <t>Réseau de Chaleur Urbain</t>
  </si>
  <si>
    <t>Mix ECS</t>
  </si>
  <si>
    <t>Conso ECS (TWh Ef)</t>
  </si>
  <si>
    <t>Conso cuisson (TWh Ef)</t>
  </si>
  <si>
    <t>Mix cuisson</t>
  </si>
  <si>
    <t>Cuisson (kWh/m²)</t>
  </si>
  <si>
    <t>Elec spé (kWh/m²)</t>
  </si>
  <si>
    <t>Sortie MICO scénario BAU corrigé des ratios des surfaces</t>
  </si>
  <si>
    <t>TWh par zone climatique</t>
  </si>
  <si>
    <t>H1A</t>
  </si>
  <si>
    <t>H1B</t>
  </si>
  <si>
    <t>H1C</t>
  </si>
  <si>
    <t>H2A</t>
  </si>
  <si>
    <t>H2B</t>
  </si>
  <si>
    <t>H2C</t>
  </si>
  <si>
    <t>H2D</t>
  </si>
  <si>
    <t>H3</t>
  </si>
  <si>
    <t>Martinique</t>
  </si>
  <si>
    <t>Guadeloupe</t>
  </si>
  <si>
    <t>Guyane</t>
  </si>
  <si>
    <t>Mayotte</t>
  </si>
  <si>
    <t>La Réunion</t>
  </si>
  <si>
    <t>Total en TWh</t>
  </si>
  <si>
    <t>Conso (TWh)</t>
  </si>
  <si>
    <t>Métropole</t>
  </si>
  <si>
    <t>DROM</t>
  </si>
  <si>
    <t>AME 2023</t>
  </si>
  <si>
    <t>TWh</t>
  </si>
  <si>
    <t>Eclairage public</t>
  </si>
  <si>
    <t>décroissance linéaire (~installation de LED à 50 %, nb de points lumineux suit la population, puissance moyenne et temps à pleine puissance constants)</t>
  </si>
  <si>
    <t>Data centers</t>
  </si>
  <si>
    <t>2030 : reprise du chiffre 10TWh du CGE, 2050 reprise du x3 de RTE ? (mais dit 3TWh en 2015)</t>
  </si>
  <si>
    <t>Consommations générales d’immeubles</t>
  </si>
  <si>
    <t>annexé au nb de LC</t>
  </si>
  <si>
    <t>Télécommunications</t>
  </si>
  <si>
    <t>annexé population</t>
  </si>
  <si>
    <t>Entrepôts frigorifiques et grands établissements de recherche</t>
  </si>
  <si>
    <t>hausse modérée (plateformes logistiques, livraisons alimentaires)</t>
  </si>
  <si>
    <t>Eau (distribution et assainissements)</t>
  </si>
  <si>
    <t>Non spécifié</t>
  </si>
  <si>
    <t xml:space="preserve">constant  </t>
  </si>
  <si>
    <t>Autres</t>
  </si>
  <si>
    <t>ecs</t>
  </si>
  <si>
    <t>Consommation (TWh)</t>
  </si>
  <si>
    <t>Electricité</t>
  </si>
  <si>
    <t>Pétrole</t>
  </si>
  <si>
    <t>Chaleur</t>
  </si>
  <si>
    <t>Baisse de consommation</t>
  </si>
  <si>
    <t>SDES</t>
  </si>
  <si>
    <t>Mtep</t>
  </si>
  <si>
    <t>chauffage</t>
  </si>
  <si>
    <t>elec spé</t>
  </si>
  <si>
    <t>clim</t>
  </si>
  <si>
    <t>cuisson</t>
  </si>
  <si>
    <t>autre</t>
  </si>
  <si>
    <t>total HC</t>
  </si>
  <si>
    <t>Hors chauffage - Scénario AMS</t>
  </si>
  <si>
    <t>EnR Thermiques</t>
  </si>
  <si>
    <t>Sortie MICO scénario S2 corrigé des ratios des surfaces (paraît très ambitieux)</t>
  </si>
  <si>
    <t>AMS 2023</t>
  </si>
  <si>
    <t>baisse similaire ADEME/NW (en 2050 : installation de LED à 80 % + -1/3 du temps en pleine puissance, nb de points lumineux constant)</t>
  </si>
  <si>
    <t>constant (similaire ADEME)</t>
  </si>
  <si>
    <t>croissance à 2030 puis constant ensuite</t>
  </si>
  <si>
    <t>constant (gains EE compensés par meilleur traitement des eaux)</t>
  </si>
  <si>
    <t xml:space="preserve">baisse à discuter </t>
  </si>
  <si>
    <t>Chauffage</t>
  </si>
  <si>
    <t>Consommation totale</t>
  </si>
  <si>
    <t>Hors Chauffage</t>
  </si>
  <si>
    <t>Electricité (PAC incluses)</t>
  </si>
  <si>
    <t>EnR thermique</t>
  </si>
  <si>
    <t>REBASAGE Consommation totale de chauffage en GWh AME</t>
  </si>
  <si>
    <t>REBASAGE Consommation totale de chauffage en GWh AMS</t>
  </si>
  <si>
    <t>Usage</t>
  </si>
  <si>
    <t>Hors chauffage</t>
  </si>
  <si>
    <t>Proportion du parc assujeti (&gt;500m²)</t>
  </si>
  <si>
    <t>On applique les réductions du décret tertiaire sur les surface concernées</t>
  </si>
  <si>
    <t>Facteurs d'émission</t>
  </si>
  <si>
    <t>g/kWh</t>
  </si>
  <si>
    <t>Emissions totales (Mt) AME</t>
  </si>
  <si>
    <t>Total hors électricité</t>
  </si>
  <si>
    <t>par an</t>
  </si>
  <si>
    <t>par an en Mm2</t>
  </si>
  <si>
    <t>Diff/an en Mm2</t>
  </si>
  <si>
    <t>Estimation GES (FE constant)</t>
  </si>
  <si>
    <t>Surface chauffée  - Scénario AMS [thousand sq m]</t>
  </si>
  <si>
    <t>Consommation totale en GWh AMS</t>
  </si>
  <si>
    <t>Consommation par source énergie - Scénario AMS [GWh LHV]</t>
  </si>
  <si>
    <t>Emissions totales (Mt) AMS</t>
  </si>
  <si>
    <t>Estimation GES</t>
  </si>
  <si>
    <t>Part de la surface assujettie qui applique les objectifs du décret tertiaire</t>
  </si>
  <si>
    <t>Proportion du parc qui applique la trajectoire décret tertiaire</t>
  </si>
  <si>
    <t>Ademe</t>
  </si>
  <si>
    <t>Hab com</t>
  </si>
  <si>
    <t>Parc Ademe</t>
  </si>
  <si>
    <t>Proportion du parc assujetti qui applique la trajectoire décret tertiaire</t>
  </si>
  <si>
    <t>Parc</t>
  </si>
  <si>
    <t>Parc ntotal en m2</t>
  </si>
  <si>
    <t>Issu de la modélisation DGEC du numérique. Scénario tendanciel de l'ADEME-Arcep, sauf :
- La trajectoire des surfaces d'edge augmentent à un rythme deux fois inférieur à celui de l'AME (la valeur en 2050 est proche de celle atteinte par le scénario S3, mais la trajectoire globale est au-dessus de celle du scénario S3).
- On considère que la hausse des usages (freinée par la sobriété) équilibre parfaitement les gains d'efficacité énergétique, donc la consommation surfacique est stable.</t>
  </si>
  <si>
    <t>Pétrole brut</t>
  </si>
  <si>
    <t>Produits pétroliers raffinés</t>
  </si>
  <si>
    <t>Nucléaire</t>
  </si>
  <si>
    <t>EnR électriques</t>
  </si>
  <si>
    <t>EnR thermiques et déchets</t>
  </si>
  <si>
    <t>Chaleur commercialisée</t>
  </si>
  <si>
    <t>Tertiaire</t>
  </si>
  <si>
    <t>TWh - données réelles</t>
  </si>
  <si>
    <t>écart</t>
  </si>
  <si>
    <t>CaHoRes - Scénario AMS</t>
  </si>
  <si>
    <t>Commerce - Scénario AMS</t>
  </si>
  <si>
    <t>Enseignement - Scénario AMS</t>
  </si>
  <si>
    <t>Santé social - Scénario AMS</t>
  </si>
  <si>
    <t>Sport Loisir Culture - Scénario AMS</t>
  </si>
  <si>
    <t>Transport - Scénario AMS</t>
  </si>
  <si>
    <t>Bureaux - Scénario AMS</t>
  </si>
  <si>
    <t>Résultats - Scénario AMS</t>
  </si>
  <si>
    <t>Calculs - Scénario AMS</t>
  </si>
  <si>
    <t>Surfaces chauffées - Scénario AMS [thousand sq m]</t>
  </si>
  <si>
    <t>Parc existant en 2015 hors décret tertiaire - Hypothèses de consommation unitaire de chauffage par type d'énergie - Scénario AMS</t>
  </si>
  <si>
    <t>Parc existant en 2020 hors décret tertiaire - Consommation unitaire de chauffage par type d'énergie [kWh/sq m] - Scénario AMS</t>
  </si>
  <si>
    <t>Parc existant en 2015 suivant le décret tertiaire -  Consommation de chauffage par type d'énergie - Scénario AMS [GWh LHV]</t>
  </si>
  <si>
    <t>Parc existant en 2015 hors décret tertiaire -  Consommation de chauffage par type d'énergie - Scénario AMS [GWh LHV]</t>
  </si>
  <si>
    <t>Parc existant en 2015 -  Consommation de chauffage par type d'énergie - Scénario AMS [GWh LHV]</t>
  </si>
  <si>
    <t>Parc neuf post 2020 - Répartition des surfaces chauffées par type d'énergie de chauffage - Scénario AMS</t>
  </si>
  <si>
    <t>Parc neuf post 2020 - Consommation unitaire de chauffage par type d'énergie [kWh/sq m] - Scénario AMS</t>
  </si>
  <si>
    <t>Parc neuf post 2015 -  Consommation de chauffage par type d'énergie - Scénario AMS [GWh LHV]</t>
  </si>
  <si>
    <t>Consommation totale de chauffage en GWh AMS (hors chaleur environnement des PAC)</t>
  </si>
  <si>
    <t>Consommation totale de chauffage en GWh AME (hors chaleur environnement des PAC)</t>
  </si>
  <si>
    <t>Vivaldi</t>
  </si>
  <si>
    <t>2019 en TWh</t>
  </si>
  <si>
    <t>SDES 2019</t>
  </si>
  <si>
    <t>Bilan énergétique SDES publié en 2023 - inclut tout le tertiaire (dont traitement eaux usées etc)</t>
  </si>
  <si>
    <t>Hors chauffage (Source SDES 2022, données 2019)</t>
  </si>
  <si>
    <t>Usages</t>
  </si>
  <si>
    <t>Étiquettes de lignes</t>
  </si>
  <si>
    <t>Somme de 2019</t>
  </si>
  <si>
    <t>Énergies renouvelables</t>
  </si>
  <si>
    <t>Total général</t>
  </si>
  <si>
    <t>Cuisson</t>
  </si>
  <si>
    <t>Spécifique</t>
  </si>
  <si>
    <t>Idem</t>
  </si>
  <si>
    <t>Fuel, gaz : interdit (RE2020)
RCU : triplement des surfaces raccordées
Electricité :   Augmentation de la part de PAC au dépend du Joule (ratio 80/20)</t>
  </si>
  <si>
    <r>
      <rPr>
        <b/>
        <sz val="8"/>
        <color theme="1"/>
        <rFont val="Calibri"/>
        <family val="2"/>
        <scheme val="minor"/>
      </rPr>
      <t>Gaz</t>
    </r>
    <r>
      <rPr>
        <sz val="8"/>
        <color theme="1"/>
        <rFont val="Calibri"/>
        <family val="2"/>
        <scheme val="minor"/>
      </rPr>
      <t xml:space="preserve"> : interdiction du renouvellement de chaudière gaz en 2027, hypothèse de durée de vie de 22 ans (source fiche CEE) ; implique -14% en 2030, -60% en 2040. On garde un résidu de 5% en 2030 (dérogations).
</t>
    </r>
    <r>
      <rPr>
        <b/>
        <sz val="8"/>
        <color theme="1"/>
        <rFont val="Calibri"/>
        <family val="2"/>
        <scheme val="minor"/>
      </rPr>
      <t>Fioul</t>
    </r>
    <r>
      <rPr>
        <sz val="8"/>
        <color theme="1"/>
        <rFont val="Calibri"/>
        <family val="2"/>
        <scheme val="minor"/>
      </rPr>
      <t xml:space="preserve"> : Interdiction de brûler du fioul dans le tertiaire en 2030 (sauf dérogations)
</t>
    </r>
    <r>
      <rPr>
        <b/>
        <sz val="8"/>
        <color theme="1"/>
        <rFont val="Calibri"/>
        <family val="2"/>
        <scheme val="minor"/>
      </rPr>
      <t>Décarboné</t>
    </r>
    <r>
      <rPr>
        <sz val="8"/>
        <color theme="1"/>
        <rFont val="Calibri"/>
        <family val="2"/>
        <scheme val="minor"/>
      </rPr>
      <t xml:space="preserve"> : Fort développement PAC et RCU pour compenser, EnR dans une moindre mesure</t>
    </r>
  </si>
  <si>
    <t>1. Conformité au décret tertiaire</t>
  </si>
  <si>
    <t>Les travaux actuels visent des VA cohérentes avec le premier quartile de consommation. Certaines catégories ont des valeurs qui sont mal calibrées (ex : bureaux autour de la médiane de consommation). Il ne semble plus possible de revoir la valeur de 25% à 7 ans de l'échéance et ce alors que l'ambition est très élevée (il n'est pas certain que tous les bâtiments neufs soient en-dessous de la VA).
Aller plus loin nécessiterait de revoir les objectifs en valeurs absolue. Les aides ne pourraient rien changer à cette hypothèse.</t>
  </si>
  <si>
    <t>Mesures supplémentaires possibles : aides, prix de l'énergie…</t>
  </si>
  <si>
    <t>Moyenne entre le tendanciel et l'objectif du décret tertiaire</t>
  </si>
  <si>
    <t xml:space="preserve">Part du parc </t>
  </si>
  <si>
    <r>
      <t xml:space="preserve">Parc visant la valeur </t>
    </r>
    <r>
      <rPr>
        <b/>
        <sz val="11"/>
        <color theme="1"/>
        <rFont val="Calibri"/>
        <family val="2"/>
        <scheme val="minor"/>
      </rPr>
      <t>absolue</t>
    </r>
  </si>
  <si>
    <r>
      <t xml:space="preserve">Parc visant la valeur </t>
    </r>
    <r>
      <rPr>
        <b/>
        <sz val="11"/>
        <color theme="1"/>
        <rFont val="Calibri"/>
        <family val="2"/>
        <scheme val="minor"/>
      </rPr>
      <t>relative</t>
    </r>
  </si>
  <si>
    <t>Commentaire</t>
  </si>
  <si>
    <t>Gain en terme de consommation énergétique par m² en 2030</t>
  </si>
  <si>
    <t>Gain énergétique en 2030 pour le parc suivant le décret</t>
  </si>
  <si>
    <r>
      <t xml:space="preserve">Parc assujetti </t>
    </r>
    <r>
      <rPr>
        <b/>
        <sz val="11"/>
        <color theme="1"/>
        <rFont val="Calibri"/>
        <family val="2"/>
        <scheme val="minor"/>
      </rPr>
      <t>atteignant les valeurs absolues</t>
    </r>
    <r>
      <rPr>
        <sz val="11"/>
        <color theme="1"/>
        <rFont val="Calibri"/>
        <family val="2"/>
        <scheme val="minor"/>
      </rPr>
      <t xml:space="preserve"> aujourd'hui</t>
    </r>
  </si>
  <si>
    <t>2. Gain énergétique en 2030 pour le parc qui respecte le décret tertiaire</t>
  </si>
  <si>
    <t>Remarque 1 : L'année de référence est à choisir après 2010 pour respecter le décret tertiaire. La baisse relative affichée s'entend ici par rapport à 2020. On considère donc qu'une partie du parc a déjà fait les travaux (ligne "parc assujetti atteignant les valeurs absolues aujourd'hui")</t>
  </si>
  <si>
    <t>Remarque 2 : Pour 2040 et 2050, on applique directement les valeurs relatives de -50% en -60% en prévision de valeurs absolues ambitieuses et en absence de données pertinentes.</t>
  </si>
  <si>
    <t>Parc total en m2</t>
  </si>
  <si>
    <t>en milliers de m²</t>
  </si>
  <si>
    <t>Source</t>
  </si>
  <si>
    <t>Intégrateur Enerdata</t>
  </si>
  <si>
    <t>Valeur réglementaire RE2020</t>
  </si>
  <si>
    <t>CPCU</t>
  </si>
  <si>
    <t>Évolution des consommations tous usages du secteur tertiaire selon l'énergie (climat normal)</t>
  </si>
  <si>
    <t>(TWh)</t>
  </si>
  <si>
    <t>Énergie</t>
  </si>
  <si>
    <t>Gain énergétique de plus en 2030 par rapport à 2010</t>
  </si>
  <si>
    <t>Baisse 2010-2021</t>
  </si>
  <si>
    <t>TCAM</t>
  </si>
  <si>
    <t>Baisse 2010-2015</t>
  </si>
  <si>
    <t>TCAM 2010-2020</t>
  </si>
  <si>
    <t>Total bâtiment</t>
  </si>
  <si>
    <t>Gain énergétique vs 2020</t>
  </si>
  <si>
    <t>Baisse des émissions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</si>
</sst>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43" formatCode="_-* #,##0.00_-;\-* #,##0.00_-;_-* &quot;-&quot;??_-;_-@_-"/>
    <numFmt numFmtId="164" formatCode="0.0%"/>
    <numFmt numFmtId="165" formatCode="#,##0.00&quot;    &quot;;#,##0.00&quot;    &quot;;&quot;-&quot;#&quot;    &quot;;@&quot; &quot;"/>
    <numFmt numFmtId="166" formatCode="_-* #,##0_-;\-* #,##0_-;_-* &quot;-&quot;??_-;_-@_-"/>
    <numFmt numFmtId="167" formatCode="#,##0&quot;    &quot;;#,##0&quot;    &quot;;&quot;-&quot;#&quot;    &quot;;@&quot; &quot;"/>
    <numFmt numFmtId="168" formatCode="0\ %"/>
    <numFmt numFmtId="169" formatCode="_-* #,##0.00\ _€_-;\-* #,##0.00\ _€_-;_-* &quot;-&quot;??\ _€_-;_-@_-"/>
    <numFmt numFmtId="170" formatCode="_-* #,##0\ _€_-;\-* #,##0\ _€_-;_-* &quot;-&quot;??\ _€_-;_-@_-"/>
    <numFmt numFmtId="171" formatCode="_-* #,##0.0\ _€_-;\-* #,##0.0\ _€_-;_-* \-??\ _€_-;_-@_-"/>
    <numFmt numFmtId="172" formatCode="_-* #,##0\ _€_-;\-* #,##0\ _€_-;_-* \-??\ _€_-;_-@_-"/>
    <numFmt numFmtId="173" formatCode="0.0"/>
    <numFmt numFmtId="174" formatCode="0.000000"/>
    <numFmt numFmtId="175" formatCode="_-* #,##0.0_-;\-* #,##0.0_-;_-* &quot;-&quot;??_-;_-@_-"/>
    <numFmt numFmtId="176" formatCode="_-* #,##0.000_-;\-* #,##0.000_-;_-* &quot;-&quot;??_-;_-@_-"/>
    <numFmt numFmtId="177" formatCode="_-* #,##0.000\ _€_-;\-* #,##0.000\ _€_-;_-* &quot;-&quot;??\ _€_-;_-@_-"/>
    <numFmt numFmtId="178" formatCode="_-* #,##0.0\ _€_-;\-* #,##0.0\ _€_-;_-* &quot;-&quot;?\ _€_-;_-@_-"/>
  </numFmts>
  <fonts count="5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00"/>
      <name val="Calibri"/>
      <family val="2"/>
    </font>
    <font>
      <sz val="8"/>
      <color rgb="FF000000"/>
      <name val="Calibri"/>
      <family val="2"/>
    </font>
    <font>
      <b/>
      <sz val="8"/>
      <color rgb="FF000000"/>
      <name val="Calibri"/>
      <family val="2"/>
    </font>
    <font>
      <b/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b/>
      <sz val="14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 tint="-0.499984740745262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1"/>
      <name val="Calibri"/>
      <family val="2"/>
      <scheme val="minor"/>
    </font>
    <font>
      <sz val="12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  <charset val="1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charset val="1"/>
    </font>
    <font>
      <b/>
      <sz val="10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8"/>
      <color rgb="FFFFFFFF"/>
      <name val="Arial"/>
      <family val="2"/>
      <charset val="1"/>
    </font>
    <font>
      <b/>
      <sz val="11"/>
      <color rgb="FFFFFFFF"/>
      <name val="Helvetica Neue LT Std"/>
    </font>
    <font>
      <sz val="10"/>
      <color rgb="FFCE181E"/>
      <name val="Arial"/>
      <family val="2"/>
      <charset val="1"/>
    </font>
    <font>
      <b/>
      <sz val="2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8"/>
      <color rgb="FF000000"/>
      <name val="Calibri"/>
      <family val="2"/>
    </font>
    <font>
      <b/>
      <i/>
      <sz val="8"/>
      <color rgb="FF000000"/>
      <name val="Calibri"/>
      <family val="2"/>
    </font>
    <font>
      <b/>
      <i/>
      <sz val="14"/>
      <color theme="1"/>
      <name val="Calibri"/>
      <family val="2"/>
      <scheme val="minor"/>
    </font>
    <font>
      <b/>
      <i/>
      <sz val="8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  <scheme val="minor"/>
    </font>
    <font>
      <b/>
      <sz val="12"/>
      <color theme="1"/>
      <name val="Calibri Light"/>
      <family val="2"/>
    </font>
    <font>
      <sz val="10"/>
      <color theme="1"/>
      <name val="Calibri Light"/>
      <family val="2"/>
    </font>
    <font>
      <b/>
      <sz val="10"/>
      <color theme="0"/>
      <name val="Calibri Light"/>
      <family val="2"/>
    </font>
  </fonts>
  <fills count="2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2060"/>
        <bgColor rgb="FF000080"/>
      </patternFill>
    </fill>
    <fill>
      <patternFill patternType="solid">
        <fgColor rgb="FFFFFFFF"/>
        <bgColor rgb="FFFFF2CC"/>
      </patternFill>
    </fill>
    <fill>
      <patternFill patternType="solid">
        <fgColor rgb="FFDAE3F3"/>
        <bgColor rgb="FFDEEBF7"/>
      </patternFill>
    </fill>
    <fill>
      <patternFill patternType="solid">
        <fgColor rgb="FF67829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8B2077"/>
        <bgColor indexed="64"/>
      </patternFill>
    </fill>
    <fill>
      <patternFill patternType="solid">
        <fgColor theme="0" tint="-4.9989318521683403E-2"/>
        <bgColor indexed="64"/>
      </patternFill>
    </fill>
  </fills>
  <borders count="5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9" tint="-0.499984740745262"/>
      </left>
      <right/>
      <top style="medium">
        <color theme="9" tint="-0.499984740745262"/>
      </top>
      <bottom/>
      <diagonal/>
    </border>
    <border>
      <left/>
      <right/>
      <top style="medium">
        <color theme="9" tint="-0.499984740745262"/>
      </top>
      <bottom/>
      <diagonal/>
    </border>
    <border>
      <left/>
      <right style="medium">
        <color theme="9" tint="-0.499984740745262"/>
      </right>
      <top style="medium">
        <color theme="9" tint="-0.499984740745262"/>
      </top>
      <bottom/>
      <diagonal/>
    </border>
    <border>
      <left style="medium">
        <color theme="9" tint="-0.499984740745262"/>
      </left>
      <right/>
      <top/>
      <bottom/>
      <diagonal/>
    </border>
    <border>
      <left/>
      <right style="medium">
        <color theme="9" tint="-0.499984740745262"/>
      </right>
      <top/>
      <bottom/>
      <diagonal/>
    </border>
    <border>
      <left style="medium">
        <color theme="9" tint="-0.499984740745262"/>
      </left>
      <right/>
      <top/>
      <bottom style="medium">
        <color theme="9" tint="-0.499984740745262"/>
      </bottom>
      <diagonal/>
    </border>
    <border>
      <left/>
      <right/>
      <top/>
      <bottom style="medium">
        <color theme="9" tint="-0.499984740745262"/>
      </bottom>
      <diagonal/>
    </border>
    <border>
      <left/>
      <right style="medium">
        <color theme="9" tint="-0.499984740745262"/>
      </right>
      <top/>
      <bottom style="medium">
        <color theme="9" tint="-0.499984740745262"/>
      </bottom>
      <diagonal/>
    </border>
    <border>
      <left style="mediumDashed">
        <color theme="3" tint="0.59996337778862885"/>
      </left>
      <right/>
      <top style="mediumDashed">
        <color theme="3" tint="0.59996337778862885"/>
      </top>
      <bottom/>
      <diagonal/>
    </border>
    <border>
      <left/>
      <right/>
      <top style="mediumDashed">
        <color theme="3" tint="0.59996337778862885"/>
      </top>
      <bottom/>
      <diagonal/>
    </border>
    <border>
      <left/>
      <right style="mediumDashed">
        <color theme="3" tint="0.59996337778862885"/>
      </right>
      <top style="mediumDashed">
        <color theme="3" tint="0.59996337778862885"/>
      </top>
      <bottom/>
      <diagonal/>
    </border>
    <border>
      <left style="mediumDashed">
        <color theme="3" tint="0.59996337778862885"/>
      </left>
      <right/>
      <top/>
      <bottom/>
      <diagonal/>
    </border>
    <border>
      <left/>
      <right style="mediumDashed">
        <color theme="3" tint="0.59996337778862885"/>
      </right>
      <top/>
      <bottom/>
      <diagonal/>
    </border>
    <border>
      <left style="mediumDashed">
        <color theme="3" tint="0.59996337778862885"/>
      </left>
      <right/>
      <top/>
      <bottom style="mediumDashed">
        <color theme="3" tint="0.59996337778862885"/>
      </bottom>
      <diagonal/>
    </border>
    <border>
      <left/>
      <right/>
      <top/>
      <bottom style="mediumDashed">
        <color theme="3" tint="0.59996337778862885"/>
      </bottom>
      <diagonal/>
    </border>
    <border>
      <left/>
      <right style="mediumDashed">
        <color theme="3" tint="0.59996337778862885"/>
      </right>
      <top/>
      <bottom style="mediumDashed">
        <color theme="3" tint="0.59996337778862885"/>
      </bottom>
      <diagonal/>
    </border>
    <border>
      <left style="medium">
        <color theme="3"/>
      </left>
      <right/>
      <top style="medium">
        <color theme="3"/>
      </top>
      <bottom/>
      <diagonal/>
    </border>
    <border>
      <left/>
      <right/>
      <top style="medium">
        <color theme="3"/>
      </top>
      <bottom/>
      <diagonal/>
    </border>
    <border>
      <left/>
      <right style="medium">
        <color theme="3"/>
      </right>
      <top style="medium">
        <color theme="3"/>
      </top>
      <bottom/>
      <diagonal/>
    </border>
    <border>
      <left style="medium">
        <color theme="3"/>
      </left>
      <right/>
      <top/>
      <bottom/>
      <diagonal/>
    </border>
    <border>
      <left/>
      <right style="medium">
        <color theme="3"/>
      </right>
      <top/>
      <bottom/>
      <diagonal/>
    </border>
    <border>
      <left style="thin">
        <color indexed="64"/>
      </left>
      <right/>
      <top/>
      <bottom/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/>
      <diagonal/>
    </border>
    <border>
      <left/>
      <right style="thin">
        <color rgb="FF333399"/>
      </right>
      <top/>
      <bottom style="thin">
        <color rgb="FF3333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14" fillId="0" borderId="0"/>
    <xf numFmtId="0" fontId="17" fillId="0" borderId="0"/>
    <xf numFmtId="0" fontId="24" fillId="0" borderId="0"/>
    <xf numFmtId="43" fontId="1" fillId="0" borderId="0" applyFont="0" applyFill="0" applyBorder="0" applyAlignment="0" applyProtection="0"/>
    <xf numFmtId="165" fontId="25" fillId="0" borderId="0"/>
    <xf numFmtId="9" fontId="25" fillId="0" borderId="0"/>
    <xf numFmtId="168" fontId="28" fillId="0" borderId="0" applyBorder="0" applyProtection="0"/>
  </cellStyleXfs>
  <cellXfs count="400">
    <xf numFmtId="0" fontId="0" fillId="0" borderId="0" xfId="0"/>
    <xf numFmtId="0" fontId="2" fillId="0" borderId="0" xfId="0" applyFont="1"/>
    <xf numFmtId="0" fontId="6" fillId="0" borderId="0" xfId="0" applyFont="1"/>
    <xf numFmtId="0" fontId="6" fillId="0" borderId="5" xfId="0" applyFont="1" applyBorder="1"/>
    <xf numFmtId="0" fontId="6" fillId="4" borderId="5" xfId="0" applyFont="1" applyFill="1" applyBorder="1" applyAlignment="1">
      <alignment horizontal="center"/>
    </xf>
    <xf numFmtId="0" fontId="6" fillId="4" borderId="5" xfId="0" applyFont="1" applyFill="1" applyBorder="1"/>
    <xf numFmtId="0" fontId="4" fillId="0" borderId="5" xfId="2" applyFont="1" applyBorder="1" applyAlignment="1">
      <alignment vertical="center"/>
    </xf>
    <xf numFmtId="0" fontId="5" fillId="0" borderId="5" xfId="2" applyFont="1" applyBorder="1" applyAlignment="1">
      <alignment vertical="center"/>
    </xf>
    <xf numFmtId="0" fontId="6" fillId="7" borderId="5" xfId="0" applyFont="1" applyFill="1" applyBorder="1"/>
    <xf numFmtId="0" fontId="6" fillId="7" borderId="5" xfId="0" applyFont="1" applyFill="1" applyBorder="1" applyAlignment="1">
      <alignment horizontal="center"/>
    </xf>
    <xf numFmtId="3" fontId="2" fillId="0" borderId="5" xfId="0" applyNumberFormat="1" applyFont="1" applyBorder="1" applyAlignment="1">
      <alignment horizontal="center"/>
    </xf>
    <xf numFmtId="3" fontId="6" fillId="0" borderId="5" xfId="0" applyNumberFormat="1" applyFont="1" applyBorder="1" applyAlignment="1">
      <alignment horizontal="center"/>
    </xf>
    <xf numFmtId="0" fontId="5" fillId="6" borderId="5" xfId="2" applyFont="1" applyFill="1" applyBorder="1" applyAlignment="1">
      <alignment vertical="center"/>
    </xf>
    <xf numFmtId="3" fontId="6" fillId="6" borderId="5" xfId="0" applyNumberFormat="1" applyFont="1" applyFill="1" applyBorder="1" applyAlignment="1">
      <alignment horizontal="center"/>
    </xf>
    <xf numFmtId="3" fontId="6" fillId="4" borderId="5" xfId="0" applyNumberFormat="1" applyFont="1" applyFill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13" fillId="0" borderId="0" xfId="0" applyFont="1"/>
    <xf numFmtId="0" fontId="2" fillId="8" borderId="0" xfId="0" applyFont="1" applyFill="1"/>
    <xf numFmtId="0" fontId="6" fillId="8" borderId="0" xfId="0" applyFont="1" applyFill="1"/>
    <xf numFmtId="9" fontId="2" fillId="8" borderId="0" xfId="1" applyFont="1" applyFill="1" applyAlignment="1">
      <alignment horizontal="center"/>
    </xf>
    <xf numFmtId="9" fontId="2" fillId="8" borderId="0" xfId="0" applyNumberFormat="1" applyFont="1" applyFill="1" applyAlignment="1">
      <alignment horizontal="center"/>
    </xf>
    <xf numFmtId="3" fontId="6" fillId="8" borderId="0" xfId="0" applyNumberFormat="1" applyFont="1" applyFill="1" applyAlignment="1">
      <alignment horizontal="center"/>
    </xf>
    <xf numFmtId="0" fontId="2" fillId="8" borderId="12" xfId="0" applyFont="1" applyFill="1" applyBorder="1"/>
    <xf numFmtId="0" fontId="2" fillId="8" borderId="13" xfId="0" applyFont="1" applyFill="1" applyBorder="1"/>
    <xf numFmtId="0" fontId="2" fillId="8" borderId="14" xfId="0" applyFont="1" applyFill="1" applyBorder="1"/>
    <xf numFmtId="0" fontId="6" fillId="8" borderId="15" xfId="0" applyFont="1" applyFill="1" applyBorder="1"/>
    <xf numFmtId="3" fontId="6" fillId="8" borderId="15" xfId="0" applyNumberFormat="1" applyFont="1" applyFill="1" applyBorder="1" applyAlignment="1">
      <alignment horizontal="center"/>
    </xf>
    <xf numFmtId="0" fontId="2" fillId="8" borderId="16" xfId="0" applyFont="1" applyFill="1" applyBorder="1"/>
    <xf numFmtId="0" fontId="10" fillId="8" borderId="0" xfId="0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9" fillId="8" borderId="0" xfId="0" applyFont="1" applyFill="1" applyAlignment="1">
      <alignment wrapText="1"/>
    </xf>
    <xf numFmtId="0" fontId="8" fillId="8" borderId="0" xfId="0" applyFont="1" applyFill="1" applyAlignment="1">
      <alignment horizontal="center" wrapText="1"/>
    </xf>
    <xf numFmtId="0" fontId="2" fillId="8" borderId="20" xfId="0" applyFont="1" applyFill="1" applyBorder="1"/>
    <xf numFmtId="0" fontId="2" fillId="8" borderId="21" xfId="0" applyFont="1" applyFill="1" applyBorder="1"/>
    <xf numFmtId="0" fontId="2" fillId="8" borderId="22" xfId="0" applyFont="1" applyFill="1" applyBorder="1"/>
    <xf numFmtId="0" fontId="2" fillId="8" borderId="23" xfId="0" applyFont="1" applyFill="1" applyBorder="1"/>
    <xf numFmtId="0" fontId="2" fillId="8" borderId="24" xfId="0" applyFont="1" applyFill="1" applyBorder="1"/>
    <xf numFmtId="0" fontId="2" fillId="8" borderId="0" xfId="0" applyFont="1" applyFill="1" applyAlignment="1">
      <alignment wrapText="1"/>
    </xf>
    <xf numFmtId="0" fontId="4" fillId="8" borderId="21" xfId="2" applyFont="1" applyFill="1" applyBorder="1" applyAlignment="1">
      <alignment vertical="center"/>
    </xf>
    <xf numFmtId="1" fontId="2" fillId="8" borderId="21" xfId="0" applyNumberFormat="1" applyFont="1" applyFill="1" applyBorder="1"/>
    <xf numFmtId="0" fontId="2" fillId="8" borderId="28" xfId="0" applyFont="1" applyFill="1" applyBorder="1"/>
    <xf numFmtId="0" fontId="11" fillId="8" borderId="0" xfId="0" applyFont="1" applyFill="1" applyAlignment="1">
      <alignment horizontal="center"/>
    </xf>
    <xf numFmtId="0" fontId="2" fillId="8" borderId="29" xfId="0" applyFont="1" applyFill="1" applyBorder="1"/>
    <xf numFmtId="1" fontId="2" fillId="8" borderId="29" xfId="0" applyNumberFormat="1" applyFont="1" applyFill="1" applyBorder="1"/>
    <xf numFmtId="0" fontId="2" fillId="8" borderId="15" xfId="0" applyFont="1" applyFill="1" applyBorder="1"/>
    <xf numFmtId="3" fontId="2" fillId="3" borderId="5" xfId="0" applyNumberFormat="1" applyFont="1" applyFill="1" applyBorder="1" applyAlignment="1">
      <alignment horizontal="center"/>
    </xf>
    <xf numFmtId="3" fontId="2" fillId="8" borderId="0" xfId="0" applyNumberFormat="1" applyFont="1" applyFill="1" applyAlignment="1">
      <alignment horizontal="center"/>
    </xf>
    <xf numFmtId="9" fontId="2" fillId="3" borderId="5" xfId="1" applyFont="1" applyFill="1" applyBorder="1" applyAlignment="1">
      <alignment horizontal="center" vertical="center"/>
    </xf>
    <xf numFmtId="0" fontId="6" fillId="8" borderId="28" xfId="0" applyFont="1" applyFill="1" applyBorder="1"/>
    <xf numFmtId="0" fontId="6" fillId="8" borderId="20" xfId="0" applyFont="1" applyFill="1" applyBorder="1"/>
    <xf numFmtId="0" fontId="6" fillId="8" borderId="21" xfId="0" applyFont="1" applyFill="1" applyBorder="1"/>
    <xf numFmtId="0" fontId="6" fillId="8" borderId="29" xfId="0" applyFont="1" applyFill="1" applyBorder="1"/>
    <xf numFmtId="1" fontId="2" fillId="8" borderId="0" xfId="0" applyNumberFormat="1" applyFont="1" applyFill="1"/>
    <xf numFmtId="9" fontId="6" fillId="4" borderId="5" xfId="0" applyNumberFormat="1" applyFont="1" applyFill="1" applyBorder="1" applyAlignment="1">
      <alignment horizontal="center"/>
    </xf>
    <xf numFmtId="1" fontId="2" fillId="4" borderId="5" xfId="0" applyNumberFormat="1" applyFont="1" applyFill="1" applyBorder="1" applyAlignment="1">
      <alignment horizontal="center"/>
    </xf>
    <xf numFmtId="9" fontId="2" fillId="4" borderId="5" xfId="1" applyFont="1" applyFill="1" applyBorder="1" applyAlignment="1">
      <alignment horizontal="center" vertical="center"/>
    </xf>
    <xf numFmtId="0" fontId="2" fillId="2" borderId="0" xfId="0" applyFont="1" applyFill="1"/>
    <xf numFmtId="0" fontId="6" fillId="2" borderId="0" xfId="0" applyFont="1" applyFill="1"/>
    <xf numFmtId="0" fontId="7" fillId="8" borderId="0" xfId="0" applyFont="1" applyFill="1"/>
    <xf numFmtId="0" fontId="6" fillId="4" borderId="5" xfId="0" applyFont="1" applyFill="1" applyBorder="1" applyAlignment="1">
      <alignment horizontal="center" vertical="center" wrapText="1"/>
    </xf>
    <xf numFmtId="0" fontId="6" fillId="8" borderId="5" xfId="0" applyFont="1" applyFill="1" applyBorder="1" applyAlignment="1">
      <alignment vertical="center" wrapText="1"/>
    </xf>
    <xf numFmtId="0" fontId="6" fillId="4" borderId="5" xfId="0" applyFont="1" applyFill="1" applyBorder="1" applyAlignment="1">
      <alignment horizontal="center" vertical="center"/>
    </xf>
    <xf numFmtId="0" fontId="7" fillId="8" borderId="0" xfId="0" applyFont="1" applyFill="1" applyAlignment="1">
      <alignment horizontal="center"/>
    </xf>
    <xf numFmtId="9" fontId="6" fillId="8" borderId="0" xfId="0" applyNumberFormat="1" applyFont="1" applyFill="1" applyAlignment="1">
      <alignment horizontal="center"/>
    </xf>
    <xf numFmtId="9" fontId="2" fillId="8" borderId="0" xfId="1" applyFont="1" applyFill="1" applyAlignment="1">
      <alignment horizontal="center" vertical="center"/>
    </xf>
    <xf numFmtId="0" fontId="2" fillId="8" borderId="0" xfId="0" applyFont="1" applyFill="1" applyAlignment="1">
      <alignment vertical="center"/>
    </xf>
    <xf numFmtId="0" fontId="6" fillId="8" borderId="0" xfId="0" applyFont="1" applyFill="1" applyAlignment="1">
      <alignment vertical="center"/>
    </xf>
    <xf numFmtId="1" fontId="2" fillId="8" borderId="0" xfId="0" applyNumberFormat="1" applyFont="1" applyFill="1" applyAlignment="1">
      <alignment horizontal="center"/>
    </xf>
    <xf numFmtId="0" fontId="2" fillId="3" borderId="5" xfId="0" applyFont="1" applyFill="1" applyBorder="1" applyAlignment="1">
      <alignment vertical="center" wrapText="1"/>
    </xf>
    <xf numFmtId="0" fontId="16" fillId="8" borderId="0" xfId="0" applyFont="1" applyFill="1" applyAlignment="1">
      <alignment vertical="center"/>
    </xf>
    <xf numFmtId="0" fontId="2" fillId="8" borderId="15" xfId="0" applyFont="1" applyFill="1" applyBorder="1" applyAlignment="1">
      <alignment vertical="center"/>
    </xf>
    <xf numFmtId="0" fontId="7" fillId="8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2" fillId="8" borderId="23" xfId="0" applyFont="1" applyFill="1" applyBorder="1" applyAlignment="1">
      <alignment vertical="center"/>
    </xf>
    <xf numFmtId="0" fontId="0" fillId="0" borderId="0" xfId="0" applyAlignment="1">
      <alignment wrapText="1"/>
    </xf>
    <xf numFmtId="3" fontId="2" fillId="4" borderId="5" xfId="0" applyNumberFormat="1" applyFont="1" applyFill="1" applyBorder="1" applyAlignment="1">
      <alignment horizontal="center"/>
    </xf>
    <xf numFmtId="3" fontId="2" fillId="8" borderId="5" xfId="0" applyNumberFormat="1" applyFont="1" applyFill="1" applyBorder="1" applyAlignment="1">
      <alignment horizontal="center" vertical="center"/>
    </xf>
    <xf numFmtId="164" fontId="2" fillId="4" borderId="5" xfId="1" applyNumberFormat="1" applyFont="1" applyFill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/>
    </xf>
    <xf numFmtId="9" fontId="22" fillId="8" borderId="5" xfId="1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 wrapText="1"/>
    </xf>
    <xf numFmtId="1" fontId="2" fillId="3" borderId="5" xfId="0" applyNumberFormat="1" applyFont="1" applyFill="1" applyBorder="1" applyAlignment="1">
      <alignment horizontal="center"/>
    </xf>
    <xf numFmtId="9" fontId="2" fillId="4" borderId="31" xfId="1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right" vertical="center" wrapText="1"/>
    </xf>
    <xf numFmtId="0" fontId="2" fillId="8" borderId="5" xfId="0" applyFont="1" applyFill="1" applyBorder="1" applyAlignment="1">
      <alignment vertical="center" wrapText="1"/>
    </xf>
    <xf numFmtId="9" fontId="2" fillId="4" borderId="5" xfId="1" applyFont="1" applyFill="1" applyBorder="1" applyAlignment="1">
      <alignment horizontal="right" vertical="center"/>
    </xf>
    <xf numFmtId="3" fontId="2" fillId="0" borderId="5" xfId="0" applyNumberFormat="1" applyFont="1" applyBorder="1" applyAlignment="1">
      <alignment horizontal="right"/>
    </xf>
    <xf numFmtId="1" fontId="2" fillId="4" borderId="5" xfId="0" applyNumberFormat="1" applyFont="1" applyFill="1" applyBorder="1" applyAlignment="1">
      <alignment horizontal="right"/>
    </xf>
    <xf numFmtId="0" fontId="7" fillId="2" borderId="5" xfId="0" applyFont="1" applyFill="1" applyBorder="1" applyAlignment="1">
      <alignment horizontal="center" wrapText="1"/>
    </xf>
    <xf numFmtId="0" fontId="2" fillId="8" borderId="0" xfId="0" applyFont="1" applyFill="1" applyAlignment="1">
      <alignment horizontal="center" wrapText="1"/>
    </xf>
    <xf numFmtId="0" fontId="6" fillId="8" borderId="5" xfId="0" applyFont="1" applyFill="1" applyBorder="1" applyAlignment="1">
      <alignment wrapText="1"/>
    </xf>
    <xf numFmtId="0" fontId="6" fillId="8" borderId="0" xfId="0" applyFont="1" applyFill="1" applyAlignment="1">
      <alignment wrapText="1"/>
    </xf>
    <xf numFmtId="9" fontId="2" fillId="3" borderId="5" xfId="0" applyNumberFormat="1" applyFont="1" applyFill="1" applyBorder="1" applyAlignment="1">
      <alignment horizontal="center" vertical="center" wrapText="1"/>
    </xf>
    <xf numFmtId="0" fontId="0" fillId="0" borderId="5" xfId="0" applyBorder="1"/>
    <xf numFmtId="0" fontId="2" fillId="8" borderId="5" xfId="0" applyFont="1" applyFill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3" fontId="20" fillId="0" borderId="5" xfId="0" applyNumberFormat="1" applyFont="1" applyBorder="1" applyAlignment="1">
      <alignment horizontal="center" vertical="center"/>
    </xf>
    <xf numFmtId="0" fontId="23" fillId="8" borderId="0" xfId="0" applyFont="1" applyFill="1" applyAlignment="1">
      <alignment vertical="center" wrapText="1"/>
    </xf>
    <xf numFmtId="0" fontId="22" fillId="8" borderId="0" xfId="0" applyFont="1" applyFill="1" applyAlignment="1">
      <alignment horizontal="right" vertical="center"/>
    </xf>
    <xf numFmtId="3" fontId="22" fillId="8" borderId="0" xfId="0" applyNumberFormat="1" applyFont="1" applyFill="1" applyAlignment="1">
      <alignment vertical="center"/>
    </xf>
    <xf numFmtId="9" fontId="22" fillId="8" borderId="0" xfId="1" applyFont="1" applyFill="1" applyAlignment="1">
      <alignment vertical="center"/>
    </xf>
    <xf numFmtId="9" fontId="2" fillId="8" borderId="0" xfId="1" applyFont="1" applyFill="1"/>
    <xf numFmtId="9" fontId="0" fillId="0" borderId="5" xfId="1" applyFont="1" applyBorder="1" applyAlignment="1">
      <alignment horizontal="center"/>
    </xf>
    <xf numFmtId="3" fontId="10" fillId="8" borderId="0" xfId="0" applyNumberFormat="1" applyFont="1" applyFill="1" applyAlignment="1">
      <alignment horizontal="center"/>
    </xf>
    <xf numFmtId="0" fontId="13" fillId="0" borderId="0" xfId="0" applyFont="1" applyAlignment="1">
      <alignment horizontal="center" vertical="center" wrapText="1"/>
    </xf>
    <xf numFmtId="0" fontId="18" fillId="0" borderId="5" xfId="0" applyFont="1" applyBorder="1"/>
    <xf numFmtId="9" fontId="18" fillId="0" borderId="5" xfId="1" applyFont="1" applyBorder="1" applyAlignment="1">
      <alignment horizontal="center"/>
    </xf>
    <xf numFmtId="166" fontId="0" fillId="0" borderId="0" xfId="6" applyNumberFormat="1" applyFont="1"/>
    <xf numFmtId="166" fontId="13" fillId="0" borderId="0" xfId="6" applyNumberFormat="1" applyFont="1"/>
    <xf numFmtId="0" fontId="27" fillId="0" borderId="0" xfId="0" applyFont="1" applyFill="1" applyBorder="1"/>
    <xf numFmtId="1" fontId="0" fillId="0" borderId="0" xfId="0" applyNumberFormat="1" applyFont="1" applyFill="1" applyBorder="1"/>
    <xf numFmtId="0" fontId="0" fillId="0" borderId="0" xfId="0" applyFont="1" applyFill="1" applyBorder="1"/>
    <xf numFmtId="0" fontId="26" fillId="0" borderId="0" xfId="3" applyFont="1" applyFill="1" applyBorder="1" applyAlignment="1" applyProtection="1"/>
    <xf numFmtId="10" fontId="26" fillId="0" borderId="0" xfId="8" applyNumberFormat="1" applyFont="1" applyFill="1" applyBorder="1" applyAlignment="1" applyProtection="1">
      <alignment horizontal="center" vertical="center"/>
    </xf>
    <xf numFmtId="0" fontId="26" fillId="0" borderId="0" xfId="0" applyFont="1" applyFill="1" applyBorder="1"/>
    <xf numFmtId="169" fontId="0" fillId="0" borderId="0" xfId="0" applyNumberFormat="1"/>
    <xf numFmtId="170" fontId="0" fillId="0" borderId="0" xfId="0" applyNumberFormat="1"/>
    <xf numFmtId="0" fontId="29" fillId="0" borderId="0" xfId="3" applyFont="1" applyFill="1" applyBorder="1" applyAlignment="1" applyProtection="1"/>
    <xf numFmtId="0" fontId="0" fillId="0" borderId="0" xfId="0" applyFill="1" applyBorder="1"/>
    <xf numFmtId="167" fontId="26" fillId="0" borderId="0" xfId="7" applyNumberFormat="1" applyFont="1" applyFill="1" applyBorder="1" applyAlignment="1" applyProtection="1"/>
    <xf numFmtId="167" fontId="29" fillId="0" borderId="0" xfId="7" applyNumberFormat="1" applyFont="1" applyFill="1" applyBorder="1" applyAlignment="1" applyProtection="1"/>
    <xf numFmtId="0" fontId="7" fillId="2" borderId="5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wrapText="1"/>
    </xf>
    <xf numFmtId="0" fontId="23" fillId="8" borderId="0" xfId="0" applyFont="1" applyFill="1" applyAlignment="1">
      <alignment horizontal="center" wrapText="1"/>
    </xf>
    <xf numFmtId="9" fontId="19" fillId="3" borderId="5" xfId="1" applyFont="1" applyFill="1" applyBorder="1" applyAlignment="1">
      <alignment horizontal="center" vertical="center"/>
    </xf>
    <xf numFmtId="0" fontId="4" fillId="6" borderId="5" xfId="2" applyFont="1" applyFill="1" applyBorder="1" applyAlignment="1">
      <alignment vertical="center"/>
    </xf>
    <xf numFmtId="166" fontId="2" fillId="3" borderId="5" xfId="6" applyNumberFormat="1" applyFont="1" applyFill="1" applyBorder="1" applyAlignment="1">
      <alignment horizontal="center" vertical="center"/>
    </xf>
    <xf numFmtId="1" fontId="2" fillId="4" borderId="6" xfId="0" applyNumberFormat="1" applyFont="1" applyFill="1" applyBorder="1" applyAlignment="1">
      <alignment horizontal="center"/>
    </xf>
    <xf numFmtId="0" fontId="4" fillId="0" borderId="0" xfId="2" applyFont="1" applyBorder="1" applyAlignment="1">
      <alignment vertical="center"/>
    </xf>
    <xf numFmtId="0" fontId="13" fillId="0" borderId="5" xfId="0" applyFont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wrapText="1"/>
    </xf>
    <xf numFmtId="0" fontId="7" fillId="2" borderId="5" xfId="0" applyFont="1" applyFill="1" applyBorder="1" applyAlignment="1">
      <alignment horizontal="center" vertical="center" wrapText="1"/>
    </xf>
    <xf numFmtId="0" fontId="30" fillId="0" borderId="0" xfId="0" applyFont="1"/>
    <xf numFmtId="0" fontId="4" fillId="0" borderId="6" xfId="2" applyFont="1" applyBorder="1" applyAlignment="1">
      <alignment vertical="center"/>
    </xf>
    <xf numFmtId="0" fontId="13" fillId="0" borderId="32" xfId="0" applyFont="1" applyBorder="1"/>
    <xf numFmtId="0" fontId="13" fillId="0" borderId="33" xfId="0" applyFont="1" applyBorder="1"/>
    <xf numFmtId="0" fontId="13" fillId="0" borderId="34" xfId="0" applyFont="1" applyBorder="1"/>
    <xf numFmtId="1" fontId="0" fillId="0" borderId="30" xfId="0" applyNumberFormat="1" applyBorder="1"/>
    <xf numFmtId="1" fontId="0" fillId="0" borderId="35" xfId="0" applyNumberFormat="1" applyBorder="1"/>
    <xf numFmtId="1" fontId="0" fillId="0" borderId="36" xfId="0" applyNumberFormat="1" applyBorder="1"/>
    <xf numFmtId="1" fontId="0" fillId="0" borderId="1" xfId="0" applyNumberFormat="1" applyBorder="1"/>
    <xf numFmtId="1" fontId="0" fillId="0" borderId="37" xfId="0" applyNumberFormat="1" applyBorder="1"/>
    <xf numFmtId="9" fontId="30" fillId="0" borderId="30" xfId="1" applyFont="1" applyBorder="1"/>
    <xf numFmtId="43" fontId="30" fillId="0" borderId="0" xfId="6" applyFont="1" applyBorder="1"/>
    <xf numFmtId="43" fontId="30" fillId="0" borderId="1" xfId="6" applyFont="1" applyBorder="1"/>
    <xf numFmtId="0" fontId="31" fillId="0" borderId="5" xfId="0" applyFont="1" applyBorder="1" applyAlignment="1">
      <alignment vertical="top" wrapText="1"/>
    </xf>
    <xf numFmtId="0" fontId="31" fillId="0" borderId="8" xfId="0" applyFont="1" applyBorder="1" applyAlignment="1">
      <alignment vertical="top" wrapText="1"/>
    </xf>
    <xf numFmtId="10" fontId="31" fillId="0" borderId="35" xfId="1" applyNumberFormat="1" applyFont="1" applyBorder="1"/>
    <xf numFmtId="10" fontId="31" fillId="0" borderId="37" xfId="1" applyNumberFormat="1" applyFont="1" applyBorder="1"/>
    <xf numFmtId="0" fontId="5" fillId="0" borderId="0" xfId="2" applyFont="1" applyBorder="1" applyAlignment="1">
      <alignment vertical="center"/>
    </xf>
    <xf numFmtId="3" fontId="6" fillId="0" borderId="0" xfId="0" applyNumberFormat="1" applyFont="1" applyBorder="1" applyAlignment="1">
      <alignment horizontal="center"/>
    </xf>
    <xf numFmtId="3" fontId="2" fillId="8" borderId="0" xfId="0" applyNumberFormat="1" applyFont="1" applyFill="1" applyAlignment="1">
      <alignment vertical="center"/>
    </xf>
    <xf numFmtId="164" fontId="6" fillId="4" borderId="5" xfId="0" applyNumberFormat="1" applyFont="1" applyFill="1" applyBorder="1" applyAlignment="1">
      <alignment horizontal="center"/>
    </xf>
    <xf numFmtId="166" fontId="2" fillId="3" borderId="5" xfId="6" applyNumberFormat="1" applyFont="1" applyFill="1" applyBorder="1" applyAlignment="1">
      <alignment horizontal="center"/>
    </xf>
    <xf numFmtId="166" fontId="6" fillId="3" borderId="5" xfId="6" applyNumberFormat="1" applyFont="1" applyFill="1" applyBorder="1" applyAlignment="1">
      <alignment horizontal="center" vertical="center"/>
    </xf>
    <xf numFmtId="166" fontId="6" fillId="3" borderId="5" xfId="6" applyNumberFormat="1" applyFont="1" applyFill="1" applyBorder="1" applyAlignment="1">
      <alignment horizontal="center"/>
    </xf>
    <xf numFmtId="1" fontId="6" fillId="4" borderId="5" xfId="0" applyNumberFormat="1" applyFont="1" applyFill="1" applyBorder="1" applyAlignment="1">
      <alignment horizontal="center"/>
    </xf>
    <xf numFmtId="166" fontId="2" fillId="4" borderId="5" xfId="6" applyNumberFormat="1" applyFont="1" applyFill="1" applyBorder="1" applyAlignment="1">
      <alignment horizontal="center"/>
    </xf>
    <xf numFmtId="166" fontId="6" fillId="4" borderId="5" xfId="6" applyNumberFormat="1" applyFont="1" applyFill="1" applyBorder="1" applyAlignment="1">
      <alignment horizontal="center"/>
    </xf>
    <xf numFmtId="9" fontId="6" fillId="4" borderId="5" xfId="1" applyFont="1" applyFill="1" applyBorder="1" applyAlignment="1">
      <alignment horizontal="center" vertical="center"/>
    </xf>
    <xf numFmtId="0" fontId="4" fillId="0" borderId="5" xfId="2" applyFont="1" applyBorder="1" applyAlignment="1">
      <alignment horizontal="left" vertical="center"/>
    </xf>
    <xf numFmtId="0" fontId="2" fillId="8" borderId="5" xfId="0" applyFont="1" applyFill="1" applyBorder="1" applyAlignment="1">
      <alignment horizontal="left" wrapText="1"/>
    </xf>
    <xf numFmtId="9" fontId="6" fillId="8" borderId="0" xfId="0" applyNumberFormat="1" applyFont="1" applyFill="1" applyBorder="1" applyAlignment="1">
      <alignment horizontal="center"/>
    </xf>
    <xf numFmtId="9" fontId="6" fillId="0" borderId="0" xfId="0" applyNumberFormat="1" applyFont="1" applyBorder="1" applyAlignment="1">
      <alignment horizontal="center"/>
    </xf>
    <xf numFmtId="0" fontId="9" fillId="0" borderId="0" xfId="0" applyFont="1" applyAlignment="1">
      <alignment vertical="center"/>
    </xf>
    <xf numFmtId="9" fontId="6" fillId="3" borderId="5" xfId="1" applyFont="1" applyFill="1" applyBorder="1" applyAlignment="1">
      <alignment horizontal="center" vertical="center"/>
    </xf>
    <xf numFmtId="9" fontId="0" fillId="0" borderId="0" xfId="1" applyFont="1"/>
    <xf numFmtId="0" fontId="0" fillId="0" borderId="5" xfId="0" applyFont="1" applyBorder="1" applyAlignment="1">
      <alignment horizontal="left" vertical="center" wrapText="1"/>
    </xf>
    <xf numFmtId="9" fontId="0" fillId="0" borderId="0" xfId="0" applyNumberFormat="1"/>
    <xf numFmtId="0" fontId="0" fillId="0" borderId="0" xfId="0" applyFont="1"/>
    <xf numFmtId="0" fontId="0" fillId="0" borderId="0" xfId="0" applyFont="1" applyAlignment="1">
      <alignment wrapText="1"/>
    </xf>
    <xf numFmtId="9" fontId="0" fillId="4" borderId="5" xfId="1" applyFont="1" applyFill="1" applyBorder="1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9" fontId="0" fillId="0" borderId="0" xfId="0" applyNumberFormat="1" applyFont="1"/>
    <xf numFmtId="9" fontId="0" fillId="3" borderId="5" xfId="1" applyFont="1" applyFill="1" applyBorder="1" applyAlignment="1">
      <alignment vertical="center"/>
    </xf>
    <xf numFmtId="0" fontId="0" fillId="0" borderId="5" xfId="0" applyFont="1" applyBorder="1" applyAlignment="1">
      <alignment wrapText="1"/>
    </xf>
    <xf numFmtId="0" fontId="32" fillId="2" borderId="5" xfId="0" applyFont="1" applyFill="1" applyBorder="1" applyAlignment="1">
      <alignment horizontal="center" vertical="top" wrapText="1"/>
    </xf>
    <xf numFmtId="0" fontId="32" fillId="2" borderId="3" xfId="0" applyFont="1" applyFill="1" applyBorder="1" applyAlignment="1">
      <alignment horizontal="center" vertical="top" wrapText="1"/>
    </xf>
    <xf numFmtId="166" fontId="13" fillId="0" borderId="5" xfId="6" applyNumberFormat="1" applyFont="1" applyBorder="1" applyAlignment="1">
      <alignment horizontal="center" vertical="center"/>
    </xf>
    <xf numFmtId="9" fontId="13" fillId="4" borderId="5" xfId="1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9" fontId="13" fillId="0" borderId="0" xfId="0" applyNumberFormat="1" applyFont="1" applyAlignment="1">
      <alignment horizontal="center"/>
    </xf>
    <xf numFmtId="9" fontId="13" fillId="3" borderId="5" xfId="1" applyFont="1" applyFill="1" applyBorder="1" applyAlignment="1">
      <alignment horizontal="center" vertical="center"/>
    </xf>
    <xf numFmtId="9" fontId="13" fillId="0" borderId="0" xfId="1" applyFont="1" applyAlignment="1">
      <alignment horizontal="center"/>
    </xf>
    <xf numFmtId="9" fontId="0" fillId="3" borderId="6" xfId="1" applyFont="1" applyFill="1" applyBorder="1" applyAlignment="1">
      <alignment vertical="center"/>
    </xf>
    <xf numFmtId="9" fontId="13" fillId="3" borderId="38" xfId="1" applyFont="1" applyFill="1" applyBorder="1" applyAlignment="1">
      <alignment horizontal="center" vertical="center"/>
    </xf>
    <xf numFmtId="9" fontId="13" fillId="3" borderId="39" xfId="1" applyFont="1" applyFill="1" applyBorder="1" applyAlignment="1">
      <alignment horizontal="center" vertical="center"/>
    </xf>
    <xf numFmtId="0" fontId="4" fillId="6" borderId="5" xfId="2" applyFont="1" applyFill="1" applyBorder="1" applyAlignment="1">
      <alignment vertical="center" wrapText="1"/>
    </xf>
    <xf numFmtId="9" fontId="2" fillId="8" borderId="0" xfId="1" applyFont="1" applyFill="1" applyAlignment="1">
      <alignment vertical="center"/>
    </xf>
    <xf numFmtId="3" fontId="0" fillId="0" borderId="0" xfId="0" applyNumberFormat="1"/>
    <xf numFmtId="0" fontId="5" fillId="6" borderId="3" xfId="2" applyFont="1" applyFill="1" applyBorder="1" applyAlignment="1">
      <alignment vertical="center"/>
    </xf>
    <xf numFmtId="9" fontId="6" fillId="6" borderId="5" xfId="1" applyFont="1" applyFill="1" applyBorder="1" applyAlignment="1">
      <alignment horizontal="center"/>
    </xf>
    <xf numFmtId="0" fontId="0" fillId="12" borderId="0" xfId="0" applyFill="1"/>
    <xf numFmtId="0" fontId="7" fillId="2" borderId="5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wrapText="1"/>
    </xf>
    <xf numFmtId="166" fontId="8" fillId="4" borderId="5" xfId="6" applyNumberFormat="1" applyFont="1" applyFill="1" applyBorder="1" applyAlignment="1">
      <alignment horizontal="center" vertical="center"/>
    </xf>
    <xf numFmtId="9" fontId="34" fillId="13" borderId="5" xfId="1" applyFont="1" applyFill="1" applyBorder="1" applyAlignment="1">
      <alignment horizontal="center"/>
    </xf>
    <xf numFmtId="10" fontId="0" fillId="0" borderId="0" xfId="1" applyNumberFormat="1" applyFont="1"/>
    <xf numFmtId="166" fontId="1" fillId="0" borderId="0" xfId="6" applyNumberFormat="1" applyFont="1"/>
    <xf numFmtId="0" fontId="0" fillId="0" borderId="40" xfId="0" applyBorder="1"/>
    <xf numFmtId="1" fontId="0" fillId="0" borderId="40" xfId="0" applyNumberFormat="1" applyBorder="1"/>
    <xf numFmtId="0" fontId="0" fillId="0" borderId="36" xfId="0" applyFont="1" applyBorder="1"/>
    <xf numFmtId="3" fontId="24" fillId="0" borderId="5" xfId="5" applyNumberFormat="1" applyBorder="1" applyAlignment="1"/>
    <xf numFmtId="0" fontId="36" fillId="0" borderId="0" xfId="0" applyFont="1"/>
    <xf numFmtId="0" fontId="37" fillId="0" borderId="5" xfId="0" applyFont="1" applyBorder="1"/>
    <xf numFmtId="1" fontId="37" fillId="0" borderId="5" xfId="0" applyNumberFormat="1" applyFont="1" applyBorder="1"/>
    <xf numFmtId="0" fontId="38" fillId="0" borderId="40" xfId="0" applyFont="1" applyBorder="1"/>
    <xf numFmtId="0" fontId="35" fillId="0" borderId="40" xfId="0" applyFont="1" applyBorder="1"/>
    <xf numFmtId="164" fontId="0" fillId="0" borderId="40" xfId="0" applyNumberFormat="1" applyBorder="1"/>
    <xf numFmtId="2" fontId="0" fillId="0" borderId="0" xfId="0" applyNumberFormat="1"/>
    <xf numFmtId="1" fontId="0" fillId="0" borderId="5" xfId="0" applyNumberFormat="1" applyBorder="1"/>
    <xf numFmtId="0" fontId="39" fillId="15" borderId="41" xfId="0" applyFont="1" applyFill="1" applyBorder="1"/>
    <xf numFmtId="0" fontId="0" fillId="15" borderId="42" xfId="0" applyFill="1" applyBorder="1"/>
    <xf numFmtId="0" fontId="40" fillId="15" borderId="42" xfId="0" applyFont="1" applyFill="1" applyBorder="1"/>
    <xf numFmtId="0" fontId="40" fillId="15" borderId="43" xfId="0" applyFont="1" applyFill="1" applyBorder="1"/>
    <xf numFmtId="0" fontId="0" fillId="16" borderId="44" xfId="0" applyFont="1" applyFill="1" applyBorder="1"/>
    <xf numFmtId="0" fontId="0" fillId="16" borderId="0" xfId="0" applyFill="1" applyBorder="1"/>
    <xf numFmtId="171" fontId="0" fillId="16" borderId="0" xfId="9" applyNumberFormat="1" applyFont="1" applyFill="1" applyBorder="1" applyAlignment="1" applyProtection="1"/>
    <xf numFmtId="171" fontId="0" fillId="16" borderId="35" xfId="9" applyNumberFormat="1" applyFont="1" applyFill="1" applyBorder="1" applyAlignment="1" applyProtection="1"/>
    <xf numFmtId="0" fontId="0" fillId="17" borderId="44" xfId="0" applyFont="1" applyFill="1" applyBorder="1"/>
    <xf numFmtId="0" fontId="0" fillId="17" borderId="0" xfId="0" applyFill="1" applyBorder="1"/>
    <xf numFmtId="171" fontId="0" fillId="17" borderId="0" xfId="9" applyNumberFormat="1" applyFont="1" applyFill="1" applyBorder="1" applyAlignment="1" applyProtection="1"/>
    <xf numFmtId="171" fontId="0" fillId="17" borderId="35" xfId="9" applyNumberFormat="1" applyFont="1" applyFill="1" applyBorder="1" applyAlignment="1" applyProtection="1"/>
    <xf numFmtId="0" fontId="0" fillId="16" borderId="45" xfId="0" applyFont="1" applyFill="1" applyBorder="1"/>
    <xf numFmtId="0" fontId="0" fillId="16" borderId="46" xfId="0" applyFill="1" applyBorder="1"/>
    <xf numFmtId="171" fontId="0" fillId="16" borderId="46" xfId="9" applyNumberFormat="1" applyFont="1" applyFill="1" applyBorder="1" applyAlignment="1" applyProtection="1"/>
    <xf numFmtId="172" fontId="41" fillId="15" borderId="46" xfId="0" applyNumberFormat="1" applyFont="1" applyFill="1" applyBorder="1" applyAlignment="1">
      <alignment horizontal="left"/>
    </xf>
    <xf numFmtId="171" fontId="0" fillId="0" borderId="0" xfId="0" applyNumberFormat="1"/>
    <xf numFmtId="0" fontId="38" fillId="0" borderId="0" xfId="0" applyFont="1"/>
    <xf numFmtId="173" fontId="0" fillId="0" borderId="40" xfId="0" applyNumberFormat="1" applyBorder="1"/>
    <xf numFmtId="0" fontId="35" fillId="0" borderId="0" xfId="0" applyFont="1"/>
    <xf numFmtId="173" fontId="0" fillId="0" borderId="0" xfId="0" applyNumberFormat="1"/>
    <xf numFmtId="173" fontId="38" fillId="0" borderId="0" xfId="0" applyNumberFormat="1" applyFont="1"/>
    <xf numFmtId="166" fontId="2" fillId="0" borderId="5" xfId="6" applyNumberFormat="1" applyFont="1" applyBorder="1" applyAlignment="1">
      <alignment horizontal="right"/>
    </xf>
    <xf numFmtId="166" fontId="2" fillId="0" borderId="5" xfId="6" applyNumberFormat="1" applyFont="1" applyBorder="1" applyAlignment="1">
      <alignment horizontal="center"/>
    </xf>
    <xf numFmtId="9" fontId="2" fillId="0" borderId="5" xfId="1" applyFont="1" applyBorder="1" applyAlignment="1">
      <alignment horizontal="right"/>
    </xf>
    <xf numFmtId="166" fontId="6" fillId="0" borderId="5" xfId="6" applyNumberFormat="1" applyFont="1" applyBorder="1" applyAlignment="1">
      <alignment horizontal="right"/>
    </xf>
    <xf numFmtId="0" fontId="42" fillId="18" borderId="47" xfId="0" applyFont="1" applyFill="1" applyBorder="1" applyAlignment="1">
      <alignment vertical="center" wrapText="1"/>
    </xf>
    <xf numFmtId="164" fontId="0" fillId="0" borderId="0" xfId="9" applyNumberFormat="1" applyFont="1" applyBorder="1" applyAlignment="1" applyProtection="1"/>
    <xf numFmtId="0" fontId="0" fillId="0" borderId="48" xfId="0" applyBorder="1"/>
    <xf numFmtId="171" fontId="0" fillId="16" borderId="49" xfId="9" applyNumberFormat="1" applyFont="1" applyFill="1" applyBorder="1" applyAlignment="1" applyProtection="1"/>
    <xf numFmtId="0" fontId="43" fillId="0" borderId="0" xfId="0" applyFont="1"/>
    <xf numFmtId="0" fontId="0" fillId="9" borderId="0" xfId="0" applyFill="1"/>
    <xf numFmtId="0" fontId="4" fillId="6" borderId="3" xfId="2" applyFont="1" applyFill="1" applyBorder="1" applyAlignment="1">
      <alignment vertical="center"/>
    </xf>
    <xf numFmtId="166" fontId="6" fillId="0" borderId="7" xfId="6" applyNumberFormat="1" applyFont="1" applyBorder="1" applyAlignment="1">
      <alignment horizontal="right"/>
    </xf>
    <xf numFmtId="43" fontId="0" fillId="0" borderId="0" xfId="0" applyNumberFormat="1"/>
    <xf numFmtId="174" fontId="0" fillId="0" borderId="0" xfId="0" applyNumberFormat="1"/>
    <xf numFmtId="0" fontId="45" fillId="0" borderId="0" xfId="0" applyFont="1"/>
    <xf numFmtId="0" fontId="45" fillId="12" borderId="0" xfId="0" applyFont="1" applyFill="1"/>
    <xf numFmtId="0" fontId="9" fillId="14" borderId="5" xfId="0" applyFont="1" applyFill="1" applyBorder="1"/>
    <xf numFmtId="0" fontId="9" fillId="14" borderId="5" xfId="0" applyFont="1" applyFill="1" applyBorder="1" applyAlignment="1">
      <alignment horizontal="center"/>
    </xf>
    <xf numFmtId="0" fontId="46" fillId="14" borderId="5" xfId="2" applyFont="1" applyFill="1" applyBorder="1" applyAlignment="1">
      <alignment vertical="center"/>
    </xf>
    <xf numFmtId="3" fontId="8" fillId="14" borderId="5" xfId="0" applyNumberFormat="1" applyFont="1" applyFill="1" applyBorder="1" applyAlignment="1">
      <alignment horizontal="right"/>
    </xf>
    <xf numFmtId="0" fontId="47" fillId="14" borderId="5" xfId="2" applyFont="1" applyFill="1" applyBorder="1" applyAlignment="1">
      <alignment vertical="center"/>
    </xf>
    <xf numFmtId="3" fontId="9" fillId="14" borderId="5" xfId="0" applyNumberFormat="1" applyFont="1" applyFill="1" applyBorder="1" applyAlignment="1">
      <alignment horizontal="center"/>
    </xf>
    <xf numFmtId="0" fontId="47" fillId="14" borderId="3" xfId="2" applyFont="1" applyFill="1" applyBorder="1" applyAlignment="1">
      <alignment vertical="center"/>
    </xf>
    <xf numFmtId="9" fontId="9" fillId="14" borderId="5" xfId="1" applyFont="1" applyFill="1" applyBorder="1" applyAlignment="1">
      <alignment horizontal="center"/>
    </xf>
    <xf numFmtId="9" fontId="48" fillId="14" borderId="5" xfId="1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wrapText="1"/>
    </xf>
    <xf numFmtId="9" fontId="2" fillId="13" borderId="5" xfId="1" applyFont="1" applyFill="1" applyBorder="1" applyAlignment="1">
      <alignment horizontal="right"/>
    </xf>
    <xf numFmtId="166" fontId="0" fillId="0" borderId="5" xfId="6" applyNumberFormat="1" applyFont="1" applyBorder="1"/>
    <xf numFmtId="166" fontId="0" fillId="0" borderId="5" xfId="0" applyNumberFormat="1" applyBorder="1"/>
    <xf numFmtId="0" fontId="4" fillId="8" borderId="3" xfId="2" applyFont="1" applyFill="1" applyBorder="1" applyAlignment="1">
      <alignment vertical="center"/>
    </xf>
    <xf numFmtId="166" fontId="0" fillId="0" borderId="0" xfId="0" applyNumberFormat="1" applyBorder="1"/>
    <xf numFmtId="0" fontId="29" fillId="0" borderId="0" xfId="3" applyFont="1" applyFill="1" applyBorder="1" applyAlignment="1" applyProtection="1">
      <alignment wrapText="1"/>
    </xf>
    <xf numFmtId="166" fontId="0" fillId="0" borderId="0" xfId="0" applyNumberFormat="1"/>
    <xf numFmtId="1" fontId="0" fillId="0" borderId="0" xfId="0" applyNumberFormat="1"/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/>
    <xf numFmtId="173" fontId="35" fillId="0" borderId="40" xfId="0" applyNumberFormat="1" applyFont="1" applyBorder="1"/>
    <xf numFmtId="0" fontId="7" fillId="2" borderId="5" xfId="0" applyFont="1" applyFill="1" applyBorder="1" applyAlignment="1">
      <alignment horizontal="center" wrapText="1"/>
    </xf>
    <xf numFmtId="0" fontId="7" fillId="2" borderId="5" xfId="0" applyFont="1" applyFill="1" applyBorder="1" applyAlignment="1">
      <alignment horizontal="center" vertical="center" wrapText="1"/>
    </xf>
    <xf numFmtId="0" fontId="0" fillId="19" borderId="0" xfId="0" applyFill="1" applyAlignment="1">
      <alignment wrapText="1"/>
    </xf>
    <xf numFmtId="0" fontId="0" fillId="19" borderId="0" xfId="0" applyFill="1" applyAlignment="1">
      <alignment horizontal="center" vertical="top" wrapText="1"/>
    </xf>
    <xf numFmtId="173" fontId="13" fillId="0" borderId="0" xfId="0" applyNumberFormat="1" applyFont="1"/>
    <xf numFmtId="167" fontId="26" fillId="20" borderId="51" xfId="7" applyNumberFormat="1" applyFont="1" applyFill="1" applyBorder="1" applyAlignment="1" applyProtection="1"/>
    <xf numFmtId="3" fontId="6" fillId="0" borderId="5" xfId="0" applyNumberFormat="1" applyFont="1" applyBorder="1" applyAlignment="1">
      <alignment horizontal="right"/>
    </xf>
    <xf numFmtId="3" fontId="22" fillId="0" borderId="5" xfId="0" applyNumberFormat="1" applyFont="1" applyBorder="1" applyAlignment="1">
      <alignment horizontal="right"/>
    </xf>
    <xf numFmtId="3" fontId="50" fillId="0" borderId="0" xfId="0" applyNumberFormat="1" applyFont="1"/>
    <xf numFmtId="0" fontId="51" fillId="0" borderId="0" xfId="0" applyFont="1" applyFill="1" applyBorder="1"/>
    <xf numFmtId="0" fontId="51" fillId="0" borderId="0" xfId="0" applyFont="1" applyFill="1" applyBorder="1" applyAlignment="1">
      <alignment horizontal="left"/>
    </xf>
    <xf numFmtId="166" fontId="51" fillId="0" borderId="0" xfId="0" applyNumberFormat="1" applyFont="1" applyFill="1" applyBorder="1"/>
    <xf numFmtId="0" fontId="52" fillId="0" borderId="0" xfId="0" applyFont="1" applyFill="1" applyBorder="1" applyAlignment="1">
      <alignment horizontal="left"/>
    </xf>
    <xf numFmtId="166" fontId="52" fillId="0" borderId="0" xfId="0" applyNumberFormat="1" applyFont="1" applyFill="1" applyBorder="1"/>
    <xf numFmtId="166" fontId="13" fillId="0" borderId="0" xfId="0" applyNumberFormat="1" applyFont="1"/>
    <xf numFmtId="1" fontId="37" fillId="3" borderId="5" xfId="0" applyNumberFormat="1" applyFont="1" applyFill="1" applyBorder="1"/>
    <xf numFmtId="164" fontId="0" fillId="3" borderId="40" xfId="0" applyNumberFormat="1" applyFill="1" applyBorder="1"/>
    <xf numFmtId="3" fontId="24" fillId="3" borderId="5" xfId="5" applyNumberFormat="1" applyFill="1" applyBorder="1" applyAlignment="1"/>
    <xf numFmtId="164" fontId="0" fillId="3" borderId="0" xfId="9" applyNumberFormat="1" applyFont="1" applyFill="1" applyBorder="1" applyAlignment="1" applyProtection="1"/>
    <xf numFmtId="3" fontId="2" fillId="0" borderId="0" xfId="0" applyNumberFormat="1" applyFont="1" applyBorder="1" applyAlignment="1">
      <alignment horizontal="center"/>
    </xf>
    <xf numFmtId="166" fontId="2" fillId="0" borderId="0" xfId="6" applyNumberFormat="1" applyFont="1" applyBorder="1" applyAlignment="1">
      <alignment horizontal="center"/>
    </xf>
    <xf numFmtId="166" fontId="2" fillId="0" borderId="0" xfId="6" applyNumberFormat="1" applyFont="1" applyBorder="1" applyAlignment="1">
      <alignment horizontal="right"/>
    </xf>
    <xf numFmtId="0" fontId="0" fillId="0" borderId="5" xfId="0" applyFont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wrapText="1"/>
    </xf>
    <xf numFmtId="175" fontId="0" fillId="0" borderId="0" xfId="0" applyNumberFormat="1" applyBorder="1"/>
    <xf numFmtId="0" fontId="13" fillId="0" borderId="0" xfId="0" applyFont="1" applyBorder="1" applyAlignment="1"/>
    <xf numFmtId="175" fontId="0" fillId="0" borderId="5" xfId="6" applyNumberFormat="1" applyFont="1" applyBorder="1"/>
    <xf numFmtId="175" fontId="0" fillId="0" borderId="5" xfId="0" applyNumberFormat="1" applyBorder="1"/>
    <xf numFmtId="0" fontId="32" fillId="2" borderId="5" xfId="0" applyFont="1" applyFill="1" applyBorder="1" applyAlignment="1">
      <alignment horizontal="center" vertical="center" wrapText="1"/>
    </xf>
    <xf numFmtId="9" fontId="0" fillId="3" borderId="2" xfId="1" applyFont="1" applyFill="1" applyBorder="1" applyAlignment="1">
      <alignment vertical="center"/>
    </xf>
    <xf numFmtId="9" fontId="13" fillId="3" borderId="52" xfId="1" applyFont="1" applyFill="1" applyBorder="1" applyAlignment="1">
      <alignment vertical="center"/>
    </xf>
    <xf numFmtId="175" fontId="34" fillId="13" borderId="5" xfId="6" applyNumberFormat="1" applyFont="1" applyFill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52" fillId="0" borderId="0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 wrapText="1"/>
    </xf>
    <xf numFmtId="0" fontId="54" fillId="0" borderId="0" xfId="0" applyFont="1"/>
    <xf numFmtId="0" fontId="55" fillId="0" borderId="0" xfId="0" applyFont="1"/>
    <xf numFmtId="0" fontId="30" fillId="0" borderId="0" xfId="0" applyFont="1" applyAlignment="1">
      <alignment horizontal="center" vertical="center"/>
    </xf>
    <xf numFmtId="0" fontId="55" fillId="0" borderId="0" xfId="0" applyFont="1" applyAlignment="1">
      <alignment horizontal="right"/>
    </xf>
    <xf numFmtId="0" fontId="56" fillId="22" borderId="5" xfId="0" applyFont="1" applyFill="1" applyBorder="1" applyAlignment="1">
      <alignment horizontal="left"/>
    </xf>
    <xf numFmtId="0" fontId="56" fillId="22" borderId="5" xfId="0" applyFont="1" applyFill="1" applyBorder="1" applyAlignment="1">
      <alignment horizontal="center" wrapText="1"/>
    </xf>
    <xf numFmtId="0" fontId="55" fillId="23" borderId="5" xfId="0" applyFont="1" applyFill="1" applyBorder="1" applyAlignment="1">
      <alignment horizontal="left"/>
    </xf>
    <xf numFmtId="3" fontId="55" fillId="0" borderId="5" xfId="0" applyNumberFormat="1" applyFont="1" applyBorder="1" applyAlignment="1">
      <alignment horizontal="right" wrapText="1" indent="1"/>
    </xf>
    <xf numFmtId="3" fontId="56" fillId="22" borderId="5" xfId="0" applyNumberFormat="1" applyFont="1" applyFill="1" applyBorder="1" applyAlignment="1">
      <alignment horizontal="right" wrapText="1" indent="1"/>
    </xf>
    <xf numFmtId="1" fontId="55" fillId="0" borderId="0" xfId="0" applyNumberFormat="1" applyFont="1"/>
    <xf numFmtId="3" fontId="55" fillId="0" borderId="0" xfId="0" applyNumberFormat="1" applyFont="1" applyAlignment="1">
      <alignment horizontal="right"/>
    </xf>
    <xf numFmtId="164" fontId="0" fillId="0" borderId="0" xfId="0" applyNumberFormat="1"/>
    <xf numFmtId="164" fontId="56" fillId="22" borderId="5" xfId="1" applyNumberFormat="1" applyFont="1" applyFill="1" applyBorder="1" applyAlignment="1">
      <alignment horizontal="right" wrapText="1" indent="1"/>
    </xf>
    <xf numFmtId="10" fontId="56" fillId="22" borderId="5" xfId="1" applyNumberFormat="1" applyFont="1" applyFill="1" applyBorder="1" applyAlignment="1">
      <alignment horizontal="right" wrapText="1" indent="1"/>
    </xf>
    <xf numFmtId="0" fontId="2" fillId="3" borderId="0" xfId="0" applyFont="1" applyFill="1" applyBorder="1" applyAlignment="1">
      <alignment horizontal="left" vertical="center" wrapText="1"/>
    </xf>
    <xf numFmtId="177" fontId="30" fillId="0" borderId="0" xfId="0" applyNumberFormat="1" applyFont="1" applyBorder="1"/>
    <xf numFmtId="0" fontId="2" fillId="4" borderId="5" xfId="0" applyFont="1" applyFill="1" applyBorder="1" applyAlignment="1">
      <alignment horizontal="center"/>
    </xf>
    <xf numFmtId="176" fontId="2" fillId="4" borderId="5" xfId="6" applyNumberFormat="1" applyFont="1" applyFill="1" applyBorder="1" applyAlignment="1">
      <alignment horizontal="center"/>
    </xf>
    <xf numFmtId="176" fontId="56" fillId="22" borderId="5" xfId="6" applyNumberFormat="1" applyFont="1" applyFill="1" applyBorder="1" applyAlignment="1">
      <alignment horizontal="right" wrapText="1" indent="1"/>
    </xf>
    <xf numFmtId="178" fontId="0" fillId="0" borderId="0" xfId="0" applyNumberFormat="1"/>
    <xf numFmtId="0" fontId="4" fillId="8" borderId="30" xfId="2" applyFont="1" applyFill="1" applyBorder="1" applyAlignment="1">
      <alignment vertical="center"/>
    </xf>
    <xf numFmtId="0" fontId="5" fillId="6" borderId="3" xfId="2" applyFont="1" applyFill="1" applyBorder="1" applyAlignment="1">
      <alignment vertical="center" wrapText="1"/>
    </xf>
    <xf numFmtId="0" fontId="7" fillId="2" borderId="6" xfId="0" applyFont="1" applyFill="1" applyBorder="1" applyAlignment="1">
      <alignment horizontal="center" wrapText="1"/>
    </xf>
    <xf numFmtId="0" fontId="7" fillId="2" borderId="7" xfId="0" applyFont="1" applyFill="1" applyBorder="1" applyAlignment="1">
      <alignment horizontal="center" wrapText="1"/>
    </xf>
    <xf numFmtId="0" fontId="7" fillId="2" borderId="8" xfId="0" applyFont="1" applyFill="1" applyBorder="1" applyAlignment="1">
      <alignment horizontal="center" wrapText="1"/>
    </xf>
    <xf numFmtId="0" fontId="7" fillId="2" borderId="5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/>
    </xf>
    <xf numFmtId="0" fontId="2" fillId="3" borderId="4" xfId="0" applyFont="1" applyFill="1" applyBorder="1" applyAlignment="1">
      <alignment horizontal="left" vertical="center" wrapText="1"/>
    </xf>
    <xf numFmtId="0" fontId="7" fillId="11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 wrapText="1"/>
    </xf>
    <xf numFmtId="0" fontId="2" fillId="3" borderId="5" xfId="0" applyFont="1" applyFill="1" applyBorder="1" applyAlignment="1">
      <alignment horizontal="left" vertical="center" wrapText="1"/>
    </xf>
    <xf numFmtId="0" fontId="15" fillId="2" borderId="0" xfId="0" applyFont="1" applyFill="1" applyAlignment="1">
      <alignment horizontal="center"/>
    </xf>
    <xf numFmtId="0" fontId="12" fillId="5" borderId="9" xfId="0" applyFont="1" applyFill="1" applyBorder="1" applyAlignment="1">
      <alignment horizontal="center"/>
    </xf>
    <xf numFmtId="0" fontId="12" fillId="5" borderId="10" xfId="0" applyFont="1" applyFill="1" applyBorder="1" applyAlignment="1">
      <alignment horizontal="center"/>
    </xf>
    <xf numFmtId="0" fontId="12" fillId="5" borderId="11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7" xfId="0" applyFont="1" applyFill="1" applyBorder="1" applyAlignment="1">
      <alignment horizontal="center"/>
    </xf>
    <xf numFmtId="0" fontId="7" fillId="5" borderId="8" xfId="0" applyFont="1" applyFill="1" applyBorder="1" applyAlignment="1">
      <alignment horizontal="center"/>
    </xf>
    <xf numFmtId="0" fontId="12" fillId="2" borderId="25" xfId="0" applyFont="1" applyFill="1" applyBorder="1" applyAlignment="1">
      <alignment horizontal="center"/>
    </xf>
    <xf numFmtId="0" fontId="12" fillId="2" borderId="26" xfId="0" applyFont="1" applyFill="1" applyBorder="1" applyAlignment="1">
      <alignment horizontal="center"/>
    </xf>
    <xf numFmtId="0" fontId="12" fillId="2" borderId="27" xfId="0" applyFont="1" applyFill="1" applyBorder="1" applyAlignment="1">
      <alignment horizontal="center"/>
    </xf>
    <xf numFmtId="0" fontId="11" fillId="9" borderId="17" xfId="0" applyFont="1" applyFill="1" applyBorder="1" applyAlignment="1">
      <alignment horizontal="center"/>
    </xf>
    <xf numFmtId="0" fontId="11" fillId="9" borderId="18" xfId="0" applyFont="1" applyFill="1" applyBorder="1" applyAlignment="1">
      <alignment horizontal="center"/>
    </xf>
    <xf numFmtId="0" fontId="11" fillId="9" borderId="19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10" borderId="1" xfId="0" applyFont="1" applyFill="1" applyBorder="1" applyAlignment="1">
      <alignment horizontal="center"/>
    </xf>
    <xf numFmtId="0" fontId="13" fillId="10" borderId="0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52" fillId="0" borderId="0" xfId="0" applyFont="1" applyFill="1" applyBorder="1" applyAlignment="1">
      <alignment horizontal="center"/>
    </xf>
    <xf numFmtId="0" fontId="0" fillId="0" borderId="7" xfId="0" quotePrefix="1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5" xfId="0" applyFont="1" applyBorder="1" applyAlignment="1">
      <alignment horizontal="left" vertical="top" wrapText="1"/>
    </xf>
    <xf numFmtId="0" fontId="0" fillId="0" borderId="5" xfId="0" applyFont="1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13" fillId="0" borderId="5" xfId="0" applyFont="1" applyBorder="1" applyAlignment="1">
      <alignment wrapText="1"/>
    </xf>
    <xf numFmtId="0" fontId="53" fillId="21" borderId="6" xfId="0" applyFont="1" applyFill="1" applyBorder="1" applyAlignment="1">
      <alignment horizontal="center" vertical="top" wrapText="1"/>
    </xf>
    <xf numFmtId="0" fontId="53" fillId="21" borderId="7" xfId="0" applyFont="1" applyFill="1" applyBorder="1" applyAlignment="1">
      <alignment horizontal="center" vertical="top" wrapText="1"/>
    </xf>
    <xf numFmtId="0" fontId="53" fillId="21" borderId="8" xfId="0" applyFont="1" applyFill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32" fillId="2" borderId="6" xfId="0" applyFont="1" applyFill="1" applyBorder="1" applyAlignment="1">
      <alignment horizontal="center" vertical="center" wrapText="1"/>
    </xf>
    <xf numFmtId="0" fontId="32" fillId="2" borderId="7" xfId="0" applyFont="1" applyFill="1" applyBorder="1" applyAlignment="1">
      <alignment horizontal="center" vertical="center" wrapText="1"/>
    </xf>
    <xf numFmtId="0" fontId="32" fillId="2" borderId="8" xfId="0" applyFont="1" applyFill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/>
    </xf>
    <xf numFmtId="0" fontId="44" fillId="9" borderId="0" xfId="0" applyFont="1" applyFill="1" applyAlignment="1">
      <alignment horizontal="center" wrapText="1"/>
    </xf>
    <xf numFmtId="0" fontId="7" fillId="5" borderId="36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33" fillId="12" borderId="0" xfId="0" applyFont="1" applyFill="1" applyAlignment="1">
      <alignment horizontal="center" vertical="center"/>
    </xf>
    <xf numFmtId="0" fontId="49" fillId="14" borderId="36" xfId="0" applyFont="1" applyFill="1" applyBorder="1" applyAlignment="1">
      <alignment horizontal="center"/>
    </xf>
    <xf numFmtId="0" fontId="49" fillId="14" borderId="1" xfId="0" applyFont="1" applyFill="1" applyBorder="1" applyAlignment="1">
      <alignment horizontal="center"/>
    </xf>
    <xf numFmtId="0" fontId="30" fillId="0" borderId="50" xfId="0" applyFont="1" applyBorder="1" applyAlignment="1">
      <alignment horizontal="left" vertical="top" wrapText="1"/>
    </xf>
    <xf numFmtId="0" fontId="30" fillId="0" borderId="0" xfId="0" applyFont="1" applyBorder="1" applyAlignment="1">
      <alignment horizontal="left" vertical="top" wrapText="1"/>
    </xf>
    <xf numFmtId="0" fontId="35" fillId="0" borderId="40" xfId="0" applyFont="1" applyBorder="1" applyAlignment="1">
      <alignment horizontal="center" vertical="center" wrapText="1"/>
    </xf>
    <xf numFmtId="0" fontId="40" fillId="15" borderId="45" xfId="0" applyFont="1" applyFill="1" applyBorder="1" applyAlignment="1">
      <alignment horizontal="center"/>
    </xf>
  </cellXfs>
  <cellStyles count="10">
    <cellStyle name="Excel_BuiltIn_Comma" xfId="7" xr:uid="{00000000-0005-0000-0000-000000000000}"/>
    <cellStyle name="Milliers" xfId="6" builtinId="3"/>
    <cellStyle name="Normal" xfId="0" builtinId="0"/>
    <cellStyle name="Normal 2" xfId="2" xr:uid="{00000000-0005-0000-0000-000003000000}"/>
    <cellStyle name="Normal 2 2" xfId="5" xr:uid="{00000000-0005-0000-0000-000004000000}"/>
    <cellStyle name="Normal 3" xfId="3" xr:uid="{00000000-0005-0000-0000-000005000000}"/>
    <cellStyle name="Normal 4" xfId="4" xr:uid="{00000000-0005-0000-0000-000006000000}"/>
    <cellStyle name="Pourcentage" xfId="1" builtinId="5"/>
    <cellStyle name="Pourcentage 3" xfId="8" xr:uid="{00000000-0005-0000-0000-000008000000}"/>
    <cellStyle name="Pourcentage 3 4" xfId="9" xr:uid="{00000000-0005-0000-0000-000009000000}"/>
  </cellStyles>
  <dxfs count="33"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4472C4"/>
        </top>
        <bottom style="thin">
          <color rgb="FF4472C4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top style="thin">
          <color rgb="FF8EA9DB"/>
        </top>
      </border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4472C4"/>
        </top>
        <bottom style="thin">
          <color rgb="FF4472C4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top style="thin">
          <color rgb="FF8EA9DB"/>
        </top>
      </border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4472C4"/>
        </top>
        <bottom style="thin">
          <color rgb="FF4472C4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top style="thin">
          <color rgb="FF8EA9DB"/>
        </top>
      </border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</dxfs>
  <tableStyles count="3" defaultTableStyle="TableStyleMedium2" defaultPivotStyle="PivotStyleLight16">
    <tableStyle name="PivotStyleLight16 2" table="0" count="11" xr9:uid="{00000000-0011-0000-FFFF-FFFF00000000}">
      <tableStyleElement type="headerRow" dxfId="32"/>
      <tableStyleElement type="totalRow" dxfId="31"/>
      <tableStyleElement type="firstRowStripe" dxfId="30"/>
      <tableStyleElement type="firstColumnStripe" dxfId="29"/>
      <tableStyleElement type="firstSubtotalColumn" dxfId="28"/>
      <tableStyleElement type="firstSubtotalRow" dxfId="27"/>
      <tableStyleElement type="secondSubtotalRow" dxfId="26"/>
      <tableStyleElement type="firstRowSubheading" dxfId="25"/>
      <tableStyleElement type="secondRowSubheading" dxfId="24"/>
      <tableStyleElement type="pageFieldLabels" dxfId="23"/>
      <tableStyleElement type="pageFieldValues" dxfId="22"/>
    </tableStyle>
    <tableStyle name="PivotStyleLight16 3" table="0" count="11" xr9:uid="{00000000-0011-0000-FFFF-FFFF01000000}">
      <tableStyleElement type="headerRow" dxfId="21"/>
      <tableStyleElement type="totalRow" dxfId="20"/>
      <tableStyleElement type="firstRowStripe" dxfId="19"/>
      <tableStyleElement type="firstColumnStripe" dxfId="18"/>
      <tableStyleElement type="firstSubtotalColumn" dxfId="17"/>
      <tableStyleElement type="firstSubtotalRow" dxfId="16"/>
      <tableStyleElement type="secondSubtotalRow" dxfId="15"/>
      <tableStyleElement type="firstRowSubheading" dxfId="14"/>
      <tableStyleElement type="secondRowSubheading" dxfId="13"/>
      <tableStyleElement type="pageFieldLabels" dxfId="12"/>
      <tableStyleElement type="pageFieldValues" dxfId="11"/>
    </tableStyle>
    <tableStyle name="PivotStyleLight16 4" table="0" count="11" xr9:uid="{00000000-0011-0000-FFFF-FFFF02000000}">
      <tableStyleElement type="headerRow" dxfId="10"/>
      <tableStyleElement type="totalRow" dxfId="9"/>
      <tableStyleElement type="firstRowStripe" dxfId="8"/>
      <tableStyleElement type="firstColumnStripe" dxfId="7"/>
      <tableStyleElement type="firstSubtotalColumn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colors>
    <mruColors>
      <color rgb="FF3DB84B"/>
      <color rgb="FFFFC000"/>
      <color rgb="FF44546A"/>
      <color rgb="FFFF5328"/>
      <color rgb="FF020407"/>
      <color rgb="FFD5DBDA"/>
      <color rgb="FF00B9F2"/>
      <color rgb="FF1D60B3"/>
      <color rgb="FF3CB74B"/>
      <color rgb="FF9882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'Bureaux - AME'!$E$13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AME'!$H$13:$K$13</c:f>
              <c:numCache>
                <c:formatCode>#,##0</c:formatCode>
                <c:ptCount val="4"/>
                <c:pt idx="0">
                  <c:v>3702.0698483966362</c:v>
                </c:pt>
                <c:pt idx="1">
                  <c:v>2440.5612189080857</c:v>
                </c:pt>
                <c:pt idx="2">
                  <c:v>1736.2323089222918</c:v>
                </c:pt>
                <c:pt idx="3">
                  <c:v>1146.4894804961245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4-400F-8A64-2D32F603F3E9}"/>
            </c:ext>
          </c:extLst>
        </c:ser>
        <c:ser>
          <c:idx val="1"/>
          <c:order val="1"/>
          <c:tx>
            <c:strRef>
              <c:f>'Bureaux - AME'!$E$14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AME'!$H$14:$K$14</c:f>
              <c:numCache>
                <c:formatCode>#,##0</c:formatCode>
                <c:ptCount val="4"/>
                <c:pt idx="0">
                  <c:v>17499.088072701466</c:v>
                </c:pt>
                <c:pt idx="1">
                  <c:v>12546.166688501764</c:v>
                </c:pt>
                <c:pt idx="2">
                  <c:v>9856.6318817200736</c:v>
                </c:pt>
                <c:pt idx="3">
                  <c:v>7422.1687009352418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4-400F-8A64-2D32F603F3E9}"/>
            </c:ext>
          </c:extLst>
        </c:ser>
        <c:ser>
          <c:idx val="2"/>
          <c:order val="2"/>
          <c:tx>
            <c:strRef>
              <c:f>'Bureaux - AME'!$E$15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AME'!$H$15:$K$15</c:f>
              <c:numCache>
                <c:formatCode>#,##0</c:formatCode>
                <c:ptCount val="4"/>
                <c:pt idx="0">
                  <c:v>2777.8770505483162</c:v>
                </c:pt>
                <c:pt idx="1">
                  <c:v>2989.4589555021416</c:v>
                </c:pt>
                <c:pt idx="2">
                  <c:v>3303.9055191366506</c:v>
                </c:pt>
                <c:pt idx="3">
                  <c:v>3415.1224824941073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4-400F-8A64-2D32F603F3E9}"/>
            </c:ext>
          </c:extLst>
        </c:ser>
        <c:ser>
          <c:idx val="3"/>
          <c:order val="3"/>
          <c:tx>
            <c:strRef>
              <c:f>'Bureaux - AME'!$E$16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AME'!$H$16:$K$16</c:f>
              <c:numCache>
                <c:formatCode>#,##0</c:formatCode>
                <c:ptCount val="4"/>
                <c:pt idx="0">
                  <c:v>402.11116718463489</c:v>
                </c:pt>
                <c:pt idx="1">
                  <c:v>300.50800857160675</c:v>
                </c:pt>
                <c:pt idx="2">
                  <c:v>243.71105793113063</c:v>
                </c:pt>
                <c:pt idx="3">
                  <c:v>190.73968440218695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24-400F-8A64-2D32F603F3E9}"/>
            </c:ext>
          </c:extLst>
        </c:ser>
        <c:ser>
          <c:idx val="4"/>
          <c:order val="4"/>
          <c:tx>
            <c:strRef>
              <c:f>'Bureaux - AME'!$E$17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AME'!$H$17:$K$17</c:f>
              <c:numCache>
                <c:formatCode>#,##0</c:formatCode>
                <c:ptCount val="4"/>
                <c:pt idx="0">
                  <c:v>427.13840685411856</c:v>
                </c:pt>
                <c:pt idx="1">
                  <c:v>416.26304953680039</c:v>
                </c:pt>
                <c:pt idx="2">
                  <c:v>430.76656791507679</c:v>
                </c:pt>
                <c:pt idx="3">
                  <c:v>425.01325721987786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24-400F-8A64-2D32F603F3E9}"/>
            </c:ext>
          </c:extLst>
        </c:ser>
        <c:ser>
          <c:idx val="5"/>
          <c:order val="5"/>
          <c:tx>
            <c:strRef>
              <c:f>'Bureaux - AME'!$E$18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AME'!$H$18:$K$18</c:f>
              <c:numCache>
                <c:formatCode>#,##0</c:formatCode>
                <c:ptCount val="4"/>
                <c:pt idx="0">
                  <c:v>7576.5542005720017</c:v>
                </c:pt>
                <c:pt idx="1">
                  <c:v>5656.6822062061274</c:v>
                </c:pt>
                <c:pt idx="2">
                  <c:v>4659.8805247402051</c:v>
                </c:pt>
                <c:pt idx="3">
                  <c:v>3719.4668377157445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24-400F-8A64-2D32F603F3E9}"/>
            </c:ext>
          </c:extLst>
        </c:ser>
        <c:ser>
          <c:idx val="6"/>
          <c:order val="6"/>
          <c:tx>
            <c:strRef>
              <c:f>'Bureaux - AME'!$E$19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AME'!$H$19:$K$19</c:f>
              <c:numCache>
                <c:formatCode>#,##0</c:formatCode>
                <c:ptCount val="4"/>
                <c:pt idx="0">
                  <c:v>1155.9040979074825</c:v>
                </c:pt>
                <c:pt idx="1">
                  <c:v>1492.69638476003</c:v>
                </c:pt>
                <c:pt idx="2">
                  <c:v>1754.8132208391009</c:v>
                </c:pt>
                <c:pt idx="3">
                  <c:v>1869.9618421462437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24-400F-8A64-2D32F603F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'Bureaux - AME'!$E$8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'Bureaux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'Bureaux - AME'!$H$8:$K$8</c:f>
              <c:numCache>
                <c:formatCode>#,##0</c:formatCode>
                <c:ptCount val="4"/>
                <c:pt idx="0">
                  <c:v>0</c:v>
                </c:pt>
                <c:pt idx="1">
                  <c:v>6206.4099090819345</c:v>
                </c:pt>
                <c:pt idx="2">
                  <c:v>5879.5621355871563</c:v>
                </c:pt>
                <c:pt idx="3">
                  <c:v>5560.3891129297026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E-4534-AB3C-D6EC2E08ED06}"/>
            </c:ext>
          </c:extLst>
        </c:ser>
        <c:ser>
          <c:idx val="1"/>
          <c:order val="1"/>
          <c:tx>
            <c:strRef>
              <c:f>'Bureaux - AME'!$E$9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'Bureaux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'Bureaux - AME'!$H$9:$K$9</c:f>
              <c:numCache>
                <c:formatCode>#,##0</c:formatCode>
                <c:ptCount val="4"/>
                <c:pt idx="0">
                  <c:v>287333.79208712658</c:v>
                </c:pt>
                <c:pt idx="1">
                  <c:v>265995.54081254563</c:v>
                </c:pt>
                <c:pt idx="2">
                  <c:v>251545.85975930648</c:v>
                </c:pt>
                <c:pt idx="3">
                  <c:v>232641.65403225808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E-4534-AB3C-D6EC2E08E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'Bureaux - AME'!$E$107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AME'!$H$107:$K$107</c:f>
              <c:numCache>
                <c:formatCode>_-* #\ ##0_-;\-* #\ ##0_-;_-* "-"??_-;_-@_-</c:formatCode>
                <c:ptCount val="4"/>
                <c:pt idx="0" formatCode="0">
                  <c:v>1130.9823386851729</c:v>
                </c:pt>
                <c:pt idx="1">
                  <c:v>562.86465952806691</c:v>
                </c:pt>
                <c:pt idx="2">
                  <c:v>378.17007980476308</c:v>
                </c:pt>
                <c:pt idx="3">
                  <c:v>228.23350040795643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C-4729-90E2-BFCD3E581386}"/>
            </c:ext>
          </c:extLst>
        </c:ser>
        <c:ser>
          <c:idx val="1"/>
          <c:order val="1"/>
          <c:tx>
            <c:strRef>
              <c:f>'Bureaux - AME'!$E$108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AME'!$H$108:$K$108</c:f>
              <c:numCache>
                <c:formatCode>_-* #\ ##0_-;\-* #\ ##0_-;_-* "-"??_-;_-@_-</c:formatCode>
                <c:ptCount val="4"/>
                <c:pt idx="0" formatCode="0">
                  <c:v>5345.9714062102985</c:v>
                </c:pt>
                <c:pt idx="1">
                  <c:v>2817.4108223834105</c:v>
                </c:pt>
                <c:pt idx="2">
                  <c:v>2042.603324950602</c:v>
                </c:pt>
                <c:pt idx="3">
                  <c:v>1371.1751725667082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C-4729-90E2-BFCD3E581386}"/>
            </c:ext>
          </c:extLst>
        </c:ser>
        <c:ser>
          <c:idx val="2"/>
          <c:order val="2"/>
          <c:tx>
            <c:strRef>
              <c:f>'Bureaux - AME'!$E$109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AME'!$H$109:$K$109</c:f>
              <c:numCache>
                <c:formatCode>_-* #\ ##0_-;\-* #\ ##0_-;_-* "-"??_-;_-@_-</c:formatCode>
                <c:ptCount val="4"/>
                <c:pt idx="0" formatCode="0">
                  <c:v>848.64143894251072</c:v>
                </c:pt>
                <c:pt idx="1">
                  <c:v>659.54986050174648</c:v>
                </c:pt>
                <c:pt idx="2">
                  <c:v>669.49851944542468</c:v>
                </c:pt>
                <c:pt idx="3">
                  <c:v>613.40057408832797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7C-4729-90E2-BFCD3E581386}"/>
            </c:ext>
          </c:extLst>
        </c:ser>
        <c:ser>
          <c:idx val="3"/>
          <c:order val="3"/>
          <c:tx>
            <c:strRef>
              <c:f>'Bureaux - AME'!$E$110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AME'!$H$110:$K$110</c:f>
              <c:numCache>
                <c:formatCode>_-* #\ ##0_-;\-* #\ ##0_-;_-* "-"??_-;_-@_-</c:formatCode>
                <c:ptCount val="4"/>
                <c:pt idx="0" formatCode="0">
                  <c:v>122.84496157490598</c:v>
                </c:pt>
                <c:pt idx="1">
                  <c:v>65.866353675146527</c:v>
                </c:pt>
                <c:pt idx="2">
                  <c:v>48.766631108021777</c:v>
                </c:pt>
                <c:pt idx="3">
                  <c:v>33.605463709778675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7C-4729-90E2-BFCD3E581386}"/>
            </c:ext>
          </c:extLst>
        </c:ser>
        <c:ser>
          <c:idx val="4"/>
          <c:order val="4"/>
          <c:tx>
            <c:strRef>
              <c:f>'Bureaux - AME'!$E$111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AME'!$H$111:$K$111</c:f>
              <c:numCache>
                <c:formatCode>_-* #\ ##0_-;\-* #\ ##0_-;_-* "-"??_-;_-@_-</c:formatCode>
                <c:ptCount val="4"/>
                <c:pt idx="0" formatCode="0">
                  <c:v>130.49078329393325</c:v>
                </c:pt>
                <c:pt idx="1">
                  <c:v>91.625701012762249</c:v>
                </c:pt>
                <c:pt idx="2">
                  <c:v>87.025194685993256</c:v>
                </c:pt>
                <c:pt idx="3">
                  <c:v>76.071296464239168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7C-4729-90E2-BFCD3E581386}"/>
            </c:ext>
          </c:extLst>
        </c:ser>
        <c:ser>
          <c:idx val="5"/>
          <c:order val="5"/>
          <c:tx>
            <c:strRef>
              <c:f>'Bureaux - AME'!$E$112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AME'!$H$112:$K$112</c:f>
              <c:numCache>
                <c:formatCode>_-* #\ ##0_-;\-* #\ ##0_-;_-* "-"??_-;_-@_-</c:formatCode>
                <c:ptCount val="4"/>
                <c:pt idx="0" formatCode="0">
                  <c:v>2314.6373082747468</c:v>
                </c:pt>
                <c:pt idx="1">
                  <c:v>1283.955544234075</c:v>
                </c:pt>
                <c:pt idx="2">
                  <c:v>988.63135580073981</c:v>
                </c:pt>
                <c:pt idx="3">
                  <c:v>713.16889676678159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7C-4729-90E2-BFCD3E581386}"/>
            </c:ext>
          </c:extLst>
        </c:ser>
        <c:ser>
          <c:idx val="6"/>
          <c:order val="6"/>
          <c:tx>
            <c:strRef>
              <c:f>'Bureaux - AME'!$E$113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AME'!$H$113:$K$113</c:f>
              <c:numCache>
                <c:formatCode>_-* #\ ##0_-;\-* #\ ##0_-;_-* "-"??_-;_-@_-</c:formatCode>
                <c:ptCount val="4"/>
                <c:pt idx="0" formatCode="0">
                  <c:v>353.12870191073603</c:v>
                </c:pt>
                <c:pt idx="1">
                  <c:v>325.26650361333066</c:v>
                </c:pt>
                <c:pt idx="2">
                  <c:v>361.23046687924682</c:v>
                </c:pt>
                <c:pt idx="3">
                  <c:v>349.97313209012646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7C-4729-90E2-BFCD3E581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'Bureaux - AME'!$E$118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AME'!$H$118:$K$118</c:f>
              <c:numCache>
                <c:formatCode>_-* #\ ##0_-;\-* #\ ##0_-;_-* "-"??_-;_-@_-</c:formatCode>
                <c:ptCount val="4"/>
                <c:pt idx="0">
                  <c:v>2571.0875097114636</c:v>
                </c:pt>
                <c:pt idx="1">
                  <c:v>1876.6668441414718</c:v>
                </c:pt>
                <c:pt idx="2">
                  <c:v>1357.086741707627</c:v>
                </c:pt>
                <c:pt idx="3">
                  <c:v>917.33344717691853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2-4513-9DF4-25C4D7C44C39}"/>
            </c:ext>
          </c:extLst>
        </c:ser>
        <c:ser>
          <c:idx val="1"/>
          <c:order val="1"/>
          <c:tx>
            <c:strRef>
              <c:f>'Bureaux - AME'!$E$119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AME'!$H$119:$K$119</c:f>
              <c:numCache>
                <c:formatCode>_-* #\ ##0_-;\-* #\ ##0_-;_-* "-"??_-;_-@_-</c:formatCode>
                <c:ptCount val="4"/>
                <c:pt idx="0">
                  <c:v>12153.116666491167</c:v>
                </c:pt>
                <c:pt idx="1">
                  <c:v>9655.8651150758233</c:v>
                </c:pt>
                <c:pt idx="2">
                  <c:v>7744.9764467505947</c:v>
                </c:pt>
                <c:pt idx="3">
                  <c:v>5985.6899237939997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2-4513-9DF4-25C4D7C44C39}"/>
            </c:ext>
          </c:extLst>
        </c:ser>
        <c:ser>
          <c:idx val="2"/>
          <c:order val="2"/>
          <c:tx>
            <c:strRef>
              <c:f>'Bureaux - AME'!$E$120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AME'!$H$120:$K$120</c:f>
              <c:numCache>
                <c:formatCode>_-* #\ ##0_-;\-* #\ ##0_-;_-* "-"??_-;_-@_-</c:formatCode>
                <c:ptCount val="4"/>
                <c:pt idx="0">
                  <c:v>1929.2356116058054</c:v>
                </c:pt>
                <c:pt idx="1">
                  <c:v>2283.3349586956924</c:v>
                </c:pt>
                <c:pt idx="2">
                  <c:v>2590.2855941884891</c:v>
                </c:pt>
                <c:pt idx="3">
                  <c:v>2759.9956408458784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2-4513-9DF4-25C4D7C44C39}"/>
            </c:ext>
          </c:extLst>
        </c:ser>
        <c:ser>
          <c:idx val="3"/>
          <c:order val="3"/>
          <c:tx>
            <c:strRef>
              <c:f>'Bureaux - AME'!$E$121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AME'!$H$121:$K$121</c:f>
              <c:numCache>
                <c:formatCode>_-* #\ ##0_-;\-* #\ ##0_-;_-* "-"??_-;_-@_-</c:formatCode>
                <c:ptCount val="4"/>
                <c:pt idx="0">
                  <c:v>279.2662056097289</c:v>
                </c:pt>
                <c:pt idx="1">
                  <c:v>228.02665416965593</c:v>
                </c:pt>
                <c:pt idx="2">
                  <c:v>188.67779146225607</c:v>
                </c:pt>
                <c:pt idx="3">
                  <c:v>151.2077706895619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D2-4513-9DF4-25C4D7C44C39}"/>
            </c:ext>
          </c:extLst>
        </c:ser>
        <c:ser>
          <c:idx val="4"/>
          <c:order val="4"/>
          <c:tx>
            <c:strRef>
              <c:f>'Bureaux - AME'!$E$122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AME'!$H$122:$K$122</c:f>
              <c:numCache>
                <c:formatCode>_-* #\ ##0_-;\-* #\ ##0_-;_-* "-"??_-;_-@_-</c:formatCode>
                <c:ptCount val="4"/>
                <c:pt idx="0">
                  <c:v>296.64762356018531</c:v>
                </c:pt>
                <c:pt idx="1">
                  <c:v>317.20447348481446</c:v>
                </c:pt>
                <c:pt idx="2">
                  <c:v>336.69993521912858</c:v>
                </c:pt>
                <c:pt idx="3">
                  <c:v>342.28276839623805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D2-4513-9DF4-25C4D7C44C39}"/>
            </c:ext>
          </c:extLst>
        </c:ser>
        <c:ser>
          <c:idx val="5"/>
          <c:order val="5"/>
          <c:tx>
            <c:strRef>
              <c:f>'Bureaux - AME'!$E$123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AME'!$H$123:$K$123</c:f>
              <c:numCache>
                <c:formatCode>_-* #\ ##0_-;\-* #\ ##0_-;_-* "-"??_-;_-@_-</c:formatCode>
                <c:ptCount val="4"/>
                <c:pt idx="0">
                  <c:v>5261.9168922972549</c:v>
                </c:pt>
                <c:pt idx="1">
                  <c:v>4331.5447468614511</c:v>
                </c:pt>
                <c:pt idx="2">
                  <c:v>3632.2360144262675</c:v>
                </c:pt>
                <c:pt idx="3">
                  <c:v>2969.4026221116587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D2-4513-9DF4-25C4D7C44C39}"/>
            </c:ext>
          </c:extLst>
        </c:ser>
        <c:ser>
          <c:idx val="6"/>
          <c:order val="6"/>
          <c:tx>
            <c:strRef>
              <c:f>'Bureaux - AME'!$E$124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'Bureaux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AME'!$H$124:$K$124</c:f>
              <c:numCache>
                <c:formatCode>_-* #\ ##0_-;\-* #\ ##0_-;_-* "-"??_-;_-@_-</c:formatCode>
                <c:ptCount val="4"/>
                <c:pt idx="0">
                  <c:v>802.77539599674662</c:v>
                </c:pt>
                <c:pt idx="1">
                  <c:v>1097.3171317210804</c:v>
                </c:pt>
                <c:pt idx="2">
                  <c:v>1327.162347833995</c:v>
                </c:pt>
                <c:pt idx="3">
                  <c:v>1457.1739468846904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D2-4513-9DF4-25C4D7C44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'CaHoREs - AME'!$E$13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AME'!$H$13:$K$13</c:f>
              <c:numCache>
                <c:formatCode>#,##0</c:formatCode>
                <c:ptCount val="4"/>
                <c:pt idx="0">
                  <c:v>1140.7847357342439</c:v>
                </c:pt>
                <c:pt idx="1">
                  <c:v>818.44901756666127</c:v>
                </c:pt>
                <c:pt idx="2">
                  <c:v>648.84560163762512</c:v>
                </c:pt>
                <c:pt idx="3">
                  <c:v>488.82636694265318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8-4149-A088-DA33DFC81370}"/>
            </c:ext>
          </c:extLst>
        </c:ser>
        <c:ser>
          <c:idx val="1"/>
          <c:order val="1"/>
          <c:tx>
            <c:strRef>
              <c:f>'CaHoREs - AME'!$E$14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AME'!$H$14:$K$14</c:f>
              <c:numCache>
                <c:formatCode>#,##0</c:formatCode>
                <c:ptCount val="4"/>
                <c:pt idx="0">
                  <c:v>3672.1014843777784</c:v>
                </c:pt>
                <c:pt idx="1">
                  <c:v>2717.6512530424557</c:v>
                </c:pt>
                <c:pt idx="2">
                  <c:v>2161.3732399887404</c:v>
                </c:pt>
                <c:pt idx="3">
                  <c:v>1611.7293087560404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D8-4149-A088-DA33DFC81370}"/>
            </c:ext>
          </c:extLst>
        </c:ser>
        <c:ser>
          <c:idx val="2"/>
          <c:order val="2"/>
          <c:tx>
            <c:strRef>
              <c:f>'CaHoREs - AME'!$E$15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AME'!$H$15:$K$15</c:f>
              <c:numCache>
                <c:formatCode>#,##0</c:formatCode>
                <c:ptCount val="4"/>
                <c:pt idx="0">
                  <c:v>624.54051287307175</c:v>
                </c:pt>
                <c:pt idx="1">
                  <c:v>548.36991651389178</c:v>
                </c:pt>
                <c:pt idx="2">
                  <c:v>531.94044128861867</c:v>
                </c:pt>
                <c:pt idx="3">
                  <c:v>503.02802191888418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D8-4149-A088-DA33DFC81370}"/>
            </c:ext>
          </c:extLst>
        </c:ser>
        <c:ser>
          <c:idx val="3"/>
          <c:order val="3"/>
          <c:tx>
            <c:strRef>
              <c:f>'CaHoREs - AME'!$E$16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AME'!$H$16:$K$16</c:f>
              <c:numCache>
                <c:formatCode>#,##0</c:formatCode>
                <c:ptCount val="4"/>
                <c:pt idx="0">
                  <c:v>126.92767661024016</c:v>
                </c:pt>
                <c:pt idx="1">
                  <c:v>98.970444399544022</c:v>
                </c:pt>
                <c:pt idx="2">
                  <c:v>84.269942664940075</c:v>
                </c:pt>
                <c:pt idx="3">
                  <c:v>68.886659735220249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D8-4149-A088-DA33DFC81370}"/>
            </c:ext>
          </c:extLst>
        </c:ser>
        <c:ser>
          <c:idx val="4"/>
          <c:order val="4"/>
          <c:tx>
            <c:strRef>
              <c:f>'CaHoREs - AME'!$E$17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AME'!$H$17:$K$17</c:f>
              <c:numCache>
                <c:formatCode>#,##0</c:formatCode>
                <c:ptCount val="4"/>
                <c:pt idx="0">
                  <c:v>210.53470904103489</c:v>
                </c:pt>
                <c:pt idx="1">
                  <c:v>300.28800297009883</c:v>
                </c:pt>
                <c:pt idx="2">
                  <c:v>399.13494118443089</c:v>
                </c:pt>
                <c:pt idx="3">
                  <c:v>476.61159405594793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D8-4149-A088-DA33DFC81370}"/>
            </c:ext>
          </c:extLst>
        </c:ser>
        <c:ser>
          <c:idx val="5"/>
          <c:order val="5"/>
          <c:tx>
            <c:strRef>
              <c:f>'CaHoREs - AME'!$E$18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AME'!$H$18:$K$18</c:f>
              <c:numCache>
                <c:formatCode>#,##0</c:formatCode>
                <c:ptCount val="4"/>
                <c:pt idx="0">
                  <c:v>1500.7713046024307</c:v>
                </c:pt>
                <c:pt idx="1">
                  <c:v>1277.9997752844502</c:v>
                </c:pt>
                <c:pt idx="2">
                  <c:v>1220.9275830678619</c:v>
                </c:pt>
                <c:pt idx="3">
                  <c:v>1138.3349229105036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D8-4149-A088-DA33DFC81370}"/>
            </c:ext>
          </c:extLst>
        </c:ser>
        <c:ser>
          <c:idx val="6"/>
          <c:order val="6"/>
          <c:tx>
            <c:strRef>
              <c:f>'CaHoREs - AME'!$E$19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AME'!$H$19:$K$19</c:f>
              <c:numCache>
                <c:formatCode>#,##0</c:formatCode>
                <c:ptCount val="4"/>
                <c:pt idx="0">
                  <c:v>330.32015047808898</c:v>
                </c:pt>
                <c:pt idx="1">
                  <c:v>376.18087503974567</c:v>
                </c:pt>
                <c:pt idx="2">
                  <c:v>425.48533164572507</c:v>
                </c:pt>
                <c:pt idx="3">
                  <c:v>452.45812207529048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D8-4149-A088-DA33DFC81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'CaHoREs - AME'!$E$8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'CaHoREs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'CaHoREs - AME'!$H$8:$K$8</c:f>
              <c:numCache>
                <c:formatCode>#,##0</c:formatCode>
                <c:ptCount val="4"/>
                <c:pt idx="0">
                  <c:v>0</c:v>
                </c:pt>
                <c:pt idx="1">
                  <c:v>2538.4223705281875</c:v>
                </c:pt>
                <c:pt idx="2">
                  <c:v>2455.4142509161229</c:v>
                </c:pt>
                <c:pt idx="3">
                  <c:v>1968.3972676496044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CF-4EB1-A3B3-00755418A127}"/>
            </c:ext>
          </c:extLst>
        </c:ser>
        <c:ser>
          <c:idx val="1"/>
          <c:order val="1"/>
          <c:tx>
            <c:strRef>
              <c:f>'CaHoREs - AME'!$E$9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'CaHoREs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'CaHoREs - AME'!$H$9:$K$9</c:f>
              <c:numCache>
                <c:formatCode>#,##0</c:formatCode>
                <c:ptCount val="4"/>
                <c:pt idx="0">
                  <c:v>67243.869415029592</c:v>
                </c:pt>
                <c:pt idx="1">
                  <c:v>65307.245975876736</c:v>
                </c:pt>
                <c:pt idx="2">
                  <c:v>65891.713098028471</c:v>
                </c:pt>
                <c:pt idx="3">
                  <c:v>65411.016510782065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CF-4EB1-A3B3-00755418A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'CaHoREs - AME'!$E$107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AME'!$H$107:$K$107</c:f>
              <c:numCache>
                <c:formatCode>_-* #\ ##0_-;\-* #\ ##0_-;_-* "-"??_-;_-@_-</c:formatCode>
                <c:ptCount val="4"/>
                <c:pt idx="0" formatCode="0">
                  <c:v>333.67953520226638</c:v>
                </c:pt>
                <c:pt idx="1">
                  <c:v>182.92118940342817</c:v>
                </c:pt>
                <c:pt idx="2">
                  <c:v>139.36630377695155</c:v>
                </c:pt>
                <c:pt idx="3">
                  <c:v>97.873350506394559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0-4E4F-8EDB-9D55E2ACE3DC}"/>
            </c:ext>
          </c:extLst>
        </c:ser>
        <c:ser>
          <c:idx val="1"/>
          <c:order val="1"/>
          <c:tx>
            <c:strRef>
              <c:f>'CaHoREs - AME'!$E$108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AME'!$H$108:$K$108</c:f>
              <c:numCache>
                <c:formatCode>_-* #\ ##0_-;\-* #\ ##0_-;_-* "-"??_-;_-@_-</c:formatCode>
                <c:ptCount val="4"/>
                <c:pt idx="0" formatCode="0">
                  <c:v>1074.0896841805002</c:v>
                </c:pt>
                <c:pt idx="1">
                  <c:v>578.06409216624809</c:v>
                </c:pt>
                <c:pt idx="2">
                  <c:v>429.53878989404689</c:v>
                </c:pt>
                <c:pt idx="3">
                  <c:v>290.9960518841998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80-4E4F-8EDB-9D55E2ACE3DC}"/>
            </c:ext>
          </c:extLst>
        </c:ser>
        <c:ser>
          <c:idx val="2"/>
          <c:order val="2"/>
          <c:tx>
            <c:strRef>
              <c:f>'CaHoREs - AME'!$E$109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AME'!$H$109:$K$109</c:f>
              <c:numCache>
                <c:formatCode>_-* #\ ##0_-;\-* #\ ##0_-;_-* "-"??_-;_-@_-</c:formatCode>
                <c:ptCount val="4"/>
                <c:pt idx="0" formatCode="0">
                  <c:v>182.6781000153735</c:v>
                </c:pt>
                <c:pt idx="1">
                  <c:v>116.56090640935844</c:v>
                </c:pt>
                <c:pt idx="2">
                  <c:v>105.43605679547049</c:v>
                </c:pt>
                <c:pt idx="3">
                  <c:v>90.328815532140013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80-4E4F-8EDB-9D55E2ACE3DC}"/>
            </c:ext>
          </c:extLst>
        </c:ser>
        <c:ser>
          <c:idx val="3"/>
          <c:order val="3"/>
          <c:tx>
            <c:strRef>
              <c:f>'CaHoREs - AME'!$E$110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AME'!$H$110:$K$110</c:f>
              <c:numCache>
                <c:formatCode>_-* #\ ##0_-;\-* #\ ##0_-;_-* "-"??_-;_-@_-</c:formatCode>
                <c:ptCount val="4"/>
                <c:pt idx="0" formatCode="0">
                  <c:v>37.126345408495247</c:v>
                </c:pt>
                <c:pt idx="1">
                  <c:v>20.960202351493553</c:v>
                </c:pt>
                <c:pt idx="2">
                  <c:v>16.585001292428245</c:v>
                </c:pt>
                <c:pt idx="3">
                  <c:v>12.250010675297897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80-4E4F-8EDB-9D55E2ACE3DC}"/>
            </c:ext>
          </c:extLst>
        </c:ser>
        <c:ser>
          <c:idx val="4"/>
          <c:order val="4"/>
          <c:tx>
            <c:strRef>
              <c:f>'CaHoREs - AME'!$E$111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AME'!$H$111:$K$111</c:f>
              <c:numCache>
                <c:formatCode>_-* #\ ##0_-;\-* #\ ##0_-;_-* "-"??_-;_-@_-</c:formatCode>
                <c:ptCount val="4"/>
                <c:pt idx="0" formatCode="0">
                  <c:v>61.58140239450271</c:v>
                </c:pt>
                <c:pt idx="1">
                  <c:v>64.371335486902169</c:v>
                </c:pt>
                <c:pt idx="2">
                  <c:v>80.050865342030093</c:v>
                </c:pt>
                <c:pt idx="3">
                  <c:v>86.580507056976955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80-4E4F-8EDB-9D55E2ACE3DC}"/>
            </c:ext>
          </c:extLst>
        </c:ser>
        <c:ser>
          <c:idx val="5"/>
          <c:order val="5"/>
          <c:tx>
            <c:strRef>
              <c:f>'CaHoREs - AME'!$E$112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AME'!$H$112:$K$112</c:f>
              <c:numCache>
                <c:formatCode>_-* #\ ##0_-;\-* #\ ##0_-;_-* "-"??_-;_-@_-</c:formatCode>
                <c:ptCount val="4"/>
                <c:pt idx="0" formatCode="0">
                  <c:v>438.97560659621104</c:v>
                </c:pt>
                <c:pt idx="1">
                  <c:v>281.69802403402446</c:v>
                </c:pt>
                <c:pt idx="2">
                  <c:v>256.20623872830146</c:v>
                </c:pt>
                <c:pt idx="3">
                  <c:v>220.64600043446069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80-4E4F-8EDB-9D55E2ACE3DC}"/>
            </c:ext>
          </c:extLst>
        </c:ser>
        <c:ser>
          <c:idx val="6"/>
          <c:order val="6"/>
          <c:tx>
            <c:strRef>
              <c:f>'CaHoREs - AME'!$E$113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AME'!$H$113:$K$113</c:f>
              <c:numCache>
                <c:formatCode>_-* #\ ##0_-;\-* #\ ##0_-;_-* "-"??_-;_-@_-</c:formatCode>
                <c:ptCount val="4"/>
                <c:pt idx="0" formatCode="0">
                  <c:v>96.618644014841038</c:v>
                </c:pt>
                <c:pt idx="1">
                  <c:v>78.045796965296674</c:v>
                </c:pt>
                <c:pt idx="2">
                  <c:v>84.865366518020977</c:v>
                </c:pt>
                <c:pt idx="3">
                  <c:v>84.474022710365773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80-4E4F-8EDB-9D55E2ACE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'CaHoREs - AME'!$E$118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AME'!$H$118:$K$118</c:f>
              <c:numCache>
                <c:formatCode>_-* #\ ##0_-;\-* #\ ##0_-;_-* "-"??_-;_-@_-</c:formatCode>
                <c:ptCount val="4"/>
                <c:pt idx="0">
                  <c:v>807.10520053197763</c:v>
                </c:pt>
                <c:pt idx="1">
                  <c:v>635.52782816323315</c:v>
                </c:pt>
                <c:pt idx="2">
                  <c:v>509.47929786067357</c:v>
                </c:pt>
                <c:pt idx="3">
                  <c:v>390.95301643625862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1-449A-AE71-D55159A355BC}"/>
            </c:ext>
          </c:extLst>
        </c:ser>
        <c:ser>
          <c:idx val="1"/>
          <c:order val="1"/>
          <c:tx>
            <c:strRef>
              <c:f>'CaHoREs - AME'!$E$119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AME'!$H$119:$K$119</c:f>
              <c:numCache>
                <c:formatCode>_-* #\ ##0_-;\-* #\ ##0_-;_-* "-"??_-;_-@_-</c:formatCode>
                <c:ptCount val="4"/>
                <c:pt idx="0">
                  <c:v>2598.0118001972783</c:v>
                </c:pt>
                <c:pt idx="1">
                  <c:v>2064.4499601367347</c:v>
                </c:pt>
                <c:pt idx="2">
                  <c:v>1659.1542863789684</c:v>
                </c:pt>
                <c:pt idx="3">
                  <c:v>1262.4687764009864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11-449A-AE71-D55159A355BC}"/>
            </c:ext>
          </c:extLst>
        </c:ser>
        <c:ser>
          <c:idx val="2"/>
          <c:order val="2"/>
          <c:tx>
            <c:strRef>
              <c:f>'CaHoREs - AME'!$E$120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AME'!$H$120:$K$120</c:f>
              <c:numCache>
                <c:formatCode>_-* #\ ##0_-;\-* #\ ##0_-;_-* "-"??_-;_-@_-</c:formatCode>
                <c:ptCount val="4"/>
                <c:pt idx="0">
                  <c:v>441.86241285769825</c:v>
                </c:pt>
                <c:pt idx="1">
                  <c:v>420.4963832963162</c:v>
                </c:pt>
                <c:pt idx="2">
                  <c:v>415.56168819378797</c:v>
                </c:pt>
                <c:pt idx="3">
                  <c:v>403.92692957506415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11-449A-AE71-D55159A355BC}"/>
            </c:ext>
          </c:extLst>
        </c:ser>
        <c:ser>
          <c:idx val="3"/>
          <c:order val="3"/>
          <c:tx>
            <c:strRef>
              <c:f>'CaHoREs - AME'!$E$121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AME'!$H$121:$K$121</c:f>
              <c:numCache>
                <c:formatCode>_-* #\ ##0_-;\-* #\ ##0_-;_-* "-"??_-;_-@_-</c:formatCode>
                <c:ptCount val="4"/>
                <c:pt idx="0">
                  <c:v>89.801331201744901</c:v>
                </c:pt>
                <c:pt idx="1">
                  <c:v>75.614453880519491</c:v>
                </c:pt>
                <c:pt idx="2">
                  <c:v>65.36749709017684</c:v>
                </c:pt>
                <c:pt idx="3">
                  <c:v>54.778856228600119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11-449A-AE71-D55159A355BC}"/>
            </c:ext>
          </c:extLst>
        </c:ser>
        <c:ser>
          <c:idx val="4"/>
          <c:order val="4"/>
          <c:tx>
            <c:strRef>
              <c:f>'CaHoREs - AME'!$E$122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AME'!$H$122:$K$122</c:f>
              <c:numCache>
                <c:formatCode>_-* #\ ##0_-;\-* #\ ##0_-;_-* "-"??_-;_-@_-</c:formatCode>
                <c:ptCount val="4"/>
                <c:pt idx="0">
                  <c:v>148.95330664653218</c:v>
                </c:pt>
                <c:pt idx="1">
                  <c:v>232.22120172208051</c:v>
                </c:pt>
                <c:pt idx="2">
                  <c:v>315.50945429833951</c:v>
                </c:pt>
                <c:pt idx="3">
                  <c:v>387.16547062585335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11-449A-AE71-D55159A355BC}"/>
            </c:ext>
          </c:extLst>
        </c:ser>
        <c:ser>
          <c:idx val="5"/>
          <c:order val="5"/>
          <c:tx>
            <c:strRef>
              <c:f>'CaHoREs - AME'!$E$123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AME'!$H$123:$K$123</c:f>
              <c:numCache>
                <c:formatCode>_-* #\ ##0_-;\-* #\ ##0_-;_-* "-"??_-;_-@_-</c:formatCode>
                <c:ptCount val="4"/>
                <c:pt idx="0">
                  <c:v>1061.7956980062197</c:v>
                </c:pt>
                <c:pt idx="1">
                  <c:v>990.29360521172919</c:v>
                </c:pt>
                <c:pt idx="2">
                  <c:v>958.90966871919022</c:v>
                </c:pt>
                <c:pt idx="3">
                  <c:v>913.02995855281313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11-449A-AE71-D55159A355BC}"/>
            </c:ext>
          </c:extLst>
        </c:ser>
        <c:ser>
          <c:idx val="6"/>
          <c:order val="6"/>
          <c:tx>
            <c:strRef>
              <c:f>'CaHoREs - AME'!$E$124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'CaHoREs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AME'!$H$124:$K$124</c:f>
              <c:numCache>
                <c:formatCode>_-* #\ ##0_-;\-* #\ ##0_-;_-* "-"??_-;_-@_-</c:formatCode>
                <c:ptCount val="4"/>
                <c:pt idx="0">
                  <c:v>233.70150646324797</c:v>
                </c:pt>
                <c:pt idx="1">
                  <c:v>274.36562224182012</c:v>
                </c:pt>
                <c:pt idx="2">
                  <c:v>317.62778649518827</c:v>
                </c:pt>
                <c:pt idx="3">
                  <c:v>349.55228421166908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11-449A-AE71-D55159A35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'Commerce - AME'!$E$13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AME'!$H$13:$K$13</c:f>
              <c:numCache>
                <c:formatCode>#,##0</c:formatCode>
                <c:ptCount val="4"/>
                <c:pt idx="0">
                  <c:v>3424.0581411789453</c:v>
                </c:pt>
                <c:pt idx="1">
                  <c:v>2100.7806860138726</c:v>
                </c:pt>
                <c:pt idx="2">
                  <c:v>1297.4248611204637</c:v>
                </c:pt>
                <c:pt idx="3">
                  <c:v>605.86091646950672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2-4F3C-BE9D-427E861B4B12}"/>
            </c:ext>
          </c:extLst>
        </c:ser>
        <c:ser>
          <c:idx val="1"/>
          <c:order val="1"/>
          <c:tx>
            <c:strRef>
              <c:f>'Commerce - AME'!$E$14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AME'!$H$14:$K$14</c:f>
              <c:numCache>
                <c:formatCode>#,##0</c:formatCode>
                <c:ptCount val="4"/>
                <c:pt idx="0">
                  <c:v>7860.7872905325057</c:v>
                </c:pt>
                <c:pt idx="1">
                  <c:v>6102.4654467810205</c:v>
                </c:pt>
                <c:pt idx="2">
                  <c:v>5203.8589008673116</c:v>
                </c:pt>
                <c:pt idx="3">
                  <c:v>4284.870394615672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2-4F3C-BE9D-427E861B4B12}"/>
            </c:ext>
          </c:extLst>
        </c:ser>
        <c:ser>
          <c:idx val="2"/>
          <c:order val="2"/>
          <c:tx>
            <c:strRef>
              <c:f>'Commerce - AME'!$E$15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AME'!$H$15:$K$15</c:f>
              <c:numCache>
                <c:formatCode>#,##0</c:formatCode>
                <c:ptCount val="4"/>
                <c:pt idx="0">
                  <c:v>389.32830220965593</c:v>
                </c:pt>
                <c:pt idx="1">
                  <c:v>354.68877880165178</c:v>
                </c:pt>
                <c:pt idx="2">
                  <c:v>353.50985567271886</c:v>
                </c:pt>
                <c:pt idx="3">
                  <c:v>341.9355995447674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E2-4F3C-BE9D-427E861B4B12}"/>
            </c:ext>
          </c:extLst>
        </c:ser>
        <c:ser>
          <c:idx val="3"/>
          <c:order val="3"/>
          <c:tx>
            <c:strRef>
              <c:f>'Commerce - AME'!$E$16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AME'!$H$16:$K$16</c:f>
              <c:numCache>
                <c:formatCode>#,##0</c:formatCode>
                <c:ptCount val="4"/>
                <c:pt idx="0">
                  <c:v>160.79190512601076</c:v>
                </c:pt>
                <c:pt idx="1">
                  <c:v>141.53527563335228</c:v>
                </c:pt>
                <c:pt idx="2">
                  <c:v>137.07514350092876</c:v>
                </c:pt>
                <c:pt idx="3">
                  <c:v>129.15416724718196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E2-4F3C-BE9D-427E861B4B12}"/>
            </c:ext>
          </c:extLst>
        </c:ser>
        <c:ser>
          <c:idx val="4"/>
          <c:order val="4"/>
          <c:tx>
            <c:strRef>
              <c:f>'Commerce - AME'!$E$17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AME'!$H$17:$K$17</c:f>
              <c:numCache>
                <c:formatCode>#,##0</c:formatCode>
                <c:ptCount val="4"/>
                <c:pt idx="0">
                  <c:v>140.34318919677133</c:v>
                </c:pt>
                <c:pt idx="1">
                  <c:v>108.93187761454791</c:v>
                </c:pt>
                <c:pt idx="2">
                  <c:v>92.184860909026767</c:v>
                </c:pt>
                <c:pt idx="3">
                  <c:v>75.106415351497233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E2-4F3C-BE9D-427E861B4B12}"/>
            </c:ext>
          </c:extLst>
        </c:ser>
        <c:ser>
          <c:idx val="5"/>
          <c:order val="5"/>
          <c:tx>
            <c:strRef>
              <c:f>'Commerce - AME'!$E$18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AME'!$H$18:$K$18</c:f>
              <c:numCache>
                <c:formatCode>#,##0</c:formatCode>
                <c:ptCount val="4"/>
                <c:pt idx="0">
                  <c:v>3469.5160374453076</c:v>
                </c:pt>
                <c:pt idx="1">
                  <c:v>3404.1386133194069</c:v>
                </c:pt>
                <c:pt idx="2">
                  <c:v>3555.0214759129708</c:v>
                </c:pt>
                <c:pt idx="3">
                  <c:v>3559.8280669761089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E2-4F3C-BE9D-427E861B4B12}"/>
            </c:ext>
          </c:extLst>
        </c:ser>
        <c:ser>
          <c:idx val="6"/>
          <c:order val="6"/>
          <c:tx>
            <c:strRef>
              <c:f>'Commerce - AME'!$E$19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AME'!$H$19:$K$19</c:f>
              <c:numCache>
                <c:formatCode>#,##0</c:formatCode>
                <c:ptCount val="4"/>
                <c:pt idx="0">
                  <c:v>818.64485552683095</c:v>
                </c:pt>
                <c:pt idx="1">
                  <c:v>967.40861317059239</c:v>
                </c:pt>
                <c:pt idx="2">
                  <c:v>1108.5043859303726</c:v>
                </c:pt>
                <c:pt idx="3">
                  <c:v>1187.9321725609425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E2-4F3C-BE9D-427E861B4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'Commerce - AME'!$E$8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'Commerce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'Commerce - AME'!$H$8:$K$8</c:f>
              <c:numCache>
                <c:formatCode>#,##0</c:formatCode>
                <c:ptCount val="4"/>
                <c:pt idx="0">
                  <c:v>0</c:v>
                </c:pt>
                <c:pt idx="1">
                  <c:v>8548.2555376449054</c:v>
                </c:pt>
                <c:pt idx="2">
                  <c:v>8509.5989406365734</c:v>
                </c:pt>
                <c:pt idx="3">
                  <c:v>8456.4844883645164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3-4C5A-A908-E86654FB7120}"/>
            </c:ext>
          </c:extLst>
        </c:ser>
        <c:ser>
          <c:idx val="1"/>
          <c:order val="1"/>
          <c:tx>
            <c:strRef>
              <c:f>'Commerce - AME'!$E$9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'Commerce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'Commerce - AME'!$H$9:$K$9</c:f>
              <c:numCache>
                <c:formatCode>#,##0</c:formatCode>
                <c:ptCount val="4"/>
                <c:pt idx="0">
                  <c:v>184229.64520786435</c:v>
                </c:pt>
                <c:pt idx="1">
                  <c:v>174848.27335538471</c:v>
                </c:pt>
                <c:pt idx="2">
                  <c:v>173742.22192928832</c:v>
                </c:pt>
                <c:pt idx="3">
                  <c:v>168750.04546033838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3-4C5A-A908-E86654FB7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'Commerce - AME'!$E$107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AME'!$H$107:$K$107</c:f>
              <c:numCache>
                <c:formatCode>_-* #\ ##0_-;\-* #\ ##0_-;_-* "-"??_-;_-@_-</c:formatCode>
                <c:ptCount val="4"/>
                <c:pt idx="0" formatCode="0">
                  <c:v>847.45438994178915</c:v>
                </c:pt>
                <c:pt idx="1">
                  <c:v>386.70224376447993</c:v>
                </c:pt>
                <c:pt idx="2">
                  <c:v>226.01970407141661</c:v>
                </c:pt>
                <c:pt idx="3">
                  <c:v>96.583205949831651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DB-4A77-96D5-C3FF11AFAA6D}"/>
            </c:ext>
          </c:extLst>
        </c:ser>
        <c:ser>
          <c:idx val="1"/>
          <c:order val="1"/>
          <c:tx>
            <c:strRef>
              <c:f>'Commerce - AME'!$E$108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AME'!$H$108:$K$108</c:f>
              <c:numCache>
                <c:formatCode>_-* #\ ##0_-;\-* #\ ##0_-;_-* "-"??_-;_-@_-</c:formatCode>
                <c:ptCount val="4"/>
                <c:pt idx="0" formatCode="0">
                  <c:v>1945.5448544067954</c:v>
                </c:pt>
                <c:pt idx="1">
                  <c:v>1079.6873645932192</c:v>
                </c:pt>
                <c:pt idx="2">
                  <c:v>848.92893631908225</c:v>
                </c:pt>
                <c:pt idx="3">
                  <c:v>621.77020153727585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DB-4A77-96D5-C3FF11AFAA6D}"/>
            </c:ext>
          </c:extLst>
        </c:ser>
        <c:ser>
          <c:idx val="2"/>
          <c:order val="2"/>
          <c:tx>
            <c:strRef>
              <c:f>'Commerce - AME'!$E$109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AME'!$H$109:$K$109</c:f>
              <c:numCache>
                <c:formatCode>_-* #\ ##0_-;\-* #\ ##0_-;_-* "-"??_-;_-@_-</c:formatCode>
                <c:ptCount val="4"/>
                <c:pt idx="0" formatCode="0">
                  <c:v>96.358754796889855</c:v>
                </c:pt>
                <c:pt idx="1">
                  <c:v>61.936616719097501</c:v>
                </c:pt>
                <c:pt idx="2">
                  <c:v>56.598045704125546</c:v>
                </c:pt>
                <c:pt idx="3">
                  <c:v>48.433601994776211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DB-4A77-96D5-C3FF11AFAA6D}"/>
            </c:ext>
          </c:extLst>
        </c:ser>
        <c:ser>
          <c:idx val="3"/>
          <c:order val="3"/>
          <c:tx>
            <c:strRef>
              <c:f>'Commerce - AME'!$E$110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AME'!$H$110:$K$110</c:f>
              <c:numCache>
                <c:formatCode>_-* #\ ##0_-;\-* #\ ##0_-;_-* "-"??_-;_-@_-</c:formatCode>
                <c:ptCount val="4"/>
                <c:pt idx="0" formatCode="0">
                  <c:v>39.795996518687666</c:v>
                </c:pt>
                <c:pt idx="1">
                  <c:v>24.76951511586169</c:v>
                </c:pt>
                <c:pt idx="2">
                  <c:v>21.981562751250397</c:v>
                </c:pt>
                <c:pt idx="3">
                  <c:v>18.314165804538625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DB-4A77-96D5-C3FF11AFAA6D}"/>
            </c:ext>
          </c:extLst>
        </c:ser>
        <c:ser>
          <c:idx val="4"/>
          <c:order val="4"/>
          <c:tx>
            <c:strRef>
              <c:f>'Commerce - AME'!$E$111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AME'!$H$111:$K$111</c:f>
              <c:numCache>
                <c:formatCode>_-* #\ ##0_-;\-* #\ ##0_-;_-* "-"??_-;_-@_-</c:formatCode>
                <c:ptCount val="4"/>
                <c:pt idx="0" formatCode="0">
                  <c:v>34.734939326200902</c:v>
                </c:pt>
                <c:pt idx="1">
                  <c:v>18.999615572576033</c:v>
                </c:pt>
                <c:pt idx="2">
                  <c:v>14.680622561592656</c:v>
                </c:pt>
                <c:pt idx="3">
                  <c:v>10.524119469991636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DB-4A77-96D5-C3FF11AFAA6D}"/>
            </c:ext>
          </c:extLst>
        </c:ser>
        <c:ser>
          <c:idx val="5"/>
          <c:order val="5"/>
          <c:tx>
            <c:strRef>
              <c:f>'Commerce - AME'!$E$112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AME'!$H$112:$K$112</c:f>
              <c:numCache>
                <c:formatCode>_-* #\ ##0_-;\-* #\ ##0_-;_-* "-"??_-;_-@_-</c:formatCode>
                <c:ptCount val="4"/>
                <c:pt idx="0" formatCode="0">
                  <c:v>858.7052192677138</c:v>
                </c:pt>
                <c:pt idx="1">
                  <c:v>601.4230994165606</c:v>
                </c:pt>
                <c:pt idx="2">
                  <c:v>589.45531743004358</c:v>
                </c:pt>
                <c:pt idx="3">
                  <c:v>534.74106382282423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DB-4A77-96D5-C3FF11AFAA6D}"/>
            </c:ext>
          </c:extLst>
        </c:ser>
        <c:ser>
          <c:idx val="6"/>
          <c:order val="6"/>
          <c:tx>
            <c:strRef>
              <c:f>'Commerce - AME'!$E$113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AME'!$H$113:$K$113</c:f>
              <c:numCache>
                <c:formatCode>_-* #\ ##0_-;\-* #\ ##0_-;_-* "-"??_-;_-@_-</c:formatCode>
                <c:ptCount val="4"/>
                <c:pt idx="0" formatCode="0">
                  <c:v>202.61460174289067</c:v>
                </c:pt>
                <c:pt idx="1">
                  <c:v>164.97456764837054</c:v>
                </c:pt>
                <c:pt idx="2">
                  <c:v>178.75267303050902</c:v>
                </c:pt>
                <c:pt idx="3">
                  <c:v>174.25551095521325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DB-4A77-96D5-C3FF11AFA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'Commerce - AME'!$E$118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AME'!$H$118:$K$118</c:f>
              <c:numCache>
                <c:formatCode>_-* #\ ##0_-;\-* #\ ##0_-;_-* "-"??_-;_-@_-</c:formatCode>
                <c:ptCount val="4"/>
                <c:pt idx="0">
                  <c:v>2576.6037512371563</c:v>
                </c:pt>
                <c:pt idx="1">
                  <c:v>1714.0622242286863</c:v>
                </c:pt>
                <c:pt idx="2">
                  <c:v>1071.3890123688593</c:v>
                </c:pt>
                <c:pt idx="3">
                  <c:v>509.26166660990549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2-4400-B605-5F1370D79AB9}"/>
            </c:ext>
          </c:extLst>
        </c:ser>
        <c:ser>
          <c:idx val="1"/>
          <c:order val="1"/>
          <c:tx>
            <c:strRef>
              <c:f>'Commerce - AME'!$E$119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AME'!$H$119:$K$119</c:f>
              <c:numCache>
                <c:formatCode>_-* #\ ##0_-;\-* #\ ##0_-;_-* "-"??_-;_-@_-</c:formatCode>
                <c:ptCount val="4"/>
                <c:pt idx="0">
                  <c:v>5915.2424361257099</c:v>
                </c:pt>
                <c:pt idx="1">
                  <c:v>4919.3273479135523</c:v>
                </c:pt>
                <c:pt idx="2">
                  <c:v>4251.9470512612506</c:v>
                </c:pt>
                <c:pt idx="3">
                  <c:v>3560.7600693130826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2-4400-B605-5F1370D79AB9}"/>
            </c:ext>
          </c:extLst>
        </c:ser>
        <c:ser>
          <c:idx val="2"/>
          <c:order val="2"/>
          <c:tx>
            <c:strRef>
              <c:f>'Commerce - AME'!$E$120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AME'!$H$120:$K$120</c:f>
              <c:numCache>
                <c:formatCode>_-* #\ ##0_-;\-* #\ ##0_-;_-* "-"??_-;_-@_-</c:formatCode>
                <c:ptCount val="4"/>
                <c:pt idx="0">
                  <c:v>292.96954741276608</c:v>
                </c:pt>
                <c:pt idx="1">
                  <c:v>285.05992304528161</c:v>
                </c:pt>
                <c:pt idx="2">
                  <c:v>289.25435648297463</c:v>
                </c:pt>
                <c:pt idx="3">
                  <c:v>285.8923396714892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52-4400-B605-5F1370D79AB9}"/>
            </c:ext>
          </c:extLst>
        </c:ser>
        <c:ser>
          <c:idx val="3"/>
          <c:order val="3"/>
          <c:tx>
            <c:strRef>
              <c:f>'Commerce - AME'!$E$121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AME'!$H$121:$K$121</c:f>
              <c:numCache>
                <c:formatCode>_-* #\ ##0_-;\-* #\ ##0_-;_-* "-"??_-;_-@_-</c:formatCode>
                <c:ptCount val="4"/>
                <c:pt idx="0">
                  <c:v>120.99590860732309</c:v>
                </c:pt>
                <c:pt idx="1">
                  <c:v>114.0003514370095</c:v>
                </c:pt>
                <c:pt idx="2">
                  <c:v>112.34067729726566</c:v>
                </c:pt>
                <c:pt idx="3">
                  <c:v>108.1042808163606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52-4400-B605-5F1370D79AB9}"/>
            </c:ext>
          </c:extLst>
        </c:ser>
        <c:ser>
          <c:idx val="4"/>
          <c:order val="4"/>
          <c:tx>
            <c:strRef>
              <c:f>'Commerce - AME'!$E$122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AME'!$H$122:$K$122</c:f>
              <c:numCache>
                <c:formatCode>_-* #\ ##0_-;\-* #\ ##0_-;_-* "-"??_-;_-@_-</c:formatCode>
                <c:ptCount val="4"/>
                <c:pt idx="0">
                  <c:v>105.60824987057042</c:v>
                </c:pt>
                <c:pt idx="1">
                  <c:v>87.44470137224144</c:v>
                </c:pt>
                <c:pt idx="2">
                  <c:v>75.027926830226079</c:v>
                </c:pt>
                <c:pt idx="3">
                  <c:v>62.12144078366692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52-4400-B605-5F1370D79AB9}"/>
            </c:ext>
          </c:extLst>
        </c:ser>
        <c:ser>
          <c:idx val="5"/>
          <c:order val="5"/>
          <c:tx>
            <c:strRef>
              <c:f>'Commerce - AME'!$E$123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AME'!$H$123:$K$123</c:f>
              <c:numCache>
                <c:formatCode>_-* #\ ##0_-;\-* #\ ##0_-;_-* "-"??_-;_-@_-</c:formatCode>
                <c:ptCount val="4"/>
                <c:pt idx="0">
                  <c:v>2610.8108181775938</c:v>
                </c:pt>
                <c:pt idx="1">
                  <c:v>2697.3643591952286</c:v>
                </c:pt>
                <c:pt idx="2">
                  <c:v>2860.6914187717912</c:v>
                </c:pt>
                <c:pt idx="3">
                  <c:v>2920.8668611964954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52-4400-B605-5F1370D79AB9}"/>
            </c:ext>
          </c:extLst>
        </c:ser>
        <c:ser>
          <c:idx val="6"/>
          <c:order val="6"/>
          <c:tx>
            <c:strRef>
              <c:f>'Commerce - AME'!$E$124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'Commerce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AME'!$H$124:$K$124</c:f>
              <c:numCache>
                <c:formatCode>_-* #\ ##0_-;\-* #\ ##0_-;_-* "-"??_-;_-@_-</c:formatCode>
                <c:ptCount val="4"/>
                <c:pt idx="0">
                  <c:v>616.03025378394022</c:v>
                </c:pt>
                <c:pt idx="1">
                  <c:v>739.9059320801731</c:v>
                </c:pt>
                <c:pt idx="2">
                  <c:v>867.50636172110649</c:v>
                </c:pt>
                <c:pt idx="3">
                  <c:v>951.81982788324774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52-4400-B605-5F1370D79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'Enseignement - AME'!$E$13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AME'!$H$13:$K$13</c:f>
              <c:numCache>
                <c:formatCode>#,##0</c:formatCode>
                <c:ptCount val="4"/>
                <c:pt idx="0">
                  <c:v>3589.0688094094057</c:v>
                </c:pt>
                <c:pt idx="1">
                  <c:v>2406.1440794726918</c:v>
                </c:pt>
                <c:pt idx="2">
                  <c:v>1803.2148651874963</c:v>
                </c:pt>
                <c:pt idx="3">
                  <c:v>1263.1322187381795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4-4CF8-AFDE-73568AC42734}"/>
            </c:ext>
          </c:extLst>
        </c:ser>
        <c:ser>
          <c:idx val="1"/>
          <c:order val="1"/>
          <c:tx>
            <c:strRef>
              <c:f>'Enseignement - AME'!$E$14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AME'!$H$14:$K$14</c:f>
              <c:numCache>
                <c:formatCode>#,##0</c:formatCode>
                <c:ptCount val="4"/>
                <c:pt idx="0">
                  <c:v>8980.3737607899948</c:v>
                </c:pt>
                <c:pt idx="1">
                  <c:v>6795.0042490632813</c:v>
                </c:pt>
                <c:pt idx="2">
                  <c:v>5838.036150148263</c:v>
                </c:pt>
                <c:pt idx="3">
                  <c:v>4849.3408209189565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C4-4CF8-AFDE-73568AC42734}"/>
            </c:ext>
          </c:extLst>
        </c:ser>
        <c:ser>
          <c:idx val="2"/>
          <c:order val="2"/>
          <c:tx>
            <c:strRef>
              <c:f>'Enseignement - AME'!$E$15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AME'!$H$15:$K$15</c:f>
              <c:numCache>
                <c:formatCode>#,##0</c:formatCode>
                <c:ptCount val="4"/>
                <c:pt idx="0">
                  <c:v>1357.4109413495639</c:v>
                </c:pt>
                <c:pt idx="1">
                  <c:v>1070.1936637064136</c:v>
                </c:pt>
                <c:pt idx="2">
                  <c:v>961.15944671988416</c:v>
                </c:pt>
                <c:pt idx="3">
                  <c:v>837.27199612993002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C4-4CF8-AFDE-73568AC42734}"/>
            </c:ext>
          </c:extLst>
        </c:ser>
        <c:ser>
          <c:idx val="3"/>
          <c:order val="3"/>
          <c:tx>
            <c:strRef>
              <c:f>'Enseignement - AME'!$E$16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AME'!$H$16:$K$16</c:f>
              <c:numCache>
                <c:formatCode>#,##0</c:formatCode>
                <c:ptCount val="4"/>
                <c:pt idx="0">
                  <c:v>219.64717145626702</c:v>
                </c:pt>
                <c:pt idx="1">
                  <c:v>161.4678623583689</c:v>
                </c:pt>
                <c:pt idx="2">
                  <c:v>134.19189816715604</c:v>
                </c:pt>
                <c:pt idx="3">
                  <c:v>107.18415174668466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C4-4CF8-AFDE-73568AC42734}"/>
            </c:ext>
          </c:extLst>
        </c:ser>
        <c:ser>
          <c:idx val="4"/>
          <c:order val="4"/>
          <c:tx>
            <c:strRef>
              <c:f>'Enseignement - AME'!$E$17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AME'!$H$17:$K$17</c:f>
              <c:numCache>
                <c:formatCode>#,##0</c:formatCode>
                <c:ptCount val="4"/>
                <c:pt idx="0">
                  <c:v>147.47400699665445</c:v>
                </c:pt>
                <c:pt idx="1">
                  <c:v>120.79055369229518</c:v>
                </c:pt>
                <c:pt idx="2">
                  <c:v>112.65912555406861</c:v>
                </c:pt>
                <c:pt idx="3">
                  <c:v>101.88373610081695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C4-4CF8-AFDE-73568AC42734}"/>
            </c:ext>
          </c:extLst>
        </c:ser>
        <c:ser>
          <c:idx val="5"/>
          <c:order val="5"/>
          <c:tx>
            <c:strRef>
              <c:f>'Enseignement - AME'!$E$18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AME'!$H$18:$K$18</c:f>
              <c:numCache>
                <c:formatCode>#,##0</c:formatCode>
                <c:ptCount val="4"/>
                <c:pt idx="0">
                  <c:v>870.55026304738203</c:v>
                </c:pt>
                <c:pt idx="1">
                  <c:v>1032.3737224466242</c:v>
                </c:pt>
                <c:pt idx="2">
                  <c:v>1239.8958671753658</c:v>
                </c:pt>
                <c:pt idx="3">
                  <c:v>1348.1495669843496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C4-4CF8-AFDE-73568AC42734}"/>
            </c:ext>
          </c:extLst>
        </c:ser>
        <c:ser>
          <c:idx val="6"/>
          <c:order val="6"/>
          <c:tx>
            <c:strRef>
              <c:f>'Enseignement - AME'!$E$19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AME'!$H$19:$K$19</c:f>
              <c:numCache>
                <c:formatCode>#,##0</c:formatCode>
                <c:ptCount val="4"/>
                <c:pt idx="0">
                  <c:v>116.79726704018628</c:v>
                </c:pt>
                <c:pt idx="1">
                  <c:v>195.17423488197457</c:v>
                </c:pt>
                <c:pt idx="2">
                  <c:v>253.12998991413434</c:v>
                </c:pt>
                <c:pt idx="3">
                  <c:v>287.9901187515988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C4-4CF8-AFDE-73568AC42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'Enseignement - AME'!$E$8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'Enseignement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'Enseignement - AME'!$H$8:$K$8</c:f>
              <c:numCache>
                <c:formatCode>#,##0</c:formatCode>
                <c:ptCount val="4"/>
                <c:pt idx="0">
                  <c:v>0</c:v>
                </c:pt>
                <c:pt idx="1">
                  <c:v>3362.5337122163387</c:v>
                </c:pt>
                <c:pt idx="2">
                  <c:v>3313.9340429367594</c:v>
                </c:pt>
                <c:pt idx="3">
                  <c:v>3259.1536075350923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D-4909-BEAE-6B72B0F921F6}"/>
            </c:ext>
          </c:extLst>
        </c:ser>
        <c:ser>
          <c:idx val="1"/>
          <c:order val="1"/>
          <c:tx>
            <c:strRef>
              <c:f>'Enseignement - AME'!$E$9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'Enseignement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'Enseignement - AME'!$H$9:$K$9</c:f>
              <c:numCache>
                <c:formatCode>#,##0</c:formatCode>
                <c:ptCount val="4"/>
                <c:pt idx="0">
                  <c:v>167106.71056882737</c:v>
                </c:pt>
                <c:pt idx="1">
                  <c:v>161328.9353860087</c:v>
                </c:pt>
                <c:pt idx="2">
                  <c:v>158655.13012288776</c:v>
                </c:pt>
                <c:pt idx="3">
                  <c:v>152532.73542913087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D-4909-BEAE-6B72B0F92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'Enseignement - AME'!$E$107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AME'!$H$107:$K$107</c:f>
              <c:numCache>
                <c:formatCode>_-* #\ ##0_-;\-* #\ ##0_-;_-* "-"??_-;_-@_-</c:formatCode>
                <c:ptCount val="4"/>
                <c:pt idx="0" formatCode="0">
                  <c:v>1514.6767642910038</c:v>
                </c:pt>
                <c:pt idx="1">
                  <c:v>795.07021728143116</c:v>
                </c:pt>
                <c:pt idx="2">
                  <c:v>564.94361987275943</c:v>
                </c:pt>
                <c:pt idx="3">
                  <c:v>364.00480858098621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6-4AB2-9DC1-1461592A7D6E}"/>
            </c:ext>
          </c:extLst>
        </c:ser>
        <c:ser>
          <c:idx val="1"/>
          <c:order val="1"/>
          <c:tx>
            <c:strRef>
              <c:f>'Enseignement - AME'!$E$108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AME'!$H$108:$K$108</c:f>
              <c:numCache>
                <c:formatCode>_-* #\ ##0_-;\-* #\ ##0_-;_-* "-"??_-;_-@_-</c:formatCode>
                <c:ptCount val="4"/>
                <c:pt idx="0" formatCode="0">
                  <c:v>3789.9422363973968</c:v>
                </c:pt>
                <c:pt idx="1">
                  <c:v>2186.3092924154789</c:v>
                </c:pt>
                <c:pt idx="2">
                  <c:v>1745.4688007199966</c:v>
                </c:pt>
                <c:pt idx="3">
                  <c:v>1304.8400858434538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6-4AB2-9DC1-1461592A7D6E}"/>
            </c:ext>
          </c:extLst>
        </c:ser>
        <c:ser>
          <c:idx val="2"/>
          <c:order val="2"/>
          <c:tx>
            <c:strRef>
              <c:f>'Enseignement - AME'!$E$109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AME'!$H$109:$K$109</c:f>
              <c:numCache>
                <c:formatCode>_-* #\ ##0_-;\-* #\ ##0_-;_-* "-"??_-;_-@_-</c:formatCode>
                <c:ptCount val="4"/>
                <c:pt idx="0" formatCode="0">
                  <c:v>572.86135252304962</c:v>
                </c:pt>
                <c:pt idx="1">
                  <c:v>342.31606074394188</c:v>
                </c:pt>
                <c:pt idx="2">
                  <c:v>283.80252946796548</c:v>
                </c:pt>
                <c:pt idx="3">
                  <c:v>220.93956016727932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16-4AB2-9DC1-1461592A7D6E}"/>
            </c:ext>
          </c:extLst>
        </c:ser>
        <c:ser>
          <c:idx val="3"/>
          <c:order val="3"/>
          <c:tx>
            <c:strRef>
              <c:f>'Enseignement - AME'!$E$110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AME'!$H$110:$K$110</c:f>
              <c:numCache>
                <c:formatCode>_-* #\ ##0_-;\-* #\ ##0_-;_-* "-"??_-;_-@_-</c:formatCode>
                <c:ptCount val="4"/>
                <c:pt idx="0" formatCode="0">
                  <c:v>92.696597533831067</c:v>
                </c:pt>
                <c:pt idx="1">
                  <c:v>51.609861053824119</c:v>
                </c:pt>
                <c:pt idx="2">
                  <c:v>39.549878883668612</c:v>
                </c:pt>
                <c:pt idx="3">
                  <c:v>28.184407812246828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16-4AB2-9DC1-1461592A7D6E}"/>
            </c:ext>
          </c:extLst>
        </c:ser>
        <c:ser>
          <c:idx val="4"/>
          <c:order val="4"/>
          <c:tx>
            <c:strRef>
              <c:f>'Enseignement - AME'!$E$111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AME'!$H$111:$K$111</c:f>
              <c:numCache>
                <c:formatCode>_-* #\ ##0_-;\-* #\ ##0_-;_-* "-"??_-;_-@_-</c:formatCode>
                <c:ptCount val="4"/>
                <c:pt idx="0" formatCode="0">
                  <c:v>62.237717802763086</c:v>
                </c:pt>
                <c:pt idx="1">
                  <c:v>38.648631045445988</c:v>
                </c:pt>
                <c:pt idx="2">
                  <c:v>33.290916852873536</c:v>
                </c:pt>
                <c:pt idx="3">
                  <c:v>26.921454006370727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16-4AB2-9DC1-1461592A7D6E}"/>
            </c:ext>
          </c:extLst>
        </c:ser>
        <c:ser>
          <c:idx val="5"/>
          <c:order val="5"/>
          <c:tx>
            <c:strRef>
              <c:f>'Enseignement - AME'!$E$112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AME'!$H$112:$K$112</c:f>
              <c:numCache>
                <c:formatCode>_-* #\ ##0_-;\-* #\ ##0_-;_-* "-"??_-;_-@_-</c:formatCode>
                <c:ptCount val="4"/>
                <c:pt idx="0" formatCode="0">
                  <c:v>367.39397476257136</c:v>
                </c:pt>
                <c:pt idx="1">
                  <c:v>339.11373429524218</c:v>
                </c:pt>
                <c:pt idx="2">
                  <c:v>383.54170192574622</c:v>
                </c:pt>
                <c:pt idx="3">
                  <c:v>380.96327829878368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16-4AB2-9DC1-1461592A7D6E}"/>
            </c:ext>
          </c:extLst>
        </c:ser>
        <c:ser>
          <c:idx val="6"/>
          <c:order val="6"/>
          <c:tx>
            <c:strRef>
              <c:f>'Enseignement - AME'!$E$113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AME'!$H$113:$K$113</c:f>
              <c:numCache>
                <c:formatCode>_-* #\ ##0_-;\-* #\ ##0_-;_-* "-"??_-;_-@_-</c:formatCode>
                <c:ptCount val="4"/>
                <c:pt idx="0" formatCode="0">
                  <c:v>49.291366622634605</c:v>
                </c:pt>
                <c:pt idx="1">
                  <c:v>58.146130719437416</c:v>
                </c:pt>
                <c:pt idx="2">
                  <c:v>72.776133482318158</c:v>
                </c:pt>
                <c:pt idx="3">
                  <c:v>76.422162724334129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16-4AB2-9DC1-1461592A7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'Enseignement - AME'!$E$118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AME'!$H$118:$K$118</c:f>
              <c:numCache>
                <c:formatCode>_-* #\ ##0_-;\-* #\ ##0_-;_-* "-"??_-;_-@_-</c:formatCode>
                <c:ptCount val="4"/>
                <c:pt idx="0">
                  <c:v>2074.3920451184017</c:v>
                </c:pt>
                <c:pt idx="1">
                  <c:v>1602.10799314932</c:v>
                </c:pt>
                <c:pt idx="2">
                  <c:v>1229.4349625632351</c:v>
                </c:pt>
                <c:pt idx="3">
                  <c:v>890.43719410774042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1-48FC-9D73-AF3D2C80CF1C}"/>
            </c:ext>
          </c:extLst>
        </c:ser>
        <c:ser>
          <c:idx val="1"/>
          <c:order val="1"/>
          <c:tx>
            <c:strRef>
              <c:f>'Enseignement - AME'!$E$119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AME'!$H$119:$K$119</c:f>
              <c:numCache>
                <c:formatCode>_-* #\ ##0_-;\-* #\ ##0_-;_-* "-"??_-;_-@_-</c:formatCode>
                <c:ptCount val="4"/>
                <c:pt idx="0">
                  <c:v>5190.4315243925985</c:v>
                </c:pt>
                <c:pt idx="1">
                  <c:v>4528.5139992253035</c:v>
                </c:pt>
                <c:pt idx="2">
                  <c:v>4013.5452705023886</c:v>
                </c:pt>
                <c:pt idx="3">
                  <c:v>3466.7849174794583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01-48FC-9D73-AF3D2C80CF1C}"/>
            </c:ext>
          </c:extLst>
        </c:ser>
        <c:ser>
          <c:idx val="2"/>
          <c:order val="2"/>
          <c:tx>
            <c:strRef>
              <c:f>'Enseignement - AME'!$E$120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AME'!$H$120:$K$120</c:f>
              <c:numCache>
                <c:formatCode>_-* #\ ##0_-;\-* #\ ##0_-;_-* "-"??_-;_-@_-</c:formatCode>
                <c:ptCount val="4"/>
                <c:pt idx="0">
                  <c:v>784.54958882651431</c:v>
                </c:pt>
                <c:pt idx="1">
                  <c:v>716.22977421630037</c:v>
                </c:pt>
                <c:pt idx="2">
                  <c:v>665.87743793309517</c:v>
                </c:pt>
                <c:pt idx="3">
                  <c:v>605.04271626701882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01-48FC-9D73-AF3D2C80CF1C}"/>
            </c:ext>
          </c:extLst>
        </c:ser>
        <c:ser>
          <c:idx val="3"/>
          <c:order val="3"/>
          <c:tx>
            <c:strRef>
              <c:f>'Enseignement - AME'!$E$121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AME'!$H$121:$K$121</c:f>
              <c:numCache>
                <c:formatCode>_-* #\ ##0_-;\-* #\ ##0_-;_-* "-"??_-;_-@_-</c:formatCode>
                <c:ptCount val="4"/>
                <c:pt idx="0">
                  <c:v>126.95057392243594</c:v>
                </c:pt>
                <c:pt idx="1">
                  <c:v>107.98359577281168</c:v>
                </c:pt>
                <c:pt idx="2">
                  <c:v>92.79470507536162</c:v>
                </c:pt>
                <c:pt idx="3">
                  <c:v>77.18296644651636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01-48FC-9D73-AF3D2C80CF1C}"/>
            </c:ext>
          </c:extLst>
        </c:ser>
        <c:ser>
          <c:idx val="4"/>
          <c:order val="4"/>
          <c:tx>
            <c:strRef>
              <c:f>'Enseignement - AME'!$E$122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AME'!$H$122:$K$122</c:f>
              <c:numCache>
                <c:formatCode>_-* #\ ##0_-;\-* #\ ##0_-;_-* "-"??_-;_-@_-</c:formatCode>
                <c:ptCount val="4"/>
                <c:pt idx="0">
                  <c:v>85.23628919389138</c:v>
                </c:pt>
                <c:pt idx="1">
                  <c:v>80.864743031017028</c:v>
                </c:pt>
                <c:pt idx="2">
                  <c:v>78.109488530606399</c:v>
                </c:pt>
                <c:pt idx="3">
                  <c:v>73.72436898824094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01-48FC-9D73-AF3D2C80CF1C}"/>
            </c:ext>
          </c:extLst>
        </c:ser>
        <c:ser>
          <c:idx val="5"/>
          <c:order val="5"/>
          <c:tx>
            <c:strRef>
              <c:f>'Enseignement - AME'!$E$123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AME'!$H$123:$K$123</c:f>
              <c:numCache>
                <c:formatCode>_-* #\ ##0_-;\-* #\ ##0_-;_-* "-"??_-;_-@_-</c:formatCode>
                <c:ptCount val="4"/>
                <c:pt idx="0">
                  <c:v>503.15628828481073</c:v>
                </c:pt>
                <c:pt idx="1">
                  <c:v>691.41898411613124</c:v>
                </c:pt>
                <c:pt idx="2">
                  <c:v>854.53976977651666</c:v>
                </c:pt>
                <c:pt idx="3">
                  <c:v>965.40188577499441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01-48FC-9D73-AF3D2C80CF1C}"/>
            </c:ext>
          </c:extLst>
        </c:ser>
        <c:ser>
          <c:idx val="6"/>
          <c:order val="6"/>
          <c:tx>
            <c:strRef>
              <c:f>'Enseignement - AME'!$E$124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'Enseignement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AME'!$H$124:$K$124</c:f>
              <c:numCache>
                <c:formatCode>_-* #\ ##0_-;\-* #\ ##0_-;_-* "-"??_-;_-@_-</c:formatCode>
                <c:ptCount val="4"/>
                <c:pt idx="0">
                  <c:v>67.505900417551686</c:v>
                </c:pt>
                <c:pt idx="1">
                  <c:v>118.55414442552483</c:v>
                </c:pt>
                <c:pt idx="2">
                  <c:v>162.14690616157623</c:v>
                </c:pt>
                <c:pt idx="3">
                  <c:v>193.66197271961897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01-48FC-9D73-AF3D2C80C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'Santé social - AME'!$E$13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AME'!$H$13:$K$13</c:f>
              <c:numCache>
                <c:formatCode>#,##0</c:formatCode>
                <c:ptCount val="4"/>
                <c:pt idx="0">
                  <c:v>3798.9226175206595</c:v>
                </c:pt>
                <c:pt idx="1">
                  <c:v>2231.5025173937811</c:v>
                </c:pt>
                <c:pt idx="2">
                  <c:v>1514.2938592577848</c:v>
                </c:pt>
                <c:pt idx="3">
                  <c:v>833.4028885937845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BC-4160-866C-B915522FFA8D}"/>
            </c:ext>
          </c:extLst>
        </c:ser>
        <c:ser>
          <c:idx val="1"/>
          <c:order val="1"/>
          <c:tx>
            <c:strRef>
              <c:f>'Santé social - AME'!$E$14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AME'!$H$14:$K$14</c:f>
              <c:numCache>
                <c:formatCode>#,##0</c:formatCode>
                <c:ptCount val="4"/>
                <c:pt idx="0">
                  <c:v>10538.568728925251</c:v>
                </c:pt>
                <c:pt idx="1">
                  <c:v>8081.2464877719067</c:v>
                </c:pt>
                <c:pt idx="2">
                  <c:v>7518.8861575062829</c:v>
                </c:pt>
                <c:pt idx="3">
                  <c:v>6776.5727272164813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BC-4160-866C-B915522FFA8D}"/>
            </c:ext>
          </c:extLst>
        </c:ser>
        <c:ser>
          <c:idx val="2"/>
          <c:order val="2"/>
          <c:tx>
            <c:strRef>
              <c:f>'Santé social - AME'!$E$15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AME'!$H$15:$K$15</c:f>
              <c:numCache>
                <c:formatCode>#,##0</c:formatCode>
                <c:ptCount val="4"/>
                <c:pt idx="0">
                  <c:v>1734.6803254387555</c:v>
                </c:pt>
                <c:pt idx="1">
                  <c:v>1582.5237569592925</c:v>
                </c:pt>
                <c:pt idx="2">
                  <c:v>1634.8212478526311</c:v>
                </c:pt>
                <c:pt idx="3">
                  <c:v>1619.1587299887765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BC-4160-866C-B915522FFA8D}"/>
            </c:ext>
          </c:extLst>
        </c:ser>
        <c:ser>
          <c:idx val="3"/>
          <c:order val="3"/>
          <c:tx>
            <c:strRef>
              <c:f>'Santé social - AME'!$E$16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AME'!$H$16:$K$16</c:f>
              <c:numCache>
                <c:formatCode>#,##0</c:formatCode>
                <c:ptCount val="4"/>
                <c:pt idx="0">
                  <c:v>269.58029172631677</c:v>
                </c:pt>
                <c:pt idx="1">
                  <c:v>259.02337535756942</c:v>
                </c:pt>
                <c:pt idx="2">
                  <c:v>277.88741278342445</c:v>
                </c:pt>
                <c:pt idx="3">
                  <c:v>284.81036871986169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BC-4160-866C-B915522FFA8D}"/>
            </c:ext>
          </c:extLst>
        </c:ser>
        <c:ser>
          <c:idx val="4"/>
          <c:order val="4"/>
          <c:tx>
            <c:strRef>
              <c:f>'Santé social - AME'!$E$17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AME'!$H$17:$K$17</c:f>
              <c:numCache>
                <c:formatCode>#,##0</c:formatCode>
                <c:ptCount val="4"/>
                <c:pt idx="0">
                  <c:v>299.35529695699108</c:v>
                </c:pt>
                <c:pt idx="1">
                  <c:v>241.46713309685984</c:v>
                </c:pt>
                <c:pt idx="2">
                  <c:v>218.70000452024323</c:v>
                </c:pt>
                <c:pt idx="3">
                  <c:v>186.43193400198098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BC-4160-866C-B915522FFA8D}"/>
            </c:ext>
          </c:extLst>
        </c:ser>
        <c:ser>
          <c:idx val="5"/>
          <c:order val="5"/>
          <c:tx>
            <c:strRef>
              <c:f>'Santé social - AME'!$E$18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AME'!$H$18:$K$18</c:f>
              <c:numCache>
                <c:formatCode>#,##0</c:formatCode>
                <c:ptCount val="4"/>
                <c:pt idx="0">
                  <c:v>2347.0702575775676</c:v>
                </c:pt>
                <c:pt idx="1">
                  <c:v>2262.2194192323777</c:v>
                </c:pt>
                <c:pt idx="2">
                  <c:v>2599.3398962587794</c:v>
                </c:pt>
                <c:pt idx="3">
                  <c:v>2849.5589516362497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BC-4160-866C-B915522FFA8D}"/>
            </c:ext>
          </c:extLst>
        </c:ser>
        <c:ser>
          <c:idx val="6"/>
          <c:order val="6"/>
          <c:tx>
            <c:strRef>
              <c:f>'Santé social - AME'!$E$19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AME'!$H$19:$K$19</c:f>
              <c:numCache>
                <c:formatCode>#,##0</c:formatCode>
                <c:ptCount val="4"/>
                <c:pt idx="0">
                  <c:v>257.17690632747849</c:v>
                </c:pt>
                <c:pt idx="1">
                  <c:v>362.59941465934696</c:v>
                </c:pt>
                <c:pt idx="2">
                  <c:v>448.85251470560303</c:v>
                </c:pt>
                <c:pt idx="3">
                  <c:v>503.5832122421553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BC-4160-866C-B915522FF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'Santé social - AME'!$E$8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'Santé social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'Santé social - AME'!$H$8:$K$8</c:f>
              <c:numCache>
                <c:formatCode>#,##0</c:formatCode>
                <c:ptCount val="4"/>
                <c:pt idx="0">
                  <c:v>0</c:v>
                </c:pt>
                <c:pt idx="1">
                  <c:v>16775.217201482246</c:v>
                </c:pt>
                <c:pt idx="2">
                  <c:v>16977.546779760014</c:v>
                </c:pt>
                <c:pt idx="3">
                  <c:v>12844.582647852752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8-4399-B2A2-ED207CDE82A9}"/>
            </c:ext>
          </c:extLst>
        </c:ser>
        <c:ser>
          <c:idx val="1"/>
          <c:order val="1"/>
          <c:tx>
            <c:strRef>
              <c:f>'Santé social - AME'!$E$9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'Santé social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'Santé social - AME'!$H$9:$K$9</c:f>
              <c:numCache>
                <c:formatCode>#,##0</c:formatCode>
                <c:ptCount val="4"/>
                <c:pt idx="0">
                  <c:v>179200.208348585</c:v>
                </c:pt>
                <c:pt idx="1">
                  <c:v>174566.35174712935</c:v>
                </c:pt>
                <c:pt idx="2">
                  <c:v>186393.75443111575</c:v>
                </c:pt>
                <c:pt idx="3">
                  <c:v>198112.41532370384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88-4399-B2A2-ED207CDE8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'Santé social - AME'!$E$107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AME'!$H$107:$K$107</c:f>
              <c:numCache>
                <c:formatCode>_-* #\ ##0_-;\-* #\ ##0_-;_-* "-"??_-;_-@_-</c:formatCode>
                <c:ptCount val="4"/>
                <c:pt idx="0" formatCode="0">
                  <c:v>1921.9509306560522</c:v>
                </c:pt>
                <c:pt idx="1">
                  <c:v>913.26690267653521</c:v>
                </c:pt>
                <c:pt idx="2">
                  <c:v>591.93863665944775</c:v>
                </c:pt>
                <c:pt idx="3">
                  <c:v>303.00273670067617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B-486A-8A9D-FD69ACC63A81}"/>
            </c:ext>
          </c:extLst>
        </c:ser>
        <c:ser>
          <c:idx val="1"/>
          <c:order val="1"/>
          <c:tx>
            <c:strRef>
              <c:f>'Santé social - AME'!$E$108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AME'!$H$108:$K$108</c:f>
              <c:numCache>
                <c:formatCode>_-* #\ ##0_-;\-* #\ ##0_-;_-* "-"??_-;_-@_-</c:formatCode>
                <c:ptCount val="4"/>
                <c:pt idx="0" formatCode="0">
                  <c:v>5331.6726913378634</c:v>
                </c:pt>
                <c:pt idx="1">
                  <c:v>3120.0144294122078</c:v>
                </c:pt>
                <c:pt idx="2">
                  <c:v>2719.9727449601701</c:v>
                </c:pt>
                <c:pt idx="3">
                  <c:v>2261.7698528133619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BB-486A-8A9D-FD69ACC63A81}"/>
            </c:ext>
          </c:extLst>
        </c:ser>
        <c:ser>
          <c:idx val="2"/>
          <c:order val="2"/>
          <c:tx>
            <c:strRef>
              <c:f>'Santé social - AME'!$E$109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AME'!$H$109:$K$109</c:f>
              <c:numCache>
                <c:formatCode>_-* #\ ##0_-;\-* #\ ##0_-;_-* "-"??_-;_-@_-</c:formatCode>
                <c:ptCount val="4"/>
                <c:pt idx="0" formatCode="0">
                  <c:v>877.60947024597533</c:v>
                </c:pt>
                <c:pt idx="1">
                  <c:v>570.38909013611283</c:v>
                </c:pt>
                <c:pt idx="2">
                  <c:v>552.14550273619022</c:v>
                </c:pt>
                <c:pt idx="3">
                  <c:v>509.9875008669045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BB-486A-8A9D-FD69ACC63A81}"/>
            </c:ext>
          </c:extLst>
        </c:ser>
        <c:ser>
          <c:idx val="3"/>
          <c:order val="3"/>
          <c:tx>
            <c:strRef>
              <c:f>'Santé social - AME'!$E$110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AME'!$H$110:$K$110</c:f>
              <c:numCache>
                <c:formatCode>_-* #\ ##0_-;\-* #\ ##0_-;_-* "-"??_-;_-@_-</c:formatCode>
                <c:ptCount val="4"/>
                <c:pt idx="0" formatCode="0">
                  <c:v>136.38606119017817</c:v>
                </c:pt>
                <c:pt idx="1">
                  <c:v>93.10374715050682</c:v>
                </c:pt>
                <c:pt idx="2">
                  <c:v>94.006277870138007</c:v>
                </c:pt>
                <c:pt idx="3">
                  <c:v>90.066371253799133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BB-486A-8A9D-FD69ACC63A81}"/>
            </c:ext>
          </c:extLst>
        </c:ser>
        <c:ser>
          <c:idx val="4"/>
          <c:order val="4"/>
          <c:tx>
            <c:strRef>
              <c:f>'Santé social - AME'!$E$111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AME'!$H$111:$K$111</c:f>
              <c:numCache>
                <c:formatCode>_-* #\ ##0_-;\-* #\ ##0_-;_-* "-"??_-;_-@_-</c:formatCode>
                <c:ptCount val="4"/>
                <c:pt idx="0" formatCode="0">
                  <c:v>151.44983183648097</c:v>
                </c:pt>
                <c:pt idx="1">
                  <c:v>85.184908764952411</c:v>
                </c:pt>
                <c:pt idx="2">
                  <c:v>70.938597200174755</c:v>
                </c:pt>
                <c:pt idx="3">
                  <c:v>55.908638911451185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BB-486A-8A9D-FD69ACC63A81}"/>
            </c:ext>
          </c:extLst>
        </c:ser>
        <c:ser>
          <c:idx val="5"/>
          <c:order val="5"/>
          <c:tx>
            <c:strRef>
              <c:f>'Santé social - AME'!$E$112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AME'!$H$112:$K$112</c:f>
              <c:numCache>
                <c:formatCode>_-* #\ ##0_-;\-* #\ ##0_-;_-* "-"??_-;_-@_-</c:formatCode>
                <c:ptCount val="4"/>
                <c:pt idx="0" formatCode="0">
                  <c:v>1187.4297847136429</c:v>
                </c:pt>
                <c:pt idx="1">
                  <c:v>903.74736070839185</c:v>
                </c:pt>
                <c:pt idx="2">
                  <c:v>989.64022390917148</c:v>
                </c:pt>
                <c:pt idx="3">
                  <c:v>1009.8648010096588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BB-486A-8A9D-FD69ACC63A81}"/>
            </c:ext>
          </c:extLst>
        </c:ser>
        <c:ser>
          <c:idx val="6"/>
          <c:order val="6"/>
          <c:tx>
            <c:strRef>
              <c:f>'Santé social - AME'!$E$113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AME'!$H$113:$K$113</c:f>
              <c:numCache>
                <c:formatCode>_-* #\ ##0_-;\-* #\ ##0_-;_-* "-"??_-;_-@_-</c:formatCode>
                <c:ptCount val="4"/>
                <c:pt idx="0" formatCode="0">
                  <c:v>130.11094044919793</c:v>
                </c:pt>
                <c:pt idx="1">
                  <c:v>120.27475436673369</c:v>
                </c:pt>
                <c:pt idx="2">
                  <c:v>147.4864540220112</c:v>
                </c:pt>
                <c:pt idx="3">
                  <c:v>162.14034114607023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BB-486A-8A9D-FD69ACC63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'Santé social - AME'!$E$118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AME'!$H$118:$K$118</c:f>
              <c:numCache>
                <c:formatCode>_-* #\ ##0_-;\-* #\ ##0_-;_-* "-"??_-;_-@_-</c:formatCode>
                <c:ptCount val="4"/>
                <c:pt idx="0">
                  <c:v>1876.9716868646071</c:v>
                </c:pt>
                <c:pt idx="1">
                  <c:v>1307.0093263916183</c:v>
                </c:pt>
                <c:pt idx="2">
                  <c:v>910.99353154407311</c:v>
                </c:pt>
                <c:pt idx="3">
                  <c:v>521.80431754442361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C-4128-9C3A-2C321774B83A}"/>
            </c:ext>
          </c:extLst>
        </c:ser>
        <c:ser>
          <c:idx val="1"/>
          <c:order val="1"/>
          <c:tx>
            <c:strRef>
              <c:f>'Santé social - AME'!$E$119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AME'!$H$119:$K$119</c:f>
              <c:numCache>
                <c:formatCode>_-* #\ ##0_-;\-* #\ ##0_-;_-* "-"??_-;_-@_-</c:formatCode>
                <c:ptCount val="4"/>
                <c:pt idx="0">
                  <c:v>5206.8960375873876</c:v>
                </c:pt>
                <c:pt idx="1">
                  <c:v>4589.8171301110597</c:v>
                </c:pt>
                <c:pt idx="2">
                  <c:v>4423.0187672901739</c:v>
                </c:pt>
                <c:pt idx="3">
                  <c:v>4230.4149177384261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C-4128-9C3A-2C321774B83A}"/>
            </c:ext>
          </c:extLst>
        </c:ser>
        <c:ser>
          <c:idx val="2"/>
          <c:order val="2"/>
          <c:tx>
            <c:strRef>
              <c:f>'Santé social - AME'!$E$120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AME'!$H$120:$K$120</c:f>
              <c:numCache>
                <c:formatCode>_-* #\ ##0_-;\-* #\ ##0_-;_-* "-"??_-;_-@_-</c:formatCode>
                <c:ptCount val="4"/>
                <c:pt idx="0">
                  <c:v>857.0708551927803</c:v>
                </c:pt>
                <c:pt idx="1">
                  <c:v>847.60004545099275</c:v>
                </c:pt>
                <c:pt idx="2">
                  <c:v>916.1566355463076</c:v>
                </c:pt>
                <c:pt idx="3">
                  <c:v>983.18904258651764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5C-4128-9C3A-2C321774B83A}"/>
            </c:ext>
          </c:extLst>
        </c:ser>
        <c:ser>
          <c:idx val="3"/>
          <c:order val="3"/>
          <c:tx>
            <c:strRef>
              <c:f>'Santé social - AME'!$E$121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AME'!$H$121:$K$121</c:f>
              <c:numCache>
                <c:formatCode>_-* #\ ##0_-;\-* #\ ##0_-;_-* "-"??_-;_-@_-</c:formatCode>
                <c:ptCount val="4"/>
                <c:pt idx="0">
                  <c:v>133.19423053613858</c:v>
                </c:pt>
                <c:pt idx="1">
                  <c:v>138.35247146398925</c:v>
                </c:pt>
                <c:pt idx="2">
                  <c:v>155.9814846393603</c:v>
                </c:pt>
                <c:pt idx="3">
                  <c:v>173.6361561248828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5C-4128-9C3A-2C321774B83A}"/>
            </c:ext>
          </c:extLst>
        </c:ser>
        <c:ser>
          <c:idx val="4"/>
          <c:order val="4"/>
          <c:tx>
            <c:strRef>
              <c:f>'Santé social - AME'!$E$122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AME'!$H$122:$K$122</c:f>
              <c:numCache>
                <c:formatCode>_-* #\ ##0_-;\-* #\ ##0_-;_-* "-"??_-;_-@_-</c:formatCode>
                <c:ptCount val="4"/>
                <c:pt idx="0">
                  <c:v>147.90546512051014</c:v>
                </c:pt>
                <c:pt idx="1">
                  <c:v>126.58505183484924</c:v>
                </c:pt>
                <c:pt idx="2">
                  <c:v>117.70605070442606</c:v>
                </c:pt>
                <c:pt idx="3">
                  <c:v>107.78452622902743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5C-4128-9C3A-2C321774B83A}"/>
            </c:ext>
          </c:extLst>
        </c:ser>
        <c:ser>
          <c:idx val="5"/>
          <c:order val="5"/>
          <c:tx>
            <c:strRef>
              <c:f>'Santé social - AME'!$E$123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AME'!$H$123:$K$123</c:f>
              <c:numCache>
                <c:formatCode>_-* #\ ##0_-;\-* #\ ##0_-;_-* "-"??_-;_-@_-</c:formatCode>
                <c:ptCount val="4"/>
                <c:pt idx="0">
                  <c:v>1159.6404728639245</c:v>
                </c:pt>
                <c:pt idx="1">
                  <c:v>1308.6925446844211</c:v>
                </c:pt>
                <c:pt idx="2">
                  <c:v>1559.3197568627165</c:v>
                </c:pt>
                <c:pt idx="3">
                  <c:v>1801.5785738204836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5C-4128-9C3A-2C321774B83A}"/>
            </c:ext>
          </c:extLst>
        </c:ser>
        <c:ser>
          <c:idx val="6"/>
          <c:order val="6"/>
          <c:tx>
            <c:strRef>
              <c:f>'Santé social - AME'!$E$124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'Santé social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AME'!$H$124:$K$124</c:f>
              <c:numCache>
                <c:formatCode>_-* #\ ##0_-;\-* #\ ##0_-;_-* "-"??_-;_-@_-</c:formatCode>
                <c:ptCount val="4"/>
                <c:pt idx="0">
                  <c:v>127.06596587828058</c:v>
                </c:pt>
                <c:pt idx="1">
                  <c:v>174.16667665852555</c:v>
                </c:pt>
                <c:pt idx="2">
                  <c:v>232.38600864232251</c:v>
                </c:pt>
                <c:pt idx="3">
                  <c:v>289.25512035735369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5C-4128-9C3A-2C321774B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'Sport Loisir Culture - AME'!$E$13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AME'!$H$13:$K$13</c:f>
              <c:numCache>
                <c:formatCode>#,##0</c:formatCode>
                <c:ptCount val="4"/>
                <c:pt idx="0">
                  <c:v>777.44474922696963</c:v>
                </c:pt>
                <c:pt idx="1">
                  <c:v>521.88677331793406</c:v>
                </c:pt>
                <c:pt idx="2">
                  <c:v>368.80407105998046</c:v>
                </c:pt>
                <c:pt idx="3">
                  <c:v>231.20220102250897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B7-461A-BC31-05BE258E2DD8}"/>
            </c:ext>
          </c:extLst>
        </c:ser>
        <c:ser>
          <c:idx val="1"/>
          <c:order val="1"/>
          <c:tx>
            <c:strRef>
              <c:f>'Sport Loisir Culture - AME'!$E$14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AME'!$H$14:$K$14</c:f>
              <c:numCache>
                <c:formatCode>#,##0</c:formatCode>
                <c:ptCount val="4"/>
                <c:pt idx="0">
                  <c:v>4659.6020399884055</c:v>
                </c:pt>
                <c:pt idx="1">
                  <c:v>3791.1847167796209</c:v>
                </c:pt>
                <c:pt idx="2">
                  <c:v>3375.9851812928323</c:v>
                </c:pt>
                <c:pt idx="3">
                  <c:v>2919.7948802973565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B7-461A-BC31-05BE258E2DD8}"/>
            </c:ext>
          </c:extLst>
        </c:ser>
        <c:ser>
          <c:idx val="2"/>
          <c:order val="2"/>
          <c:tx>
            <c:strRef>
              <c:f>'Sport Loisir Culture - AME'!$E$15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AME'!$H$15:$K$15</c:f>
              <c:numCache>
                <c:formatCode>#,##0</c:formatCode>
                <c:ptCount val="4"/>
                <c:pt idx="0">
                  <c:v>197.24017631445159</c:v>
                </c:pt>
                <c:pt idx="1">
                  <c:v>188.17863006172016</c:v>
                </c:pt>
                <c:pt idx="2">
                  <c:v>195.89988495927906</c:v>
                </c:pt>
                <c:pt idx="3">
                  <c:v>197.67158787763492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B7-461A-BC31-05BE258E2DD8}"/>
            </c:ext>
          </c:extLst>
        </c:ser>
        <c:ser>
          <c:idx val="3"/>
          <c:order val="3"/>
          <c:tx>
            <c:strRef>
              <c:f>'Sport Loisir Culture - AME'!$E$16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AME'!$H$16:$K$16</c:f>
              <c:numCache>
                <c:formatCode>#,##0</c:formatCode>
                <c:ptCount val="4"/>
                <c:pt idx="0">
                  <c:v>21.916159417502385</c:v>
                </c:pt>
                <c:pt idx="1">
                  <c:v>19.921158318295287</c:v>
                </c:pt>
                <c:pt idx="2">
                  <c:v>19.895255685292927</c:v>
                </c:pt>
                <c:pt idx="3">
                  <c:v>19.357643717506402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B7-461A-BC31-05BE258E2DD8}"/>
            </c:ext>
          </c:extLst>
        </c:ser>
        <c:ser>
          <c:idx val="4"/>
          <c:order val="4"/>
          <c:tx>
            <c:strRef>
              <c:f>'Sport Loisir Culture - AME'!$E$17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AME'!$H$17:$K$17</c:f>
              <c:numCache>
                <c:formatCode>#,##0</c:formatCode>
                <c:ptCount val="4"/>
                <c:pt idx="0">
                  <c:v>20.784899477038984</c:v>
                </c:pt>
                <c:pt idx="1">
                  <c:v>19.539837445618002</c:v>
                </c:pt>
                <c:pt idx="2">
                  <c:v>20.095270722130092</c:v>
                </c:pt>
                <c:pt idx="3">
                  <c:v>20.067688546531084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B7-461A-BC31-05BE258E2DD8}"/>
            </c:ext>
          </c:extLst>
        </c:ser>
        <c:ser>
          <c:idx val="5"/>
          <c:order val="5"/>
          <c:tx>
            <c:strRef>
              <c:f>'Sport Loisir Culture - AME'!$E$18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AME'!$H$18:$K$18</c:f>
              <c:numCache>
                <c:formatCode>#,##0</c:formatCode>
                <c:ptCount val="4"/>
                <c:pt idx="0">
                  <c:v>1088.26708337173</c:v>
                </c:pt>
                <c:pt idx="1">
                  <c:v>1004.0578225049612</c:v>
                </c:pt>
                <c:pt idx="2">
                  <c:v>1015.2508575476576</c:v>
                </c:pt>
                <c:pt idx="3">
                  <c:v>995.52465411560456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B7-461A-BC31-05BE258E2DD8}"/>
            </c:ext>
          </c:extLst>
        </c:ser>
        <c:ser>
          <c:idx val="6"/>
          <c:order val="6"/>
          <c:tx>
            <c:strRef>
              <c:f>'Sport Loisir Culture - AME'!$E$19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AME'!$H$19:$K$19</c:f>
              <c:numCache>
                <c:formatCode>#,##0</c:formatCode>
                <c:ptCount val="4"/>
                <c:pt idx="0">
                  <c:v>163.87191043983148</c:v>
                </c:pt>
                <c:pt idx="1">
                  <c:v>169.22198825686331</c:v>
                </c:pt>
                <c:pt idx="2">
                  <c:v>181.32032611240734</c:v>
                </c:pt>
                <c:pt idx="3">
                  <c:v>185.31938497634778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B7-461A-BC31-05BE258E2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'Sport Loisir Culture - AME'!$E$8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'Sport Loisir Culture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'Sport Loisir Culture - AME'!$H$8:$K$8</c:f>
              <c:numCache>
                <c:formatCode>#,##0</c:formatCode>
                <c:ptCount val="4"/>
                <c:pt idx="0">
                  <c:v>0</c:v>
                </c:pt>
                <c:pt idx="1">
                  <c:v>1642.7890950831008</c:v>
                </c:pt>
                <c:pt idx="2">
                  <c:v>1568.644542901045</c:v>
                </c:pt>
                <c:pt idx="3">
                  <c:v>1155.7225806114329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B-4083-A332-87A50277A12D}"/>
            </c:ext>
          </c:extLst>
        </c:ser>
        <c:ser>
          <c:idx val="1"/>
          <c:order val="1"/>
          <c:tx>
            <c:strRef>
              <c:f>'Sport Loisir Culture - AME'!$E$9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'Sport Loisir Culture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'Sport Loisir Culture - AME'!$H$9:$K$9</c:f>
              <c:numCache>
                <c:formatCode>#,##0</c:formatCode>
                <c:ptCount val="4"/>
                <c:pt idx="0">
                  <c:v>56508.434021496716</c:v>
                </c:pt>
                <c:pt idx="1">
                  <c:v>55371.367091179913</c:v>
                </c:pt>
                <c:pt idx="2">
                  <c:v>55866.913076771518</c:v>
                </c:pt>
                <c:pt idx="3">
                  <c:v>55466.61624414727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FB-4083-A332-87A50277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'Sport Loisir Culture - AME'!$E$107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AME'!$H$107:$K$107</c:f>
              <c:numCache>
                <c:formatCode>_-* #\ ##0_-;\-* #\ ##0_-;_-* "-"??_-;_-@_-</c:formatCode>
                <c:ptCount val="4"/>
                <c:pt idx="0" formatCode="0">
                  <c:v>222.23646879027538</c:v>
                </c:pt>
                <c:pt idx="1">
                  <c:v>111.79056017846852</c:v>
                </c:pt>
                <c:pt idx="2">
                  <c:v>74.637970277834285</c:v>
                </c:pt>
                <c:pt idx="3">
                  <c:v>42.792135051420658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7-4CF9-B9BC-B6A34F7C5DB7}"/>
            </c:ext>
          </c:extLst>
        </c:ser>
        <c:ser>
          <c:idx val="1"/>
          <c:order val="1"/>
          <c:tx>
            <c:strRef>
              <c:f>'Sport Loisir Culture - AME'!$E$108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AME'!$H$108:$K$108</c:f>
              <c:numCache>
                <c:formatCode>_-* #\ ##0_-;\-* #\ ##0_-;_-* "-"??_-;_-@_-</c:formatCode>
                <c:ptCount val="4"/>
                <c:pt idx="0" formatCode="0">
                  <c:v>1331.9705411408854</c:v>
                </c:pt>
                <c:pt idx="1">
                  <c:v>783.0390346191665</c:v>
                </c:pt>
                <c:pt idx="2">
                  <c:v>644.06789340551472</c:v>
                </c:pt>
                <c:pt idx="3">
                  <c:v>499.37476924903518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77-4CF9-B9BC-B6A34F7C5DB7}"/>
            </c:ext>
          </c:extLst>
        </c:ser>
        <c:ser>
          <c:idx val="2"/>
          <c:order val="2"/>
          <c:tx>
            <c:strRef>
              <c:f>'Sport Loisir Culture - AME'!$E$109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AME'!$H$109:$K$109</c:f>
              <c:numCache>
                <c:formatCode>_-* #\ ##0_-;\-* #\ ##0_-;_-* "-"??_-;_-@_-</c:formatCode>
                <c:ptCount val="4"/>
                <c:pt idx="0" formatCode="0">
                  <c:v>56.382090600367555</c:v>
                </c:pt>
                <c:pt idx="1">
                  <c:v>38.778269502541555</c:v>
                </c:pt>
                <c:pt idx="2">
                  <c:v>37.066797461868603</c:v>
                </c:pt>
                <c:pt idx="3">
                  <c:v>33.24297783210519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77-4CF9-B9BC-B6A34F7C5DB7}"/>
            </c:ext>
          </c:extLst>
        </c:ser>
        <c:ser>
          <c:idx val="3"/>
          <c:order val="3"/>
          <c:tx>
            <c:strRef>
              <c:f>'Sport Loisir Culture - AME'!$E$110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AME'!$H$110:$K$110</c:f>
              <c:numCache>
                <c:formatCode>_-* #\ ##0_-;\-* #\ ##0_-;_-* "-"??_-;_-@_-</c:formatCode>
                <c:ptCount val="4"/>
                <c:pt idx="0" formatCode="0">
                  <c:v>6.2648437502901437</c:v>
                </c:pt>
                <c:pt idx="1">
                  <c:v>4.103343336091303</c:v>
                </c:pt>
                <c:pt idx="2">
                  <c:v>3.7610112396929791</c:v>
                </c:pt>
                <c:pt idx="3">
                  <c:v>3.2521901063161778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77-4CF9-B9BC-B6A34F7C5DB7}"/>
            </c:ext>
          </c:extLst>
        </c:ser>
        <c:ser>
          <c:idx val="4"/>
          <c:order val="4"/>
          <c:tx>
            <c:strRef>
              <c:f>'Sport Loisir Culture - AME'!$E$111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AME'!$H$111:$K$111</c:f>
              <c:numCache>
                <c:formatCode>_-* #\ ##0_-;\-* #\ ##0_-;_-* "-"??_-;_-@_-</c:formatCode>
                <c:ptCount val="4"/>
                <c:pt idx="0" formatCode="0">
                  <c:v>5.9414674400089789</c:v>
                </c:pt>
                <c:pt idx="1">
                  <c:v>4.0263569248689199</c:v>
                </c:pt>
                <c:pt idx="2">
                  <c:v>3.8015376047005787</c:v>
                </c:pt>
                <c:pt idx="3">
                  <c:v>3.374058659354195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77-4CF9-B9BC-B6A34F7C5DB7}"/>
            </c:ext>
          </c:extLst>
        </c:ser>
        <c:ser>
          <c:idx val="5"/>
          <c:order val="5"/>
          <c:tx>
            <c:strRef>
              <c:f>'Sport Loisir Culture - AME'!$E$112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AME'!$H$112:$K$112</c:f>
              <c:numCache>
                <c:formatCode>_-* #\ ##0_-;\-* #\ ##0_-;_-* "-"??_-;_-@_-</c:formatCode>
                <c:ptCount val="4"/>
                <c:pt idx="0" formatCode="0">
                  <c:v>311.08658711722586</c:v>
                </c:pt>
                <c:pt idx="1">
                  <c:v>211.79322748811936</c:v>
                </c:pt>
                <c:pt idx="2">
                  <c:v>200.74706197214556</c:v>
                </c:pt>
                <c:pt idx="3">
                  <c:v>178.76485861918724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77-4CF9-B9BC-B6A34F7C5DB7}"/>
            </c:ext>
          </c:extLst>
        </c:ser>
        <c:ser>
          <c:idx val="6"/>
          <c:order val="6"/>
          <c:tx>
            <c:strRef>
              <c:f>'Sport Loisir Culture - AME'!$E$113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AME'!$H$113:$K$113</c:f>
              <c:numCache>
                <c:formatCode>_-* #\ ##0_-;\-* #\ ##0_-;_-* "-"??_-;_-@_-</c:formatCode>
                <c:ptCount val="4"/>
                <c:pt idx="0" formatCode="0">
                  <c:v>46.843604958778023</c:v>
                </c:pt>
                <c:pt idx="1">
                  <c:v>34.539474343688234</c:v>
                </c:pt>
                <c:pt idx="2">
                  <c:v>34.836811258844996</c:v>
                </c:pt>
                <c:pt idx="3">
                  <c:v>32.608324103521838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77-4CF9-B9BC-B6A34F7C5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'Sport Loisir Culture - AME'!$E$118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AME'!$H$118:$K$118</c:f>
              <c:numCache>
                <c:formatCode>_-* #\ ##0_-;\-* #\ ##0_-;_-* "-"??_-;_-@_-</c:formatCode>
                <c:ptCount val="4"/>
                <c:pt idx="0">
                  <c:v>555.20828043669428</c:v>
                </c:pt>
                <c:pt idx="1">
                  <c:v>408.38082268985198</c:v>
                </c:pt>
                <c:pt idx="2">
                  <c:v>292.52813162604173</c:v>
                </c:pt>
                <c:pt idx="3">
                  <c:v>187.20326743370009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8-4A19-BDC3-9B519E283110}"/>
            </c:ext>
          </c:extLst>
        </c:ser>
        <c:ser>
          <c:idx val="1"/>
          <c:order val="1"/>
          <c:tx>
            <c:strRef>
              <c:f>'Sport Loisir Culture - AME'!$E$119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AME'!$H$119:$K$119</c:f>
              <c:numCache>
                <c:formatCode>_-* #\ ##0_-;\-* #\ ##0_-;_-* "-"??_-;_-@_-</c:formatCode>
                <c:ptCount val="4"/>
                <c:pt idx="0">
                  <c:v>3327.6314988475201</c:v>
                </c:pt>
                <c:pt idx="1">
                  <c:v>2940.3662673878698</c:v>
                </c:pt>
                <c:pt idx="2">
                  <c:v>2667.1969842145791</c:v>
                </c:pt>
                <c:pt idx="3">
                  <c:v>2372.7364489228789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18-4A19-BDC3-9B519E283110}"/>
            </c:ext>
          </c:extLst>
        </c:ser>
        <c:ser>
          <c:idx val="2"/>
          <c:order val="2"/>
          <c:tx>
            <c:strRef>
              <c:f>'Sport Loisir Culture - AME'!$E$120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AME'!$H$120:$K$120</c:f>
              <c:numCache>
                <c:formatCode>_-* #\ ##0_-;\-* #\ ##0_-;_-* "-"??_-;_-@_-</c:formatCode>
                <c:ptCount val="4"/>
                <c:pt idx="0">
                  <c:v>140.85808571408404</c:v>
                </c:pt>
                <c:pt idx="1">
                  <c:v>147.09144870100351</c:v>
                </c:pt>
                <c:pt idx="2">
                  <c:v>156.62838453389176</c:v>
                </c:pt>
                <c:pt idx="3">
                  <c:v>162.80426180805895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18-4A19-BDC3-9B519E283110}"/>
            </c:ext>
          </c:extLst>
        </c:ser>
        <c:ser>
          <c:idx val="3"/>
          <c:order val="3"/>
          <c:tx>
            <c:strRef>
              <c:f>'Sport Loisir Culture - AME'!$E$121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AME'!$H$121:$K$121</c:f>
              <c:numCache>
                <c:formatCode>_-* #\ ##0_-;\-* #\ ##0_-;_-* "-"??_-;_-@_-</c:formatCode>
                <c:ptCount val="4"/>
                <c:pt idx="0">
                  <c:v>15.651315667212243</c:v>
                </c:pt>
                <c:pt idx="1">
                  <c:v>15.564560346967532</c:v>
                </c:pt>
                <c:pt idx="2">
                  <c:v>15.892420036905564</c:v>
                </c:pt>
                <c:pt idx="3">
                  <c:v>15.927285822358835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18-4A19-BDC3-9B519E283110}"/>
            </c:ext>
          </c:extLst>
        </c:ser>
        <c:ser>
          <c:idx val="4"/>
          <c:order val="4"/>
          <c:tx>
            <c:strRef>
              <c:f>'Sport Loisir Culture - AME'!$E$122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AME'!$H$122:$K$122</c:f>
              <c:numCache>
                <c:formatCode>_-* #\ ##0_-;\-* #\ ##0_-;_-* "-"??_-;_-@_-</c:formatCode>
                <c:ptCount val="4"/>
                <c:pt idx="0">
                  <c:v>14.843432037030004</c:v>
                </c:pt>
                <c:pt idx="1">
                  <c:v>15.272540024703034</c:v>
                </c:pt>
                <c:pt idx="2">
                  <c:v>16.063667069744078</c:v>
                </c:pt>
                <c:pt idx="3">
                  <c:v>16.524125248573203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18-4A19-BDC3-9B519E283110}"/>
            </c:ext>
          </c:extLst>
        </c:ser>
        <c:ser>
          <c:idx val="5"/>
          <c:order val="5"/>
          <c:tx>
            <c:strRef>
              <c:f>'Sport Loisir Culture - AME'!$E$123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AME'!$H$123:$K$123</c:f>
              <c:numCache>
                <c:formatCode>_-* #\ ##0_-;\-* #\ ##0_-;_-* "-"??_-;_-@_-</c:formatCode>
                <c:ptCount val="4"/>
                <c:pt idx="0">
                  <c:v>777.18049625450408</c:v>
                </c:pt>
                <c:pt idx="1">
                  <c:v>782.85601806263765</c:v>
                </c:pt>
                <c:pt idx="2">
                  <c:v>805.51985908612937</c:v>
                </c:pt>
                <c:pt idx="3">
                  <c:v>810.14074447523672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18-4A19-BDC3-9B519E283110}"/>
            </c:ext>
          </c:extLst>
        </c:ser>
        <c:ser>
          <c:idx val="6"/>
          <c:order val="6"/>
          <c:tx>
            <c:strRef>
              <c:f>'Sport Loisir Culture - AME'!$E$124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'Sport Loisir Culture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AME'!$H$124:$K$124</c:f>
              <c:numCache>
                <c:formatCode>_-* #\ ##0_-;\-* #\ ##0_-;_-* "-"??_-;_-@_-</c:formatCode>
                <c:ptCount val="4"/>
                <c:pt idx="0">
                  <c:v>117.02830548105345</c:v>
                </c:pt>
                <c:pt idx="1">
                  <c:v>127.66902734032509</c:v>
                </c:pt>
                <c:pt idx="2">
                  <c:v>139.78657032663611</c:v>
                </c:pt>
                <c:pt idx="3">
                  <c:v>147.7769857530688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18-4A19-BDC3-9B519E283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- AME'!$E$13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AME'!$H$13:$K$13</c:f>
              <c:numCache>
                <c:formatCode>#,##0</c:formatCode>
                <c:ptCount val="4"/>
                <c:pt idx="0">
                  <c:v>1184.6022208624877</c:v>
                </c:pt>
                <c:pt idx="1">
                  <c:v>778.14395813458418</c:v>
                </c:pt>
                <c:pt idx="2">
                  <c:v>572.25115699029004</c:v>
                </c:pt>
                <c:pt idx="3">
                  <c:v>385.73356895434341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D-48EF-823C-48F57DB871D7}"/>
            </c:ext>
          </c:extLst>
        </c:ser>
        <c:ser>
          <c:idx val="1"/>
          <c:order val="1"/>
          <c:tx>
            <c:strRef>
              <c:f>'Transport - AME'!$E$14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AME'!$H$14:$K$14</c:f>
              <c:numCache>
                <c:formatCode>#,##0</c:formatCode>
                <c:ptCount val="4"/>
                <c:pt idx="0">
                  <c:v>2571.1662444862577</c:v>
                </c:pt>
                <c:pt idx="1">
                  <c:v>1968.7389806802951</c:v>
                </c:pt>
                <c:pt idx="2">
                  <c:v>1741.9066904599401</c:v>
                </c:pt>
                <c:pt idx="3">
                  <c:v>1497.1449562264602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D-48EF-823C-48F57DB871D7}"/>
            </c:ext>
          </c:extLst>
        </c:ser>
        <c:ser>
          <c:idx val="2"/>
          <c:order val="2"/>
          <c:tx>
            <c:strRef>
              <c:f>'Transport - AME'!$E$15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AME'!$H$15:$K$15</c:f>
              <c:numCache>
                <c:formatCode>#,##0</c:formatCode>
                <c:ptCount val="4"/>
                <c:pt idx="0">
                  <c:v>322.79006470064917</c:v>
                </c:pt>
                <c:pt idx="1">
                  <c:v>268.89338950073375</c:v>
                </c:pt>
                <c:pt idx="2">
                  <c:v>250.5352664695389</c:v>
                </c:pt>
                <c:pt idx="3">
                  <c:v>226.12055270217428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D-48EF-823C-48F57DB871D7}"/>
            </c:ext>
          </c:extLst>
        </c:ser>
        <c:ser>
          <c:idx val="3"/>
          <c:order val="3"/>
          <c:tx>
            <c:strRef>
              <c:f>'Transport - AME'!$E$16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AME'!$H$16:$K$16</c:f>
              <c:numCache>
                <c:formatCode>#,##0</c:formatCode>
                <c:ptCount val="4"/>
                <c:pt idx="0">
                  <c:v>88.777400481906028</c:v>
                </c:pt>
                <c:pt idx="1">
                  <c:v>77.083197628058699</c:v>
                </c:pt>
                <c:pt idx="2">
                  <c:v>76.040002498252662</c:v>
                </c:pt>
                <c:pt idx="3">
                  <c:v>72.779377578818895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D-48EF-823C-48F57DB871D7}"/>
            </c:ext>
          </c:extLst>
        </c:ser>
        <c:ser>
          <c:idx val="4"/>
          <c:order val="4"/>
          <c:tx>
            <c:strRef>
              <c:f>'Transport - AME'!$E$17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AME'!$H$17:$K$17</c:f>
              <c:numCache>
                <c:formatCode>#,##0</c:formatCode>
                <c:ptCount val="4"/>
                <c:pt idx="0">
                  <c:v>74.467362697590801</c:v>
                </c:pt>
                <c:pt idx="1">
                  <c:v>56.111211567841103</c:v>
                </c:pt>
                <c:pt idx="2">
                  <c:v>47.390750307593393</c:v>
                </c:pt>
                <c:pt idx="3">
                  <c:v>38.306542171614602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5D-48EF-823C-48F57DB871D7}"/>
            </c:ext>
          </c:extLst>
        </c:ser>
        <c:ser>
          <c:idx val="5"/>
          <c:order val="5"/>
          <c:tx>
            <c:strRef>
              <c:f>'Transport - AME'!$E$18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AME'!$H$18:$K$18</c:f>
              <c:numCache>
                <c:formatCode>#,##0</c:formatCode>
                <c:ptCount val="4"/>
                <c:pt idx="0">
                  <c:v>730.54536473556664</c:v>
                </c:pt>
                <c:pt idx="1">
                  <c:v>690.82360758221739</c:v>
                </c:pt>
                <c:pt idx="2">
                  <c:v>730.3172450420218</c:v>
                </c:pt>
                <c:pt idx="3">
                  <c:v>738.20075586419307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5D-48EF-823C-48F57DB871D7}"/>
            </c:ext>
          </c:extLst>
        </c:ser>
        <c:ser>
          <c:idx val="6"/>
          <c:order val="6"/>
          <c:tx>
            <c:strRef>
              <c:f>'Transport - AME'!$E$19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AME'!$H$19:$K$19</c:f>
              <c:numCache>
                <c:formatCode>#,##0</c:formatCode>
                <c:ptCount val="4"/>
                <c:pt idx="0">
                  <c:v>130.96454462136231</c:v>
                </c:pt>
                <c:pt idx="1">
                  <c:v>136.41168571811144</c:v>
                </c:pt>
                <c:pt idx="2">
                  <c:v>142.87897468824366</c:v>
                </c:pt>
                <c:pt idx="3">
                  <c:v>141.52633805296614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5D-48EF-823C-48F57DB87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'Transport - AME'!$E$8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'Transport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 - AME'!$H$8:$K$8</c:f>
              <c:numCache>
                <c:formatCode>#,##0</c:formatCode>
                <c:ptCount val="4"/>
                <c:pt idx="0">
                  <c:v>0</c:v>
                </c:pt>
                <c:pt idx="1">
                  <c:v>1461.3994615530548</c:v>
                </c:pt>
                <c:pt idx="2">
                  <c:v>1408.7342765387548</c:v>
                </c:pt>
                <c:pt idx="3">
                  <c:v>1105.016869340491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99-407B-BFA1-2F61F7DCE921}"/>
            </c:ext>
          </c:extLst>
        </c:ser>
        <c:ser>
          <c:idx val="1"/>
          <c:order val="1"/>
          <c:tx>
            <c:strRef>
              <c:f>'Transport - AME'!$E$9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'Transport - AME'!$H$6:$K$6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 - AME'!$H$9:$K$9</c:f>
              <c:numCache>
                <c:formatCode>#,##0</c:formatCode>
                <c:ptCount val="4"/>
                <c:pt idx="0">
                  <c:v>41814.604215450461</c:v>
                </c:pt>
                <c:pt idx="1">
                  <c:v>40727.42450584875</c:v>
                </c:pt>
                <c:pt idx="2">
                  <c:v>41091.914544249361</c:v>
                </c:pt>
                <c:pt idx="3">
                  <c:v>40793.873600880826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99-407B-BFA1-2F61F7DCE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- AME'!$E$107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AME'!$H$107:$K$107</c:f>
              <c:numCache>
                <c:formatCode>_-* #\ ##0_-;\-* #\ ##0_-;_-* "-"??_-;_-@_-</c:formatCode>
                <c:ptCount val="4"/>
                <c:pt idx="0" formatCode="0">
                  <c:v>485.09460944318874</c:v>
                </c:pt>
                <c:pt idx="1">
                  <c:v>250.46934172176242</c:v>
                </c:pt>
                <c:pt idx="2">
                  <c:v>175.65015817447696</c:v>
                </c:pt>
                <c:pt idx="3">
                  <c:v>109.66483137688593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A7-4483-8424-67C3F1C69540}"/>
            </c:ext>
          </c:extLst>
        </c:ser>
        <c:ser>
          <c:idx val="1"/>
          <c:order val="1"/>
          <c:tx>
            <c:strRef>
              <c:f>'Transport - AME'!$E$108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AME'!$H$108:$K$108</c:f>
              <c:numCache>
                <c:formatCode>_-* #\ ##0_-;\-* #\ ##0_-;_-* "-"??_-;_-@_-</c:formatCode>
                <c:ptCount val="4"/>
                <c:pt idx="0" formatCode="0">
                  <c:v>1052.8925771171228</c:v>
                </c:pt>
                <c:pt idx="1">
                  <c:v>618.17263476272046</c:v>
                </c:pt>
                <c:pt idx="2">
                  <c:v>511.11568119064094</c:v>
                </c:pt>
                <c:pt idx="3">
                  <c:v>398.55072705668147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A7-4483-8424-67C3F1C69540}"/>
            </c:ext>
          </c:extLst>
        </c:ser>
        <c:ser>
          <c:idx val="2"/>
          <c:order val="2"/>
          <c:tx>
            <c:strRef>
              <c:f>'Transport - AME'!$E$109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AME'!$H$109:$K$109</c:f>
              <c:numCache>
                <c:formatCode>_-* #\ ##0_-;\-* #\ ##0_-;_-* "-"??_-;_-@_-</c:formatCode>
                <c:ptCount val="4"/>
                <c:pt idx="0" formatCode="0">
                  <c:v>132.18253149491585</c:v>
                </c:pt>
                <c:pt idx="1">
                  <c:v>80.844485309041872</c:v>
                </c:pt>
                <c:pt idx="2">
                  <c:v>69.80818513758706</c:v>
                </c:pt>
                <c:pt idx="3">
                  <c:v>57.008211020655196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A7-4483-8424-67C3F1C69540}"/>
            </c:ext>
          </c:extLst>
        </c:ser>
        <c:ser>
          <c:idx val="3"/>
          <c:order val="3"/>
          <c:tx>
            <c:strRef>
              <c:f>'Transport - AME'!$E$110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AME'!$H$110:$K$110</c:f>
              <c:numCache>
                <c:formatCode>_-* #\ ##0_-;\-* #\ ##0_-;_-* "-"??_-;_-@_-</c:formatCode>
                <c:ptCount val="4"/>
                <c:pt idx="0" formatCode="0">
                  <c:v>36.354345497340518</c:v>
                </c:pt>
                <c:pt idx="1">
                  <c:v>23.649583524133757</c:v>
                </c:pt>
                <c:pt idx="2">
                  <c:v>21.664705580484807</c:v>
                </c:pt>
                <c:pt idx="3">
                  <c:v>18.726234810027332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A7-4483-8424-67C3F1C69540}"/>
            </c:ext>
          </c:extLst>
        </c:ser>
        <c:ser>
          <c:idx val="4"/>
          <c:order val="4"/>
          <c:tx>
            <c:strRef>
              <c:f>'Transport - AME'!$E$111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AME'!$H$111:$K$111</c:f>
              <c:numCache>
                <c:formatCode>_-* #\ ##0_-;\-* #\ ##0_-;_-* "-"??_-;_-@_-</c:formatCode>
                <c:ptCount val="4"/>
                <c:pt idx="0" formatCode="0">
                  <c:v>30.494385024663437</c:v>
                </c:pt>
                <c:pt idx="1">
                  <c:v>17.036676818284324</c:v>
                </c:pt>
                <c:pt idx="2">
                  <c:v>13.292219906334486</c:v>
                </c:pt>
                <c:pt idx="3">
                  <c:v>9.675397935022124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A7-4483-8424-67C3F1C69540}"/>
            </c:ext>
          </c:extLst>
        </c:ser>
        <c:ser>
          <c:idx val="5"/>
          <c:order val="5"/>
          <c:tx>
            <c:strRef>
              <c:f>'Transport - AME'!$E$112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AME'!$H$112:$K$112</c:f>
              <c:numCache>
                <c:formatCode>_-* #\ ##0_-;\-* #\ ##0_-;_-* "-"??_-;_-@_-</c:formatCode>
                <c:ptCount val="4"/>
                <c:pt idx="0" formatCode="0">
                  <c:v>299.15832685921453</c:v>
                </c:pt>
                <c:pt idx="1">
                  <c:v>216.96900026701218</c:v>
                </c:pt>
                <c:pt idx="2">
                  <c:v>217.23530518603224</c:v>
                </c:pt>
                <c:pt idx="3">
                  <c:v>202.25062446358857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A7-4483-8424-67C3F1C69540}"/>
            </c:ext>
          </c:extLst>
        </c:ser>
        <c:ser>
          <c:idx val="6"/>
          <c:order val="6"/>
          <c:tx>
            <c:strRef>
              <c:f>'Transport - AME'!$E$113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AME'!$H$113:$K$113</c:f>
              <c:numCache>
                <c:formatCode>_-* #\ ##0_-;\-* #\ ##0_-;_-* "-"??_-;_-@_-</c:formatCode>
                <c:ptCount val="4"/>
                <c:pt idx="0" formatCode="0">
                  <c:v>53.629981022447858</c:v>
                </c:pt>
                <c:pt idx="1">
                  <c:v>38.837853224490317</c:v>
                </c:pt>
                <c:pt idx="2">
                  <c:v>38.842468487013633</c:v>
                </c:pt>
                <c:pt idx="3">
                  <c:v>36.132281156453672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A7-4483-8424-67C3F1C69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- AME'!$E$118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AME'!$H$118:$K$118</c:f>
              <c:numCache>
                <c:formatCode>_-* #\ ##0_-;\-* #\ ##0_-;_-* "-"??_-;_-@_-</c:formatCode>
                <c:ptCount val="4"/>
                <c:pt idx="0">
                  <c:v>699.507611419299</c:v>
                </c:pt>
                <c:pt idx="1">
                  <c:v>527.59243024622219</c:v>
                </c:pt>
                <c:pt idx="2">
                  <c:v>396.52177443330021</c:v>
                </c:pt>
                <c:pt idx="3">
                  <c:v>276.00659365109914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C-40AE-A265-4120F4FA8D51}"/>
            </c:ext>
          </c:extLst>
        </c:ser>
        <c:ser>
          <c:idx val="1"/>
          <c:order val="1"/>
          <c:tx>
            <c:strRef>
              <c:f>'Transport - AME'!$E$119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AME'!$H$119:$K$119</c:f>
              <c:numCache>
                <c:formatCode>_-* #\ ##0_-;\-* #\ ##0_-;_-* "-"??_-;_-@_-</c:formatCode>
                <c:ptCount val="4"/>
                <c:pt idx="0">
                  <c:v>1518.2736673691352</c:v>
                </c:pt>
                <c:pt idx="1">
                  <c:v>1338.4790237995537</c:v>
                </c:pt>
                <c:pt idx="2">
                  <c:v>1219.1392840379751</c:v>
                </c:pt>
                <c:pt idx="3">
                  <c:v>1089.4545687299351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1C-40AE-A265-4120F4FA8D51}"/>
            </c:ext>
          </c:extLst>
        </c:ser>
        <c:ser>
          <c:idx val="2"/>
          <c:order val="2"/>
          <c:tx>
            <c:strRef>
              <c:f>'Transport - AME'!$E$120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AME'!$H$120:$K$120</c:f>
              <c:numCache>
                <c:formatCode>_-* #\ ##0_-;\-* #\ ##0_-;_-* "-"??_-;_-@_-</c:formatCode>
                <c:ptCount val="4"/>
                <c:pt idx="0">
                  <c:v>190.60753320573335</c:v>
                </c:pt>
                <c:pt idx="1">
                  <c:v>176.82072842196749</c:v>
                </c:pt>
                <c:pt idx="2">
                  <c:v>169.9035409612697</c:v>
                </c:pt>
                <c:pt idx="3">
                  <c:v>160.62231279901209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1C-40AE-A265-4120F4FA8D51}"/>
            </c:ext>
          </c:extLst>
        </c:ser>
        <c:ser>
          <c:idx val="3"/>
          <c:order val="3"/>
          <c:tx>
            <c:strRef>
              <c:f>'Transport - AME'!$E$121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AME'!$H$121:$K$121</c:f>
              <c:numCache>
                <c:formatCode>_-* #\ ##0_-;\-* #\ ##0_-;_-* "-"??_-;_-@_-</c:formatCode>
                <c:ptCount val="4"/>
                <c:pt idx="0">
                  <c:v>52.423054984565503</c:v>
                </c:pt>
                <c:pt idx="1">
                  <c:v>51.725687529929694</c:v>
                </c:pt>
                <c:pt idx="2">
                  <c:v>52.728919749925204</c:v>
                </c:pt>
                <c:pt idx="3">
                  <c:v>52.761717853488797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1C-40AE-A265-4120F4FA8D51}"/>
            </c:ext>
          </c:extLst>
        </c:ser>
        <c:ser>
          <c:idx val="4"/>
          <c:order val="4"/>
          <c:tx>
            <c:strRef>
              <c:f>'Transport - AME'!$E$122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AME'!$H$122:$K$122</c:f>
              <c:numCache>
                <c:formatCode>_-* #\ ##0_-;\-* #\ ##0_-;_-* "-"??_-;_-@_-</c:formatCode>
                <c:ptCount val="4"/>
                <c:pt idx="0">
                  <c:v>43.972977672927364</c:v>
                </c:pt>
                <c:pt idx="1">
                  <c:v>37.262128559333675</c:v>
                </c:pt>
                <c:pt idx="2">
                  <c:v>32.351438801495355</c:v>
                </c:pt>
                <c:pt idx="3">
                  <c:v>27.260718513179857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1C-40AE-A265-4120F4FA8D51}"/>
            </c:ext>
          </c:extLst>
        </c:ser>
        <c:ser>
          <c:idx val="5"/>
          <c:order val="5"/>
          <c:tx>
            <c:strRef>
              <c:f>'Transport - AME'!$E$123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AME'!$H$123:$K$123</c:f>
              <c:numCache>
                <c:formatCode>_-* #\ ##0_-;\-* #\ ##0_-;_-* "-"??_-;_-@_-</c:formatCode>
                <c:ptCount val="4"/>
                <c:pt idx="0">
                  <c:v>431.38703787635205</c:v>
                </c:pt>
                <c:pt idx="1">
                  <c:v>462.4356294096217</c:v>
                </c:pt>
                <c:pt idx="2">
                  <c:v>502.07447338166975</c:v>
                </c:pt>
                <c:pt idx="3">
                  <c:v>527.31583013783643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1C-40AE-A265-4120F4FA8D51}"/>
            </c:ext>
          </c:extLst>
        </c:ser>
        <c:ser>
          <c:idx val="6"/>
          <c:order val="6"/>
          <c:tx>
            <c:strRef>
              <c:f>'Transport - AME'!$E$124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'Transport - AME'!$H$11:$K$12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AME'!$H$124:$K$124</c:f>
              <c:numCache>
                <c:formatCode>_-* #\ ##0_-;\-* #\ ##0_-;_-* "-"??_-;_-@_-</c:formatCode>
                <c:ptCount val="4"/>
                <c:pt idx="0">
                  <c:v>77.334563598914443</c:v>
                </c:pt>
                <c:pt idx="1">
                  <c:v>82.776834841305742</c:v>
                </c:pt>
                <c:pt idx="2">
                  <c:v>89.77275537123603</c:v>
                </c:pt>
                <c:pt idx="3">
                  <c:v>94.205513003096954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1C-40AE-A265-4120F4FA8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'Init. énergie'!$A$77</c:f>
              <c:strCache>
                <c:ptCount val="1"/>
                <c:pt idx="0">
                  <c:v>Gaz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'Init. énergie'!$B$76:$H$76</c:f>
              <c:numCache>
                <c:formatCode>General</c:formatCode>
                <c:ptCount val="7"/>
                <c:pt idx="0">
                  <c:v>1990</c:v>
                </c:pt>
                <c:pt idx="1">
                  <c:v>1995</c:v>
                </c:pt>
                <c:pt idx="2">
                  <c:v>2000</c:v>
                </c:pt>
                <c:pt idx="3">
                  <c:v>2005</c:v>
                </c:pt>
                <c:pt idx="4">
                  <c:v>2010</c:v>
                </c:pt>
                <c:pt idx="5">
                  <c:v>2015</c:v>
                </c:pt>
                <c:pt idx="6">
                  <c:v>2020</c:v>
                </c:pt>
              </c:numCache>
            </c:numRef>
          </c:cat>
          <c:val>
            <c:numRef>
              <c:f>'Init. énergie'!$B$77:$H$77</c:f>
              <c:numCache>
                <c:formatCode>0</c:formatCode>
                <c:ptCount val="7"/>
                <c:pt idx="0">
                  <c:v>155.67567874468344</c:v>
                </c:pt>
                <c:pt idx="1">
                  <c:v>144.20029880566577</c:v>
                </c:pt>
                <c:pt idx="2">
                  <c:v>146.2666517582841</c:v>
                </c:pt>
                <c:pt idx="3">
                  <c:v>136.57421239289641</c:v>
                </c:pt>
                <c:pt idx="4">
                  <c:v>128.44733116483138</c:v>
                </c:pt>
                <c:pt idx="5">
                  <c:v>119.12615737447211</c:v>
                </c:pt>
                <c:pt idx="6">
                  <c:v>106.21213396312017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E-42F6-84A6-5EB8A76866B0}"/>
            </c:ext>
          </c:extLst>
        </c:ser>
        <c:ser>
          <c:idx val="1"/>
          <c:order val="1"/>
          <c:tx>
            <c:strRef>
              <c:f>'Init. énergie'!$A$78</c:f>
              <c:strCache>
                <c:ptCount val="1"/>
                <c:pt idx="0">
                  <c:v>Fioul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'Init. énergie'!$B$76:$H$76</c:f>
              <c:numCache>
                <c:formatCode>General</c:formatCode>
                <c:ptCount val="7"/>
                <c:pt idx="0">
                  <c:v>1990</c:v>
                </c:pt>
                <c:pt idx="1">
                  <c:v>1995</c:v>
                </c:pt>
                <c:pt idx="2">
                  <c:v>2000</c:v>
                </c:pt>
                <c:pt idx="3">
                  <c:v>2005</c:v>
                </c:pt>
                <c:pt idx="4">
                  <c:v>2010</c:v>
                </c:pt>
                <c:pt idx="5">
                  <c:v>2015</c:v>
                </c:pt>
                <c:pt idx="6">
                  <c:v>2020</c:v>
                </c:pt>
              </c:numCache>
            </c:numRef>
          </c:cat>
          <c:val>
            <c:numRef>
              <c:f>'Init. énergie'!$B$78:$H$78</c:f>
              <c:numCache>
                <c:formatCode>0</c:formatCode>
                <c:ptCount val="7"/>
                <c:pt idx="0">
                  <c:v>172.69278962269081</c:v>
                </c:pt>
                <c:pt idx="1">
                  <c:v>168.53255767943179</c:v>
                </c:pt>
                <c:pt idx="2">
                  <c:v>172.66010876844641</c:v>
                </c:pt>
                <c:pt idx="3">
                  <c:v>166.38819521289994</c:v>
                </c:pt>
                <c:pt idx="4">
                  <c:v>151.95478449153515</c:v>
                </c:pt>
                <c:pt idx="5">
                  <c:v>135.1534989915672</c:v>
                </c:pt>
                <c:pt idx="6">
                  <c:v>121.74809106277199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E-42F6-84A6-5EB8A76866B0}"/>
            </c:ext>
          </c:extLst>
        </c:ser>
        <c:ser>
          <c:idx val="2"/>
          <c:order val="2"/>
          <c:tx>
            <c:strRef>
              <c:f>'Init. énergie'!$A$79</c:f>
              <c:strCache>
                <c:ptCount val="1"/>
                <c:pt idx="0">
                  <c:v>Autres combustibles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'Init. énergie'!$B$76:$H$76</c:f>
              <c:numCache>
                <c:formatCode>General</c:formatCode>
                <c:ptCount val="7"/>
                <c:pt idx="0">
                  <c:v>1990</c:v>
                </c:pt>
                <c:pt idx="1">
                  <c:v>1995</c:v>
                </c:pt>
                <c:pt idx="2">
                  <c:v>2000</c:v>
                </c:pt>
                <c:pt idx="3">
                  <c:v>2005</c:v>
                </c:pt>
                <c:pt idx="4">
                  <c:v>2010</c:v>
                </c:pt>
                <c:pt idx="5">
                  <c:v>2015</c:v>
                </c:pt>
                <c:pt idx="6">
                  <c:v>2020</c:v>
                </c:pt>
              </c:numCache>
            </c:numRef>
          </c:cat>
          <c:val>
            <c:numRef>
              <c:f>'Init. énergie'!$B$79:$H$79</c:f>
              <c:numCache>
                <c:formatCode>0</c:formatCode>
                <c:ptCount val="7"/>
                <c:pt idx="0">
                  <c:v>142.50282984737828</c:v>
                </c:pt>
                <c:pt idx="1">
                  <c:v>131.49727536036906</c:v>
                </c:pt>
                <c:pt idx="2">
                  <c:v>129.25631328722389</c:v>
                </c:pt>
                <c:pt idx="3">
                  <c:v>121.23847603268428</c:v>
                </c:pt>
                <c:pt idx="4">
                  <c:v>116.16490775888079</c:v>
                </c:pt>
                <c:pt idx="5">
                  <c:v>109.392662901202</c:v>
                </c:pt>
                <c:pt idx="6">
                  <c:v>102.77327280480316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E-42F6-84A6-5EB8A76866B0}"/>
            </c:ext>
          </c:extLst>
        </c:ser>
        <c:ser>
          <c:idx val="3"/>
          <c:order val="3"/>
          <c:tx>
            <c:strRef>
              <c:f>'Init. énergie'!$A$80</c:f>
              <c:strCache>
                <c:ptCount val="1"/>
                <c:pt idx="0">
                  <c:v>Électricité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'Init. énergie'!$B$76:$H$76</c:f>
              <c:numCache>
                <c:formatCode>General</c:formatCode>
                <c:ptCount val="7"/>
                <c:pt idx="0">
                  <c:v>1990</c:v>
                </c:pt>
                <c:pt idx="1">
                  <c:v>1995</c:v>
                </c:pt>
                <c:pt idx="2">
                  <c:v>2000</c:v>
                </c:pt>
                <c:pt idx="3">
                  <c:v>2005</c:v>
                </c:pt>
                <c:pt idx="4">
                  <c:v>2010</c:v>
                </c:pt>
                <c:pt idx="5">
                  <c:v>2015</c:v>
                </c:pt>
                <c:pt idx="6">
                  <c:v>2020</c:v>
                </c:pt>
              </c:numCache>
            </c:numRef>
          </c:cat>
          <c:val>
            <c:numRef>
              <c:f>'Init. énergie'!$B$80:$H$80</c:f>
              <c:numCache>
                <c:formatCode>0</c:formatCode>
                <c:ptCount val="7"/>
                <c:pt idx="0">
                  <c:v>96.931239928014833</c:v>
                </c:pt>
                <c:pt idx="1">
                  <c:v>87.004717391657124</c:v>
                </c:pt>
                <c:pt idx="2">
                  <c:v>87.395910050408347</c:v>
                </c:pt>
                <c:pt idx="3">
                  <c:v>80.416397613434597</c:v>
                </c:pt>
                <c:pt idx="4">
                  <c:v>74.878682749879246</c:v>
                </c:pt>
                <c:pt idx="5">
                  <c:v>67.802754050118168</c:v>
                </c:pt>
                <c:pt idx="6">
                  <c:v>55.958701433044055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E-42F6-84A6-5EB8A7686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347327"/>
        <c:axId val="1096354399"/>
      </c:lineChart>
      <c:catAx>
        <c:axId val="109634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96354399"/>
        <c:crosses val="autoZero"/>
        <c:auto val="1"/>
        <c:lblAlgn val="ctr"/>
        <c:lblOffset val="100"/>
        <c:noMultiLvlLbl val="0"/>
      </c:catAx>
      <c:valAx>
        <c:axId val="109635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9634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Parc tertiaire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Résultats!$B$23</c:f>
              <c:strCache>
                <c:ptCount val="1"/>
                <c:pt idx="0">
                  <c:v>Neuf post 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Résultats!$C$8:$F$8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Résultats!$C$23:$F$23</c:f>
              <c:numCache>
                <c:formatCode>#,##0</c:formatCode>
                <c:ptCount val="4"/>
                <c:pt idx="0">
                  <c:v>0</c:v>
                </c:pt>
                <c:pt idx="1">
                  <c:v>40535.027287589772</c:v>
                </c:pt>
                <c:pt idx="2">
                  <c:v>40113.434969276423</c:v>
                </c:pt>
                <c:pt idx="3">
                  <c:v>34349.746574283592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8-4621-9EB7-F26240277A5A}"/>
            </c:ext>
          </c:extLst>
        </c:ser>
        <c:ser>
          <c:idx val="1"/>
          <c:order val="1"/>
          <c:tx>
            <c:strRef>
              <c:f>Résultats!$B$24</c:f>
              <c:strCache>
                <c:ptCount val="1"/>
                <c:pt idx="0">
                  <c:v>Existant 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Résultats!$C$8:$F$8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Résultats!$C$24:$F$24</c:f>
              <c:numCache>
                <c:formatCode>#,##0</c:formatCode>
                <c:ptCount val="4"/>
                <c:pt idx="0">
                  <c:v>983437.26386437996</c:v>
                </c:pt>
                <c:pt idx="1">
                  <c:v>938145.13887397386</c:v>
                </c:pt>
                <c:pt idx="2">
                  <c:v>933187.50696164765</c:v>
                </c:pt>
                <c:pt idx="3">
                  <c:v>913708.35660124128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8-4621-9EB7-F26240277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783488"/>
        <c:axId val="1017780992"/>
      </c:barChart>
      <c:catAx>
        <c:axId val="101778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7780992"/>
        <c:crosses val="autoZero"/>
        <c:auto val="1"/>
        <c:lblAlgn val="ctr"/>
        <c:lblOffset val="100"/>
        <c:noMultiLvlLbl val="0"/>
      </c:catAx>
      <c:valAx>
        <c:axId val="101778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778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1" i="0" u="none" strike="noStrike" baseline="0">
                <a:effectLst/>
              </a:rPr>
              <a:t>Consommation totale de chauffage en AME</a:t>
            </a:r>
            <a:r>
              <a:rPr lang="fr-FR" sz="1400" b="0" i="0" u="none" strike="noStrike" baseline="0"/>
              <a:t>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Résultats!$A$57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Résultats!$B$57:$E$57</c:f>
              <c:numCache>
                <c:formatCode>#,##0</c:formatCode>
                <c:ptCount val="4"/>
                <c:pt idx="0">
                  <c:v>17616.951122329348</c:v>
                </c:pt>
                <c:pt idx="1">
                  <c:v>11297.468250807611</c:v>
                </c:pt>
                <c:pt idx="2">
                  <c:v>7941.0667241759329</c:v>
                </c:pt>
                <c:pt idx="3">
                  <c:v>4954.6476412171005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2-470A-98DB-97B4ABBC0734}"/>
            </c:ext>
          </c:extLst>
        </c:ser>
        <c:ser>
          <c:idx val="1"/>
          <c:order val="1"/>
          <c:tx>
            <c:strRef>
              <c:f>Résultats!$A$58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Résultats!$B$58:$E$58</c:f>
              <c:numCache>
                <c:formatCode>#,##0</c:formatCode>
                <c:ptCount val="4"/>
                <c:pt idx="0">
                  <c:v>55781.687621801662</c:v>
                </c:pt>
                <c:pt idx="1">
                  <c:v>42002.457822620345</c:v>
                </c:pt>
                <c:pt idx="2">
                  <c:v>35696.678201983443</c:v>
                </c:pt>
                <c:pt idx="3">
                  <c:v>29361.621788966208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E2-470A-98DB-97B4ABBC0734}"/>
            </c:ext>
          </c:extLst>
        </c:ser>
        <c:ser>
          <c:idx val="2"/>
          <c:order val="2"/>
          <c:tx>
            <c:strRef>
              <c:f>Résultats!$A$59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Résultats!$B$59:$E$59</c:f>
              <c:numCache>
                <c:formatCode>#,##0</c:formatCode>
                <c:ptCount val="4"/>
                <c:pt idx="0">
                  <c:v>7403.8673734344638</c:v>
                </c:pt>
                <c:pt idx="1">
                  <c:v>7002.3070910458464</c:v>
                </c:pt>
                <c:pt idx="2">
                  <c:v>7231.7716620993215</c:v>
                </c:pt>
                <c:pt idx="3">
                  <c:v>7140.3089706562741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E2-470A-98DB-97B4ABBC0734}"/>
            </c:ext>
          </c:extLst>
        </c:ser>
        <c:ser>
          <c:idx val="3"/>
          <c:order val="3"/>
          <c:tx>
            <c:strRef>
              <c:f>Résultats!$A$60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Résultats!$B$60:$E$60</c:f>
              <c:numCache>
                <c:formatCode>#,##0</c:formatCode>
                <c:ptCount val="4"/>
                <c:pt idx="0">
                  <c:v>1289.7517720028777</c:v>
                </c:pt>
                <c:pt idx="1">
                  <c:v>1058.5093222667954</c:v>
                </c:pt>
                <c:pt idx="2">
                  <c:v>973.07071323112552</c:v>
                </c:pt>
                <c:pt idx="3">
                  <c:v>872.91205314746082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E2-470A-98DB-97B4ABBC0734}"/>
            </c:ext>
          </c:extLst>
        </c:ser>
        <c:ser>
          <c:idx val="4"/>
          <c:order val="4"/>
          <c:tx>
            <c:strRef>
              <c:f>Résultats!$A$61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Résultats!$B$61:$E$61</c:f>
              <c:numCache>
                <c:formatCode>#,##0</c:formatCode>
                <c:ptCount val="4"/>
                <c:pt idx="0">
                  <c:v>1320.0978712202</c:v>
                </c:pt>
                <c:pt idx="1">
                  <c:v>1263.3916659240613</c:v>
                </c:pt>
                <c:pt idx="2">
                  <c:v>1320.9315211125697</c:v>
                </c:pt>
                <c:pt idx="3">
                  <c:v>1323.4211674482669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E2-470A-98DB-97B4ABBC0734}"/>
            </c:ext>
          </c:extLst>
        </c:ser>
        <c:ser>
          <c:idx val="5"/>
          <c:order val="5"/>
          <c:tx>
            <c:strRef>
              <c:f>Résultats!$A$62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Résultats!$B$62:$E$62</c:f>
              <c:numCache>
                <c:formatCode>#,##0</c:formatCode>
                <c:ptCount val="4"/>
                <c:pt idx="0">
                  <c:v>17583.274511351989</c:v>
                </c:pt>
                <c:pt idx="1">
                  <c:v>15328.295166576165</c:v>
                </c:pt>
                <c:pt idx="2">
                  <c:v>15020.633449744862</c:v>
                </c:pt>
                <c:pt idx="3">
                  <c:v>14349.063756202755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E2-470A-98DB-97B4ABBC0734}"/>
            </c:ext>
          </c:extLst>
        </c:ser>
        <c:ser>
          <c:idx val="6"/>
          <c:order val="6"/>
          <c:tx>
            <c:strRef>
              <c:f>Résultats!$A$63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Résultats!$B$63:$E$63</c:f>
              <c:numCache>
                <c:formatCode>#,##0</c:formatCode>
                <c:ptCount val="4"/>
                <c:pt idx="0">
                  <c:v>2973.6797323412607</c:v>
                </c:pt>
                <c:pt idx="1">
                  <c:v>3699.6931964866644</c:v>
                </c:pt>
                <c:pt idx="2">
                  <c:v>4314.9847438355873</c:v>
                </c:pt>
                <c:pt idx="3">
                  <c:v>4628.7711908055444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E2-470A-98DB-97B4ABBC0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094832"/>
        <c:axId val="1242079440"/>
      </c:barChart>
      <c:catAx>
        <c:axId val="12420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79440"/>
        <c:crosses val="autoZero"/>
        <c:auto val="1"/>
        <c:lblAlgn val="ctr"/>
        <c:lblOffset val="100"/>
        <c:noMultiLvlLbl val="0"/>
      </c:catAx>
      <c:valAx>
        <c:axId val="124207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9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1" i="0" u="none" strike="noStrike" baseline="0">
                <a:effectLst/>
              </a:rPr>
              <a:t>Consommation de chauffage du parc suivant le décret en GWh AME</a:t>
            </a:r>
            <a:r>
              <a:rPr lang="fr-FR" sz="1400" b="0" i="0" u="none" strike="noStrike" baseline="0"/>
              <a:t>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Résultats!$A$81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Résultats!$B$81:$E$81</c:f>
              <c:numCache>
                <c:formatCode>#,##0</c:formatCode>
                <c:ptCount val="4"/>
                <c:pt idx="0">
                  <c:v>6456.0750370097485</c:v>
                </c:pt>
                <c:pt idx="1">
                  <c:v>3203.0851145541724</c:v>
                </c:pt>
                <c:pt idx="2">
                  <c:v>2150.7264726376497</c:v>
                </c:pt>
                <c:pt idx="3">
                  <c:v>1242.1545685741517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3-42CD-A851-C8AECE606C6E}"/>
            </c:ext>
          </c:extLst>
        </c:ser>
        <c:ser>
          <c:idx val="1"/>
          <c:order val="1"/>
          <c:tx>
            <c:strRef>
              <c:f>Résultats!$A$82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Résultats!$B$82:$E$82</c:f>
              <c:numCache>
                <c:formatCode>#,##0</c:formatCode>
                <c:ptCount val="4"/>
                <c:pt idx="0">
                  <c:v>19872.083990790863</c:v>
                </c:pt>
                <c:pt idx="1">
                  <c:v>11182.697670352452</c:v>
                </c:pt>
                <c:pt idx="2">
                  <c:v>8941.6961714400531</c:v>
                </c:pt>
                <c:pt idx="3">
                  <c:v>6748.4768609507164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23-42CD-A851-C8AECE606C6E}"/>
            </c:ext>
          </c:extLst>
        </c:ser>
        <c:ser>
          <c:idx val="2"/>
          <c:order val="2"/>
          <c:tx>
            <c:strRef>
              <c:f>Résultats!$A$83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Résultats!$B$83:$E$83</c:f>
              <c:numCache>
                <c:formatCode>#,##0</c:formatCode>
                <c:ptCount val="4"/>
                <c:pt idx="0">
                  <c:v>2766.7137386190825</c:v>
                </c:pt>
                <c:pt idx="1">
                  <c:v>1870.3752893218407</c:v>
                </c:pt>
                <c:pt idx="2">
                  <c:v>1774.3556367486319</c:v>
                </c:pt>
                <c:pt idx="3">
                  <c:v>1573.3412415021883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23-42CD-A851-C8AECE606C6E}"/>
            </c:ext>
          </c:extLst>
        </c:ser>
        <c:ser>
          <c:idx val="3"/>
          <c:order val="3"/>
          <c:tx>
            <c:strRef>
              <c:f>Résultats!$A$84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Résultats!$B$84:$E$84</c:f>
              <c:numCache>
                <c:formatCode>#,##0</c:formatCode>
                <c:ptCount val="4"/>
                <c:pt idx="0">
                  <c:v>471.46915147372886</c:v>
                </c:pt>
                <c:pt idx="1">
                  <c:v>284.06260620705774</c:v>
                </c:pt>
                <c:pt idx="2">
                  <c:v>246.31506872568485</c:v>
                </c:pt>
                <c:pt idx="3">
                  <c:v>204.39884417200466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23-42CD-A851-C8AECE606C6E}"/>
            </c:ext>
          </c:extLst>
        </c:ser>
        <c:ser>
          <c:idx val="4"/>
          <c:order val="4"/>
          <c:tx>
            <c:strRef>
              <c:f>Résultats!$A$85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Résultats!$B$85:$E$85</c:f>
              <c:numCache>
                <c:formatCode>#,##0</c:formatCode>
                <c:ptCount val="4"/>
                <c:pt idx="0">
                  <c:v>476.9305271185533</c:v>
                </c:pt>
                <c:pt idx="1">
                  <c:v>319.89322562579213</c:v>
                </c:pt>
                <c:pt idx="2">
                  <c:v>303.0799541536993</c:v>
                </c:pt>
                <c:pt idx="3">
                  <c:v>269.05547250340601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23-42CD-A851-C8AECE606C6E}"/>
            </c:ext>
          </c:extLst>
        </c:ser>
        <c:ser>
          <c:idx val="5"/>
          <c:order val="5"/>
          <c:tx>
            <c:strRef>
              <c:f>Résultats!$A$86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Résultats!$B$86:$E$86</c:f>
              <c:numCache>
                <c:formatCode>#,##0</c:formatCode>
                <c:ptCount val="4"/>
                <c:pt idx="0">
                  <c:v>5777.386807591326</c:v>
                </c:pt>
                <c:pt idx="1">
                  <c:v>3838.699990443426</c:v>
                </c:pt>
                <c:pt idx="2">
                  <c:v>3625.4572049521803</c:v>
                </c:pt>
                <c:pt idx="3">
                  <c:v>3240.3995234152853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23-42CD-A851-C8AECE606C6E}"/>
            </c:ext>
          </c:extLst>
        </c:ser>
        <c:ser>
          <c:idx val="6"/>
          <c:order val="6"/>
          <c:tx>
            <c:strRef>
              <c:f>Résultats!$A$87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Résultats!$B$87:$E$87</c:f>
              <c:numCache>
                <c:formatCode>#,##0</c:formatCode>
                <c:ptCount val="4"/>
                <c:pt idx="0">
                  <c:v>932.23784072152625</c:v>
                </c:pt>
                <c:pt idx="1">
                  <c:v>820.08508088134749</c:v>
                </c:pt>
                <c:pt idx="2">
                  <c:v>918.79037367796491</c:v>
                </c:pt>
                <c:pt idx="3">
                  <c:v>916.00577488608542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23-42CD-A851-C8AECE606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094832"/>
        <c:axId val="1242079440"/>
      </c:barChart>
      <c:catAx>
        <c:axId val="12420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79440"/>
        <c:crosses val="autoZero"/>
        <c:auto val="1"/>
        <c:lblAlgn val="ctr"/>
        <c:lblOffset val="100"/>
        <c:noMultiLvlLbl val="0"/>
      </c:catAx>
      <c:valAx>
        <c:axId val="124207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9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1" i="0" u="none" strike="noStrike" baseline="0">
                <a:effectLst/>
              </a:rPr>
              <a:t>Consommation de chauffage du parc hors décret en GWh AME</a:t>
            </a:r>
            <a:r>
              <a:rPr lang="fr-FR" sz="1400" b="0" i="0" u="none" strike="noStrike" baseline="0"/>
              <a:t>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Résultats!$A$93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Résultats!$B$93:$E$93</c:f>
              <c:numCache>
                <c:formatCode>#,##0</c:formatCode>
                <c:ptCount val="4"/>
                <c:pt idx="0">
                  <c:v>11160.8760853196</c:v>
                </c:pt>
                <c:pt idx="1">
                  <c:v>8071.3474690104031</c:v>
                </c:pt>
                <c:pt idx="2">
                  <c:v>5767.4334521038099</c:v>
                </c:pt>
                <c:pt idx="3">
                  <c:v>3692.9995029600459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8B-4D16-BAD2-55148B93858E}"/>
            </c:ext>
          </c:extLst>
        </c:ser>
        <c:ser>
          <c:idx val="1"/>
          <c:order val="1"/>
          <c:tx>
            <c:strRef>
              <c:f>Résultats!$A$94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Résultats!$B$94:$E$94</c:f>
              <c:numCache>
                <c:formatCode>#,##0</c:formatCode>
                <c:ptCount val="4"/>
                <c:pt idx="0">
                  <c:v>35909.603631010796</c:v>
                </c:pt>
                <c:pt idx="1">
                  <c:v>30036.818843649897</c:v>
                </c:pt>
                <c:pt idx="2">
                  <c:v>25978.978090435932</c:v>
                </c:pt>
                <c:pt idx="3">
                  <c:v>21968.309622378769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8B-4D16-BAD2-55148B93858E}"/>
            </c:ext>
          </c:extLst>
        </c:ser>
        <c:ser>
          <c:idx val="2"/>
          <c:order val="2"/>
          <c:tx>
            <c:strRef>
              <c:f>Résultats!$A$95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Résultats!$B$95:$E$95</c:f>
              <c:numCache>
                <c:formatCode>#,##0</c:formatCode>
                <c:ptCount val="4"/>
                <c:pt idx="0">
                  <c:v>4637.1536348153822</c:v>
                </c:pt>
                <c:pt idx="1">
                  <c:v>4876.6332618275537</c:v>
                </c:pt>
                <c:pt idx="2">
                  <c:v>5203.667637839817</c:v>
                </c:pt>
                <c:pt idx="3">
                  <c:v>5361.4732435530395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8B-4D16-BAD2-55148B93858E}"/>
            </c:ext>
          </c:extLst>
        </c:ser>
        <c:ser>
          <c:idx val="3"/>
          <c:order val="3"/>
          <c:tx>
            <c:strRef>
              <c:f>Résultats!$A$96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Résultats!$B$96:$E$96</c:f>
              <c:numCache>
                <c:formatCode>#,##0</c:formatCode>
                <c:ptCount val="4"/>
                <c:pt idx="0">
                  <c:v>818.28262052914909</c:v>
                </c:pt>
                <c:pt idx="1">
                  <c:v>731.26777460088306</c:v>
                </c:pt>
                <c:pt idx="2">
                  <c:v>683.7834953512513</c:v>
                </c:pt>
                <c:pt idx="3">
                  <c:v>633.59903398176937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8B-4D16-BAD2-55148B93858E}"/>
            </c:ext>
          </c:extLst>
        </c:ser>
        <c:ser>
          <c:idx val="4"/>
          <c:order val="4"/>
          <c:tx>
            <c:strRef>
              <c:f>Résultats!$A$97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Résultats!$B$97:$E$97</c:f>
              <c:numCache>
                <c:formatCode>#,##0</c:formatCode>
                <c:ptCount val="4"/>
                <c:pt idx="0">
                  <c:v>843.16734410164679</c:v>
                </c:pt>
                <c:pt idx="1">
                  <c:v>896.85484002903934</c:v>
                </c:pt>
                <c:pt idx="2">
                  <c:v>971.46796145396593</c:v>
                </c:pt>
                <c:pt idx="3">
                  <c:v>1016.8634187847798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8B-4D16-BAD2-55148B93858E}"/>
            </c:ext>
          </c:extLst>
        </c:ser>
        <c:ser>
          <c:idx val="5"/>
          <c:order val="5"/>
          <c:tx>
            <c:strRef>
              <c:f>Résultats!$A$98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Résultats!$B$98:$E$98</c:f>
              <c:numCache>
                <c:formatCode>#,##0</c:formatCode>
                <c:ptCount val="4"/>
                <c:pt idx="0">
                  <c:v>11805.88770376066</c:v>
                </c:pt>
                <c:pt idx="1">
                  <c:v>11264.60588754122</c:v>
                </c:pt>
                <c:pt idx="2">
                  <c:v>11173.290961024282</c:v>
                </c:pt>
                <c:pt idx="3">
                  <c:v>10907.736476069518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8B-4D16-BAD2-55148B93858E}"/>
            </c:ext>
          </c:extLst>
        </c:ser>
        <c:ser>
          <c:idx val="6"/>
          <c:order val="6"/>
          <c:tx>
            <c:strRef>
              <c:f>Résultats!$A$99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Résultats!$B$99:$E$99</c:f>
              <c:numCache>
                <c:formatCode>#,##0</c:formatCode>
                <c:ptCount val="4"/>
                <c:pt idx="0">
                  <c:v>2041.4418916197349</c:v>
                </c:pt>
                <c:pt idx="1">
                  <c:v>2614.7553693087548</c:v>
                </c:pt>
                <c:pt idx="2">
                  <c:v>3136.3887365520604</c:v>
                </c:pt>
                <c:pt idx="3">
                  <c:v>3483.445650812746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8B-4D16-BAD2-55148B938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094832"/>
        <c:axId val="1242079440"/>
      </c:barChart>
      <c:catAx>
        <c:axId val="12420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79440"/>
        <c:crosses val="autoZero"/>
        <c:auto val="1"/>
        <c:lblAlgn val="ctr"/>
        <c:lblOffset val="100"/>
        <c:noMultiLvlLbl val="0"/>
      </c:catAx>
      <c:valAx>
        <c:axId val="124207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9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503771444153896"/>
          <c:y val="0.82762253198897495"/>
          <c:w val="0.76023977522290231"/>
          <c:h val="0.172377468011025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Parc tertiaire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Résultats!$B$23</c:f>
              <c:strCache>
                <c:ptCount val="1"/>
                <c:pt idx="0">
                  <c:v>Neuf post 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Résultats!$Z$8:$AC$8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Résultats!$Z$23:$AC$23</c:f>
              <c:numCache>
                <c:formatCode>#,##0</c:formatCode>
                <c:ptCount val="4"/>
                <c:pt idx="0">
                  <c:v>0</c:v>
                </c:pt>
                <c:pt idx="1">
                  <c:v>40535.027287589772</c:v>
                </c:pt>
                <c:pt idx="2">
                  <c:v>39824.571990391036</c:v>
                </c:pt>
                <c:pt idx="3">
                  <c:v>33816.804003676378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3-435E-81BF-1F15E705C503}"/>
            </c:ext>
          </c:extLst>
        </c:ser>
        <c:ser>
          <c:idx val="1"/>
          <c:order val="1"/>
          <c:tx>
            <c:strRef>
              <c:f>Résultats!$B$24</c:f>
              <c:strCache>
                <c:ptCount val="1"/>
                <c:pt idx="0">
                  <c:v>Existant 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Résultats!$Z$8:$AC$8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Résultats!$Z$24:$AC$24</c:f>
              <c:numCache>
                <c:formatCode>#,##0</c:formatCode>
                <c:ptCount val="4"/>
                <c:pt idx="0">
                  <c:v>983437.26386437996</c:v>
                </c:pt>
                <c:pt idx="1">
                  <c:v>924771.85281446553</c:v>
                </c:pt>
                <c:pt idx="2">
                  <c:v>908803.10278279171</c:v>
                </c:pt>
                <c:pt idx="3">
                  <c:v>880829.32761576772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A3-435E-81BF-1F15E705C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783488"/>
        <c:axId val="1017780992"/>
      </c:barChart>
      <c:catAx>
        <c:axId val="101778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7780992"/>
        <c:crosses val="autoZero"/>
        <c:auto val="1"/>
        <c:lblAlgn val="ctr"/>
        <c:lblOffset val="100"/>
        <c:noMultiLvlLbl val="0"/>
      </c:catAx>
      <c:valAx>
        <c:axId val="101778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778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1" i="0" u="none" strike="noStrike" baseline="0">
                <a:effectLst/>
              </a:rPr>
              <a:t>Consommation totale de chauffage en AMS</a:t>
            </a:r>
            <a:r>
              <a:rPr lang="fr-FR" sz="1400" b="0" i="0" u="none" strike="noStrike" baseline="0"/>
              <a:t>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Résultats!$A$57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Résultats!$Y$57:$AB$57</c:f>
              <c:numCache>
                <c:formatCode>#,##0</c:formatCode>
                <c:ptCount val="4"/>
                <c:pt idx="0">
                  <c:v>17616.951122329348</c:v>
                </c:pt>
                <c:pt idx="1">
                  <c:v>1426.0443342909086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7-4539-AA67-0F702B6837F5}"/>
            </c:ext>
          </c:extLst>
        </c:ser>
        <c:ser>
          <c:idx val="1"/>
          <c:order val="1"/>
          <c:tx>
            <c:strRef>
              <c:f>Résultats!$A$58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Résultats!$Y$58:$AB$58</c:f>
              <c:numCache>
                <c:formatCode>#,##0</c:formatCode>
                <c:ptCount val="4"/>
                <c:pt idx="0">
                  <c:v>55781.687621801662</c:v>
                </c:pt>
                <c:pt idx="1">
                  <c:v>38700.098102229829</c:v>
                </c:pt>
                <c:pt idx="2">
                  <c:v>16342.910179259556</c:v>
                </c:pt>
                <c:pt idx="3">
                  <c:v>4008.4144285508805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27-4539-AA67-0F702B6837F5}"/>
            </c:ext>
          </c:extLst>
        </c:ser>
        <c:ser>
          <c:idx val="2"/>
          <c:order val="2"/>
          <c:tx>
            <c:strRef>
              <c:f>Résultats!$A$59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Résultats!$Y$59:$AB$59</c:f>
              <c:numCache>
                <c:formatCode>#,##0</c:formatCode>
                <c:ptCount val="4"/>
                <c:pt idx="0">
                  <c:v>7403.8673734344629</c:v>
                </c:pt>
                <c:pt idx="1">
                  <c:v>15130.362180840504</c:v>
                </c:pt>
                <c:pt idx="2">
                  <c:v>16005.214804247335</c:v>
                </c:pt>
                <c:pt idx="3">
                  <c:v>15392.025712749264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27-4539-AA67-0F702B6837F5}"/>
            </c:ext>
          </c:extLst>
        </c:ser>
        <c:ser>
          <c:idx val="3"/>
          <c:order val="3"/>
          <c:tx>
            <c:strRef>
              <c:f>Résultats!$A$60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Résultats!$Y$60:$AB$60</c:f>
              <c:numCache>
                <c:formatCode>#,##0</c:formatCode>
                <c:ptCount val="4"/>
                <c:pt idx="0">
                  <c:v>1289.7517720028777</c:v>
                </c:pt>
                <c:pt idx="1">
                  <c:v>735.22282381925186</c:v>
                </c:pt>
                <c:pt idx="2">
                  <c:v>418.5514671352534</c:v>
                </c:pt>
                <c:pt idx="3">
                  <c:v>45.884450268901659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27-4539-AA67-0F702B6837F5}"/>
            </c:ext>
          </c:extLst>
        </c:ser>
        <c:ser>
          <c:idx val="4"/>
          <c:order val="4"/>
          <c:tx>
            <c:strRef>
              <c:f>Résultats!$A$61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Résultats!$Y$61:$AB$61</c:f>
              <c:numCache>
                <c:formatCode>#,##0</c:formatCode>
                <c:ptCount val="4"/>
                <c:pt idx="0">
                  <c:v>1320.0978712202</c:v>
                </c:pt>
                <c:pt idx="1">
                  <c:v>1562.8097539039429</c:v>
                </c:pt>
                <c:pt idx="2">
                  <c:v>1988.5336508681992</c:v>
                </c:pt>
                <c:pt idx="3">
                  <c:v>2061.3582416247878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27-4539-AA67-0F702B6837F5}"/>
            </c:ext>
          </c:extLst>
        </c:ser>
        <c:ser>
          <c:idx val="5"/>
          <c:order val="5"/>
          <c:tx>
            <c:strRef>
              <c:f>Résultats!$A$62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Résultats!$Y$62:$AB$62</c:f>
              <c:numCache>
                <c:formatCode>#,##0</c:formatCode>
                <c:ptCount val="4"/>
                <c:pt idx="0">
                  <c:v>17583.274511351989</c:v>
                </c:pt>
                <c:pt idx="1">
                  <c:v>10059.433627924773</c:v>
                </c:pt>
                <c:pt idx="2">
                  <c:v>9255.9972041701276</c:v>
                </c:pt>
                <c:pt idx="3">
                  <c:v>7119.8021388929701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27-4539-AA67-0F702B6837F5}"/>
            </c:ext>
          </c:extLst>
        </c:ser>
        <c:ser>
          <c:idx val="6"/>
          <c:order val="6"/>
          <c:tx>
            <c:strRef>
              <c:f>Résultats!$A$63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Résultats!$Y$63:$AB$63</c:f>
              <c:numCache>
                <c:formatCode>#,##0</c:formatCode>
                <c:ptCount val="4"/>
                <c:pt idx="0">
                  <c:v>2973.6797323412607</c:v>
                </c:pt>
                <c:pt idx="1">
                  <c:v>9419.5137165582801</c:v>
                </c:pt>
                <c:pt idx="2">
                  <c:v>15321.15429858664</c:v>
                </c:pt>
                <c:pt idx="3">
                  <c:v>17759.025876732521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27-4539-AA67-0F702B683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094832"/>
        <c:axId val="1242079440"/>
      </c:barChart>
      <c:catAx>
        <c:axId val="12420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79440"/>
        <c:crosses val="autoZero"/>
        <c:auto val="1"/>
        <c:lblAlgn val="ctr"/>
        <c:lblOffset val="100"/>
        <c:noMultiLvlLbl val="0"/>
      </c:catAx>
      <c:valAx>
        <c:axId val="124207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9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1" i="0" u="none" strike="noStrike" baseline="0">
                <a:effectLst/>
              </a:rPr>
              <a:t>Consommation de chauffage du parc suivant le décret en GWh AMS</a:t>
            </a:r>
            <a:r>
              <a:rPr lang="fr-FR" sz="1400" b="0" i="0" u="none" strike="noStrike" baseline="0"/>
              <a:t>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Résultats!$A$81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Résultats!$Y$81:$AB$81</c:f>
              <c:numCache>
                <c:formatCode>#,##0</c:formatCode>
                <c:ptCount val="4"/>
                <c:pt idx="0">
                  <c:v>14546.581962408953</c:v>
                </c:pt>
                <c:pt idx="1">
                  <c:v>1199.3679369909769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7-4BDC-9271-374D7BB41563}"/>
            </c:ext>
          </c:extLst>
        </c:ser>
        <c:ser>
          <c:idx val="1"/>
          <c:order val="1"/>
          <c:tx>
            <c:strRef>
              <c:f>Résultats!$A$82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Résultats!$Y$82:$AB$82</c:f>
              <c:numCache>
                <c:formatCode>#,##0</c:formatCode>
                <c:ptCount val="4"/>
                <c:pt idx="0">
                  <c:v>45318.312693044652</c:v>
                </c:pt>
                <c:pt idx="1">
                  <c:v>30732.827350342759</c:v>
                </c:pt>
                <c:pt idx="2">
                  <c:v>12939.602753624255</c:v>
                </c:pt>
                <c:pt idx="3">
                  <c:v>3091.6118272741746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7-4BDC-9271-374D7BB41563}"/>
            </c:ext>
          </c:extLst>
        </c:ser>
        <c:ser>
          <c:idx val="2"/>
          <c:order val="2"/>
          <c:tx>
            <c:strRef>
              <c:f>Résultats!$A$83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Résultats!$Y$83:$AB$83</c:f>
              <c:numCache>
                <c:formatCode>#,##0</c:formatCode>
                <c:ptCount val="4"/>
                <c:pt idx="0">
                  <c:v>6199.2059430375011</c:v>
                </c:pt>
                <c:pt idx="1">
                  <c:v>11561.782767002283</c:v>
                </c:pt>
                <c:pt idx="2">
                  <c:v>12215.564047507583</c:v>
                </c:pt>
                <c:pt idx="3">
                  <c:v>11781.282609257221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7-4BDC-9271-374D7BB41563}"/>
            </c:ext>
          </c:extLst>
        </c:ser>
        <c:ser>
          <c:idx val="3"/>
          <c:order val="3"/>
          <c:tx>
            <c:strRef>
              <c:f>Résultats!$A$84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Résultats!$Y$84:$AB$84</c:f>
              <c:numCache>
                <c:formatCode>#,##0</c:formatCode>
                <c:ptCount val="4"/>
                <c:pt idx="0">
                  <c:v>1065.7368363205533</c:v>
                </c:pt>
                <c:pt idx="1">
                  <c:v>541.73803715224949</c:v>
                </c:pt>
                <c:pt idx="2">
                  <c:v>292.84513275262481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7-4BDC-9271-374D7BB41563}"/>
            </c:ext>
          </c:extLst>
        </c:ser>
        <c:ser>
          <c:idx val="4"/>
          <c:order val="4"/>
          <c:tx>
            <c:strRef>
              <c:f>Résultats!$A$85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Résultats!$Y$85:$AB$85</c:f>
              <c:numCache>
                <c:formatCode>#,##0</c:formatCode>
                <c:ptCount val="4"/>
                <c:pt idx="0">
                  <c:v>1080.226352439347</c:v>
                </c:pt>
                <c:pt idx="1">
                  <c:v>1162.5081269891277</c:v>
                </c:pt>
                <c:pt idx="2">
                  <c:v>1462.1616543452326</c:v>
                </c:pt>
                <c:pt idx="3">
                  <c:v>1449.3645461016047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7-4BDC-9271-374D7BB41563}"/>
            </c:ext>
          </c:extLst>
        </c:ser>
        <c:ser>
          <c:idx val="5"/>
          <c:order val="5"/>
          <c:tx>
            <c:strRef>
              <c:f>Résultats!$A$86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Résultats!$Y$86:$AB$86</c:f>
              <c:numCache>
                <c:formatCode>#,##0</c:formatCode>
                <c:ptCount val="4"/>
                <c:pt idx="0">
                  <c:v>13612.830058562633</c:v>
                </c:pt>
                <c:pt idx="1">
                  <c:v>7621.3200107337007</c:v>
                </c:pt>
                <c:pt idx="2">
                  <c:v>7220.3109814088248</c:v>
                </c:pt>
                <c:pt idx="3">
                  <c:v>5633.2699741540646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7-4BDC-9271-374D7BB41563}"/>
            </c:ext>
          </c:extLst>
        </c:ser>
        <c:ser>
          <c:idx val="6"/>
          <c:order val="6"/>
          <c:tx>
            <c:strRef>
              <c:f>Résultats!$A$87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Résultats!$Y$87:$AB$87</c:f>
              <c:numCache>
                <c:formatCode>#,##0</c:formatCode>
                <c:ptCount val="4"/>
                <c:pt idx="0">
                  <c:v>2244.6647472493396</c:v>
                </c:pt>
                <c:pt idx="1">
                  <c:v>6744.5168720732909</c:v>
                </c:pt>
                <c:pt idx="2">
                  <c:v>11440.748732912441</c:v>
                </c:pt>
                <c:pt idx="3">
                  <c:v>13505.94072378614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67-4BDC-9271-374D7BB41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094832"/>
        <c:axId val="1242079440"/>
      </c:barChart>
      <c:catAx>
        <c:axId val="12420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79440"/>
        <c:crosses val="autoZero"/>
        <c:auto val="1"/>
        <c:lblAlgn val="ctr"/>
        <c:lblOffset val="100"/>
        <c:noMultiLvlLbl val="0"/>
      </c:catAx>
      <c:valAx>
        <c:axId val="124207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9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1" i="0" u="none" strike="noStrike" baseline="0">
                <a:effectLst/>
              </a:rPr>
              <a:t>Consommation de chauffage du du parc hors décret en GWh AMS</a:t>
            </a:r>
            <a:r>
              <a:rPr lang="fr-FR" sz="1400" b="0" i="0" u="none" strike="noStrike" baseline="0"/>
              <a:t>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Résultats!$A$93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Résultats!$Y$93:$AB$93</c:f>
              <c:numCache>
                <c:formatCode>#,##0</c:formatCode>
                <c:ptCount val="4"/>
                <c:pt idx="0">
                  <c:v>3070.3691599203953</c:v>
                </c:pt>
                <c:pt idx="1">
                  <c:v>226.67639729993166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8-41BF-8E5E-FC2D03167088}"/>
            </c:ext>
          </c:extLst>
        </c:ser>
        <c:ser>
          <c:idx val="1"/>
          <c:order val="1"/>
          <c:tx>
            <c:strRef>
              <c:f>Résultats!$A$94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Résultats!$Y$94:$AB$94</c:f>
              <c:numCache>
                <c:formatCode>#,##0</c:formatCode>
                <c:ptCount val="4"/>
                <c:pt idx="0">
                  <c:v>10463.374928757014</c:v>
                </c:pt>
                <c:pt idx="1">
                  <c:v>7949.804496735198</c:v>
                </c:pt>
                <c:pt idx="2">
                  <c:v>3388.0012302181162</c:v>
                </c:pt>
                <c:pt idx="3">
                  <c:v>905.99698379384733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F8-41BF-8E5E-FC2D03167088}"/>
            </c:ext>
          </c:extLst>
        </c:ser>
        <c:ser>
          <c:idx val="2"/>
          <c:order val="2"/>
          <c:tx>
            <c:strRef>
              <c:f>Résultats!$A$95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Résultats!$Y$95:$AB$95</c:f>
              <c:numCache>
                <c:formatCode>#,##0</c:formatCode>
                <c:ptCount val="4"/>
                <c:pt idx="0">
                  <c:v>1204.6614303969627</c:v>
                </c:pt>
                <c:pt idx="1">
                  <c:v>2778.0915972719158</c:v>
                </c:pt>
                <c:pt idx="2">
                  <c:v>3001.1327934256642</c:v>
                </c:pt>
                <c:pt idx="3">
                  <c:v>2980.0134589247418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F8-41BF-8E5E-FC2D03167088}"/>
            </c:ext>
          </c:extLst>
        </c:ser>
        <c:ser>
          <c:idx val="3"/>
          <c:order val="3"/>
          <c:tx>
            <c:strRef>
              <c:f>Résultats!$A$96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Résultats!$Y$96:$AB$96</c:f>
              <c:numCache>
                <c:formatCode>#,##0</c:formatCode>
                <c:ptCount val="4"/>
                <c:pt idx="0">
                  <c:v>224.01493568232473</c:v>
                </c:pt>
                <c:pt idx="1">
                  <c:v>132.79230517081618</c:v>
                </c:pt>
                <c:pt idx="2">
                  <c:v>67.468110706605557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F8-41BF-8E5E-FC2D03167088}"/>
            </c:ext>
          </c:extLst>
        </c:ser>
        <c:ser>
          <c:idx val="4"/>
          <c:order val="4"/>
          <c:tx>
            <c:strRef>
              <c:f>Résultats!$A$97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Résultats!$Y$97:$AB$97</c:f>
              <c:numCache>
                <c:formatCode>#,##0</c:formatCode>
                <c:ptCount val="4"/>
                <c:pt idx="0">
                  <c:v>239.87151878085308</c:v>
                </c:pt>
                <c:pt idx="1">
                  <c:v>308.56869326034263</c:v>
                </c:pt>
                <c:pt idx="2">
                  <c:v>392.33333537848961</c:v>
                </c:pt>
                <c:pt idx="3">
                  <c:v>433.67184626245404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F8-41BF-8E5E-FC2D03167088}"/>
            </c:ext>
          </c:extLst>
        </c:ser>
        <c:ser>
          <c:idx val="5"/>
          <c:order val="5"/>
          <c:tx>
            <c:strRef>
              <c:f>Résultats!$A$98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Résultats!$Y$98:$AB$98</c:f>
              <c:numCache>
                <c:formatCode>#,##0</c:formatCode>
                <c:ptCount val="4"/>
                <c:pt idx="0">
                  <c:v>3970.4444527893561</c:v>
                </c:pt>
                <c:pt idx="1">
                  <c:v>2074.2032656652427</c:v>
                </c:pt>
                <c:pt idx="2">
                  <c:v>1938.2720843407899</c:v>
                </c:pt>
                <c:pt idx="3">
                  <c:v>1454.7959092030094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F8-41BF-8E5E-FC2D03167088}"/>
            </c:ext>
          </c:extLst>
        </c:ser>
        <c:ser>
          <c:idx val="6"/>
          <c:order val="6"/>
          <c:tx>
            <c:strRef>
              <c:f>Résultats!$A$99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Résultats!$Y$99:$AB$99</c:f>
              <c:numCache>
                <c:formatCode>#,##0</c:formatCode>
                <c:ptCount val="4"/>
                <c:pt idx="0">
                  <c:v>729.01498509192174</c:v>
                </c:pt>
                <c:pt idx="1">
                  <c:v>1951.8786548018807</c:v>
                </c:pt>
                <c:pt idx="2">
                  <c:v>3023.6223668384218</c:v>
                </c:pt>
                <c:pt idx="3">
                  <c:v>3516.3241691566968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F8-41BF-8E5E-FC2D03167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094832"/>
        <c:axId val="1242079440"/>
      </c:barChart>
      <c:catAx>
        <c:axId val="12420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79440"/>
        <c:crosses val="autoZero"/>
        <c:auto val="1"/>
        <c:lblAlgn val="ctr"/>
        <c:lblOffset val="100"/>
        <c:noMultiLvlLbl val="0"/>
      </c:catAx>
      <c:valAx>
        <c:axId val="124207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9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Résultats!$A$29</c:f>
              <c:strCache>
                <c:ptCount val="1"/>
                <c:pt idx="0">
                  <c:v>Chauffage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Résultats!$B$28:$E$28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Résultats!$B$29:$E$29</c:f>
              <c:numCache>
                <c:formatCode>#,##0</c:formatCode>
                <c:ptCount val="4"/>
                <c:pt idx="0">
                  <c:v>112000</c:v>
                </c:pt>
                <c:pt idx="1">
                  <c:v>87959.011379100833</c:v>
                </c:pt>
                <c:pt idx="2">
                  <c:v>78099.040432820562</c:v>
                </c:pt>
                <c:pt idx="3">
                  <c:v>67468.405968677718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9D-4947-BA4A-E39F1E48E90D}"/>
            </c:ext>
          </c:extLst>
        </c:ser>
        <c:ser>
          <c:idx val="1"/>
          <c:order val="1"/>
          <c:tx>
            <c:strRef>
              <c:f>Résultats!$A$30</c:f>
              <c:strCache>
                <c:ptCount val="1"/>
                <c:pt idx="0">
                  <c:v>Hors chauffage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Résultats!$B$28:$E$28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Résultats!$B$30:$E$30</c:f>
              <c:numCache>
                <c:formatCode>#,##0</c:formatCode>
                <c:ptCount val="4"/>
                <c:pt idx="0">
                  <c:v>149878.94190793534</c:v>
                </c:pt>
                <c:pt idx="1">
                  <c:v>149524.47597301926</c:v>
                </c:pt>
                <c:pt idx="2">
                  <c:v>139814.68644331917</c:v>
                </c:pt>
                <c:pt idx="3">
                  <c:v>165373.46480993007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9D-4947-BA4A-E39F1E48E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118207"/>
        <c:axId val="1895409135"/>
      </c:areaChart>
      <c:catAx>
        <c:axId val="1648118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95409135"/>
        <c:crosses val="autoZero"/>
        <c:auto val="1"/>
        <c:lblAlgn val="ctr"/>
        <c:lblOffset val="100"/>
        <c:noMultiLvlLbl val="0"/>
      </c:catAx>
      <c:valAx>
        <c:axId val="189540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48118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Résultats!$A$29</c:f>
              <c:strCache>
                <c:ptCount val="1"/>
                <c:pt idx="0">
                  <c:v>Chauffage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Résultats!$Y$28:$AB$28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Résultats!$Y$29:$AB$29</c:f>
              <c:numCache>
                <c:formatCode>#,##0</c:formatCode>
                <c:ptCount val="4"/>
                <c:pt idx="0">
                  <c:v>103969.31000448181</c:v>
                </c:pt>
                <c:pt idx="1">
                  <c:v>77033.484539567493</c:v>
                </c:pt>
                <c:pt idx="2">
                  <c:v>59332.361604267106</c:v>
                </c:pt>
                <c:pt idx="3">
                  <c:v>46386.510848819322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1-4B0B-9399-400D1379574E}"/>
            </c:ext>
          </c:extLst>
        </c:ser>
        <c:ser>
          <c:idx val="1"/>
          <c:order val="1"/>
          <c:tx>
            <c:strRef>
              <c:f>Résultats!$A$30</c:f>
              <c:strCache>
                <c:ptCount val="1"/>
                <c:pt idx="0">
                  <c:v>Hors chauffage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Résultats!$Y$28:$AB$28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Résultats!$Y$30:$AB$30</c:f>
              <c:numCache>
                <c:formatCode>#,##0</c:formatCode>
                <c:ptCount val="4"/>
                <c:pt idx="0">
                  <c:v>153773.48583951325</c:v>
                </c:pt>
                <c:pt idx="1">
                  <c:v>126487.58127189633</c:v>
                </c:pt>
                <c:pt idx="2">
                  <c:v>104468.33183783325</c:v>
                </c:pt>
                <c:pt idx="3">
                  <c:v>104071.02509957238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11-4B0B-9399-400D13795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118207"/>
        <c:axId val="1895409135"/>
      </c:areaChart>
      <c:catAx>
        <c:axId val="1648118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95409135"/>
        <c:crosses val="autoZero"/>
        <c:auto val="1"/>
        <c:lblAlgn val="ctr"/>
        <c:lblOffset val="100"/>
        <c:noMultiLvlLbl val="0"/>
      </c:catAx>
      <c:valAx>
        <c:axId val="189540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48118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24759405074366"/>
          <c:y val="5.0925925925925923E-2"/>
          <c:w val="0.85219685039370074"/>
          <c:h val="0.683686934966462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Résultats!$A$34</c:f>
              <c:strCache>
                <c:ptCount val="1"/>
                <c:pt idx="0">
                  <c:v>Energie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Résultats!$B$34:$E$34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Résultats!$B$34:$E$34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3-4B03-81FB-0333B09A8D98}"/>
            </c:ext>
          </c:extLst>
        </c:ser>
        <c:ser>
          <c:idx val="1"/>
          <c:order val="1"/>
          <c:tx>
            <c:strRef>
              <c:f>Résultats!$A$35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Résultats!$B$34:$E$34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Résultats!$B$35:$E$35</c:f>
              <c:numCache>
                <c:formatCode>#,##0</c:formatCode>
                <c:ptCount val="4"/>
                <c:pt idx="0">
                  <c:v>22575.747147702648</c:v>
                </c:pt>
                <c:pt idx="1">
                  <c:v>13559.997492593444</c:v>
                </c:pt>
                <c:pt idx="2">
                  <c:v>9653.5144072397889</c:v>
                </c:pt>
                <c:pt idx="3">
                  <c:v>6141.0868515703332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3-4B03-81FB-0333B09A8D98}"/>
            </c:ext>
          </c:extLst>
        </c:ser>
        <c:ser>
          <c:idx val="2"/>
          <c:order val="2"/>
          <c:tx>
            <c:strRef>
              <c:f>Résultats!$A$36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Résultats!$B$34:$E$34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Résultats!$B$36:$E$36</c:f>
              <c:numCache>
                <c:formatCode>#,##0</c:formatCode>
                <c:ptCount val="4"/>
                <c:pt idx="0">
                  <c:v>72833.038691413894</c:v>
                </c:pt>
                <c:pt idx="1">
                  <c:v>57523.250940248967</c:v>
                </c:pt>
                <c:pt idx="2">
                  <c:v>49605.727926283216</c:v>
                </c:pt>
                <c:pt idx="3">
                  <c:v>41561.338584982688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63-4B03-81FB-0333B09A8D98}"/>
            </c:ext>
          </c:extLst>
        </c:ser>
        <c:ser>
          <c:idx val="3"/>
          <c:order val="3"/>
          <c:tx>
            <c:strRef>
              <c:f>Résultats!$A$37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Résultats!$B$34:$E$34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Résultats!$B$37:$E$37</c:f>
              <c:numCache>
                <c:formatCode>#,##0</c:formatCode>
                <c:ptCount val="4"/>
                <c:pt idx="0">
                  <c:v>8954.3605099020479</c:v>
                </c:pt>
                <c:pt idx="1">
                  <c:v>8803.0785967831234</c:v>
                </c:pt>
                <c:pt idx="2">
                  <c:v>8418.2108724525533</c:v>
                </c:pt>
                <c:pt idx="3">
                  <c:v>8788.3514649235367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63-4B03-81FB-0333B09A8D98}"/>
            </c:ext>
          </c:extLst>
        </c:ser>
        <c:ser>
          <c:idx val="4"/>
          <c:order val="4"/>
          <c:tx>
            <c:strRef>
              <c:f>Résultats!$A$38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Résultats!$B$34:$E$34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Résultats!$B$38:$E$38</c:f>
              <c:numCache>
                <c:formatCode>#,##0</c:formatCode>
                <c:ptCount val="4"/>
                <c:pt idx="0">
                  <c:v>1289.7517720028777</c:v>
                </c:pt>
                <c:pt idx="1">
                  <c:v>1058.5093222667954</c:v>
                </c:pt>
                <c:pt idx="2">
                  <c:v>973.07071323112552</c:v>
                </c:pt>
                <c:pt idx="3">
                  <c:v>872.91205314746082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63-4B03-81FB-0333B09A8D98}"/>
            </c:ext>
          </c:extLst>
        </c:ser>
        <c:ser>
          <c:idx val="5"/>
          <c:order val="5"/>
          <c:tx>
            <c:strRef>
              <c:f>Résultats!$A$39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Résultats!$B$34:$E$34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Résultats!$B$39:$E$39</c:f>
              <c:numCache>
                <c:formatCode>#,##0</c:formatCode>
                <c:ptCount val="4"/>
                <c:pt idx="0">
                  <c:v>1534.7132211306516</c:v>
                </c:pt>
                <c:pt idx="1">
                  <c:v>1511.6916395397911</c:v>
                </c:pt>
                <c:pt idx="2">
                  <c:v>1586.9344790575515</c:v>
                </c:pt>
                <c:pt idx="3">
                  <c:v>1600.6128318528688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63-4B03-81FB-0333B09A8D98}"/>
            </c:ext>
          </c:extLst>
        </c:ser>
        <c:ser>
          <c:idx val="6"/>
          <c:order val="6"/>
          <c:tx>
            <c:strRef>
              <c:f>Résultats!$A$40</c:f>
              <c:strCache>
                <c:ptCount val="1"/>
                <c:pt idx="0">
                  <c:v>Electricité (PAC incluses)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Résultats!$B$34:$E$34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Résultats!$B$40:$E$40</c:f>
              <c:numCache>
                <c:formatCode>#,##0</c:formatCode>
                <c:ptCount val="4"/>
                <c:pt idx="0">
                  <c:v>146660.64057026504</c:v>
                </c:pt>
                <c:pt idx="1">
                  <c:v>148720.07049731462</c:v>
                </c:pt>
                <c:pt idx="2">
                  <c:v>142076.3650612378</c:v>
                </c:pt>
                <c:pt idx="3">
                  <c:v>169039.90959189678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63-4B03-81FB-0333B09A8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7548031"/>
        <c:axId val="1727546783"/>
      </c:barChart>
      <c:catAx>
        <c:axId val="172754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7546783"/>
        <c:crosses val="autoZero"/>
        <c:auto val="1"/>
        <c:lblAlgn val="ctr"/>
        <c:lblOffset val="100"/>
        <c:noMultiLvlLbl val="0"/>
      </c:catAx>
      <c:valAx>
        <c:axId val="172754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754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7824803149606284E-2"/>
          <c:y val="0.82349372995042291"/>
          <c:w val="0.87490594925634291"/>
          <c:h val="0.148728492271799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48067962486376"/>
          <c:y val="5.3528001045271202E-2"/>
          <c:w val="0.85190302106388238"/>
          <c:h val="0.623729333103435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Résultats!$X$34</c:f>
              <c:strCache>
                <c:ptCount val="1"/>
                <c:pt idx="0">
                  <c:v>Energie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Résultats!$Y$34:$AB$34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Résultats!$Y$34:$AB$34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F-45B1-977A-EEA61785EC9F}"/>
            </c:ext>
          </c:extLst>
        </c:ser>
        <c:ser>
          <c:idx val="1"/>
          <c:order val="1"/>
          <c:tx>
            <c:strRef>
              <c:f>Résultats!$X$35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Résultats!$Y$34:$AB$34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Résultats!$Y$35:$AB$35</c:f>
              <c:numCache>
                <c:formatCode>#,##0</c:formatCode>
                <c:ptCount val="4"/>
                <c:pt idx="0">
                  <c:v>22575.747147702648</c:v>
                </c:pt>
                <c:pt idx="1">
                  <c:v>1801.1648496163389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F-45B1-977A-EEA61785EC9F}"/>
            </c:ext>
          </c:extLst>
        </c:ser>
        <c:ser>
          <c:idx val="2"/>
          <c:order val="2"/>
          <c:tx>
            <c:strRef>
              <c:f>Résultats!$X$36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Résultats!$Y$34:$AB$34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Résultats!$Y$36:$AB$36</c:f>
              <c:numCache>
                <c:formatCode>#,##0</c:formatCode>
                <c:ptCount val="4"/>
                <c:pt idx="0">
                  <c:v>72833.038691413894</c:v>
                </c:pt>
                <c:pt idx="1">
                  <c:v>47105.247492384035</c:v>
                </c:pt>
                <c:pt idx="2">
                  <c:v>20929.823477959391</c:v>
                </c:pt>
                <c:pt idx="3">
                  <c:v>5878.3191431293026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F-45B1-977A-EEA61785EC9F}"/>
            </c:ext>
          </c:extLst>
        </c:ser>
        <c:ser>
          <c:idx val="3"/>
          <c:order val="3"/>
          <c:tx>
            <c:strRef>
              <c:f>Résultats!$X$37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Résultats!$Y$34:$AB$34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Résultats!$Y$37:$AB$37</c:f>
              <c:numCache>
                <c:formatCode>#,##0</c:formatCode>
                <c:ptCount val="4"/>
                <c:pt idx="0">
                  <c:v>8954.3605099020479</c:v>
                </c:pt>
                <c:pt idx="1">
                  <c:v>17005.964757467656</c:v>
                </c:pt>
                <c:pt idx="2">
                  <c:v>16005.214804247335</c:v>
                </c:pt>
                <c:pt idx="3">
                  <c:v>16945.972546197409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BF-45B1-977A-EEA61785EC9F}"/>
            </c:ext>
          </c:extLst>
        </c:ser>
        <c:ser>
          <c:idx val="4"/>
          <c:order val="4"/>
          <c:tx>
            <c:strRef>
              <c:f>Résultats!$X$38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Résultats!$Y$34:$AB$34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Résultats!$Y$38:$AB$38</c:f>
              <c:numCache>
                <c:formatCode>#,##0</c:formatCode>
                <c:ptCount val="4"/>
                <c:pt idx="0">
                  <c:v>1289.7517720028777</c:v>
                </c:pt>
                <c:pt idx="1">
                  <c:v>735.22282381925186</c:v>
                </c:pt>
                <c:pt idx="2">
                  <c:v>418.5514671352534</c:v>
                </c:pt>
                <c:pt idx="3">
                  <c:v>45.884450268901659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BF-45B1-977A-EEA61785EC9F}"/>
            </c:ext>
          </c:extLst>
        </c:ser>
        <c:ser>
          <c:idx val="5"/>
          <c:order val="5"/>
          <c:tx>
            <c:strRef>
              <c:f>Résultats!$X$39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Résultats!$Y$34:$AB$34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Résultats!$Y$39:$AB$39</c:f>
              <c:numCache>
                <c:formatCode>#,##0</c:formatCode>
                <c:ptCount val="4"/>
                <c:pt idx="0">
                  <c:v>1534.7132211306516</c:v>
                </c:pt>
                <c:pt idx="1">
                  <c:v>2218.9562354164746</c:v>
                </c:pt>
                <c:pt idx="2">
                  <c:v>2530.5477741914988</c:v>
                </c:pt>
                <c:pt idx="3">
                  <c:v>2515.0231301300641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BF-45B1-977A-EEA61785EC9F}"/>
            </c:ext>
          </c:extLst>
        </c:ser>
        <c:ser>
          <c:idx val="6"/>
          <c:order val="6"/>
          <c:tx>
            <c:strRef>
              <c:f>Résultats!$X$40</c:f>
              <c:strCache>
                <c:ptCount val="1"/>
                <c:pt idx="0">
                  <c:v>Electricité (PAC incluses)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Résultats!$Y$34:$AB$34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Résultats!$Y$40:$AB$40</c:f>
              <c:numCache>
                <c:formatCode>#,##0</c:formatCode>
                <c:ptCount val="4"/>
                <c:pt idx="0">
                  <c:v>150555.18450184294</c:v>
                </c:pt>
                <c:pt idx="1">
                  <c:v>133717.6461657348</c:v>
                </c:pt>
                <c:pt idx="2">
                  <c:v>122756.53152211031</c:v>
                </c:pt>
                <c:pt idx="3">
                  <c:v>123778.67593982043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BF-45B1-977A-EEA61785E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9923087"/>
        <c:axId val="1649920591"/>
      </c:barChart>
      <c:catAx>
        <c:axId val="164992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49920591"/>
        <c:crosses val="autoZero"/>
        <c:auto val="1"/>
        <c:lblAlgn val="ctr"/>
        <c:lblOffset val="100"/>
        <c:noMultiLvlLbl val="0"/>
      </c:catAx>
      <c:valAx>
        <c:axId val="164992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4992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3685218420010485E-2"/>
          <c:y val="0.75608100082380203"/>
          <c:w val="0.82932914362682386"/>
          <c:h val="0.21958818307112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1" i="0" u="none" strike="noStrike" baseline="0">
                <a:effectLst/>
              </a:rPr>
              <a:t>Consommation hors chauffage en GWh AME</a:t>
            </a:r>
            <a:r>
              <a:rPr lang="fr-FR" sz="1400" b="0" i="0" u="none" strike="noStrike" baseline="0"/>
              <a:t>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Résultats!$A$114</c:f>
              <c:strCache>
                <c:ptCount val="1"/>
                <c:pt idx="0">
                  <c:v>Electricité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Résultats!$B$114:$E$114</c:f>
              <c:numCache>
                <c:formatCode>_-* #\ ##0_-;\-* #\ ##0_-;_-* "-"??_-;_-@_-</c:formatCode>
                <c:ptCount val="4"/>
                <c:pt idx="0">
                  <c:v>126103.68632657178</c:v>
                </c:pt>
                <c:pt idx="1">
                  <c:v>129692.08213425179</c:v>
                </c:pt>
                <c:pt idx="2">
                  <c:v>122740.74686765735</c:v>
                </c:pt>
                <c:pt idx="3">
                  <c:v>150062.07464488849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9-4E0F-8169-7D149F47CDAC}"/>
            </c:ext>
          </c:extLst>
        </c:ser>
        <c:ser>
          <c:idx val="1"/>
          <c:order val="1"/>
          <c:tx>
            <c:strRef>
              <c:f>Résultats!$A$115</c:f>
              <c:strCache>
                <c:ptCount val="1"/>
                <c:pt idx="0">
                  <c:v>Gaz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Résultats!$B$115:$E$115</c:f>
              <c:numCache>
                <c:formatCode>_-* #\ ##0_-;\-* #\ ##0_-;_-* "-"??_-;_-@_-</c:formatCode>
                <c:ptCount val="4"/>
                <c:pt idx="0">
                  <c:v>17051.351069612236</c:v>
                </c:pt>
                <c:pt idx="1">
                  <c:v>15520.793117628622</c:v>
                </c:pt>
                <c:pt idx="2">
                  <c:v>13909.049724299775</c:v>
                </c:pt>
                <c:pt idx="3">
                  <c:v>12199.716796016482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19-4E0F-8169-7D149F47CDAC}"/>
            </c:ext>
          </c:extLst>
        </c:ser>
        <c:ser>
          <c:idx val="2"/>
          <c:order val="2"/>
          <c:tx>
            <c:strRef>
              <c:f>Résultats!$A$116</c:f>
              <c:strCache>
                <c:ptCount val="1"/>
                <c:pt idx="0">
                  <c:v>Pétrole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Résultats!$B$116:$E$116</c:f>
              <c:numCache>
                <c:formatCode>_-* #\ ##0_-;\-* #\ ##0_-;_-* "-"??_-;_-@_-</c:formatCode>
                <c:ptCount val="4"/>
                <c:pt idx="0">
                  <c:v>4958.7960253733008</c:v>
                </c:pt>
                <c:pt idx="1">
                  <c:v>2262.5292417858323</c:v>
                </c:pt>
                <c:pt idx="2">
                  <c:v>1712.4476830638553</c:v>
                </c:pt>
                <c:pt idx="3">
                  <c:v>1186.4392103532323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19-4E0F-8169-7D149F47CDAC}"/>
            </c:ext>
          </c:extLst>
        </c:ser>
        <c:ser>
          <c:idx val="3"/>
          <c:order val="3"/>
          <c:tx>
            <c:strRef>
              <c:f>Résultats!$A$117</c:f>
              <c:strCache>
                <c:ptCount val="1"/>
                <c:pt idx="0">
                  <c:v>Bois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Résultats!$B$117:$E$117</c:f>
              <c:numCache>
                <c:formatCode>_-* #\ ##0_-;\-* #\ ##0_-;_-* "-"??_-;_-@_-</c:formatCode>
                <c:ptCount val="4"/>
                <c:pt idx="0">
                  <c:v>214.6153499104517</c:v>
                </c:pt>
                <c:pt idx="1">
                  <c:v>248.29997361572975</c:v>
                </c:pt>
                <c:pt idx="2">
                  <c:v>266.00295794498174</c:v>
                </c:pt>
                <c:pt idx="3">
                  <c:v>277.19166440460185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19-4E0F-8169-7D149F47CDAC}"/>
            </c:ext>
          </c:extLst>
        </c:ser>
        <c:ser>
          <c:idx val="4"/>
          <c:order val="4"/>
          <c:tx>
            <c:strRef>
              <c:f>Résultats!$A$118</c:f>
              <c:strCache>
                <c:ptCount val="1"/>
                <c:pt idx="0">
                  <c:v>Chaleur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Résultats!$B$118:$E$118</c:f>
              <c:numCache>
                <c:formatCode>_-* #\ ##0_-;\-* #\ ##0_-;_-* "-"??_-;_-@_-</c:formatCode>
                <c:ptCount val="4"/>
                <c:pt idx="0">
                  <c:v>1550.4931364675845</c:v>
                </c:pt>
                <c:pt idx="1">
                  <c:v>1800.771505737277</c:v>
                </c:pt>
                <c:pt idx="2">
                  <c:v>1186.4392103532323</c:v>
                </c:pt>
                <c:pt idx="3">
                  <c:v>1648.0424942672632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19-4E0F-8169-7D149F47CDAC}"/>
            </c:ext>
          </c:extLst>
        </c:ser>
        <c:ser>
          <c:idx val="5"/>
          <c:order val="5"/>
          <c:tx>
            <c:strRef>
              <c:f>Résultats!$A$119</c:f>
              <c:strCache>
                <c:ptCount val="1"/>
                <c:pt idx="0">
                  <c:v>EnR thermique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Résultats!$B$56:$E$56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Résultats!$B$119:$E$119</c:f>
              <c:numCache>
                <c:formatCode>_-* #\ ##0_-;\-* #\ ##0_-;_-* "-"??_-;_-@_-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19-4E0F-8169-7D149F47C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094832"/>
        <c:axId val="1242079440"/>
      </c:barChart>
      <c:catAx>
        <c:axId val="12420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79440"/>
        <c:crosses val="autoZero"/>
        <c:auto val="1"/>
        <c:lblAlgn val="ctr"/>
        <c:lblOffset val="100"/>
        <c:noMultiLvlLbl val="0"/>
      </c:catAx>
      <c:valAx>
        <c:axId val="124207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9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503771444153896"/>
          <c:y val="0.82762253198897495"/>
          <c:w val="0.76023977522290231"/>
          <c:h val="0.172377468011025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1" i="0" u="none" strike="noStrike" baseline="0">
                <a:effectLst/>
              </a:rPr>
              <a:t>Consommation hors chauffage en GWh AMS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Résultats!$A$114</c:f>
              <c:strCache>
                <c:ptCount val="1"/>
                <c:pt idx="0">
                  <c:v>Electricité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Résultats!$Y$114:$AB$114</c:f>
              <c:numCache>
                <c:formatCode>_-* #\ ##0_-;\-* #\ ##0_-;_-* "-"??_-;_-@_-</c:formatCode>
                <c:ptCount val="4"/>
                <c:pt idx="0">
                  <c:v>129998.23025814971</c:v>
                </c:pt>
                <c:pt idx="1">
                  <c:v>114238.69882125175</c:v>
                </c:pt>
                <c:pt idx="2">
                  <c:v>98179.380019353543</c:v>
                </c:pt>
                <c:pt idx="3">
                  <c:v>98899.847924194939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D-47E5-92FF-FFC57E95CE96}"/>
            </c:ext>
          </c:extLst>
        </c:ser>
        <c:ser>
          <c:idx val="1"/>
          <c:order val="1"/>
          <c:tx>
            <c:strRef>
              <c:f>Résultats!$A$115</c:f>
              <c:strCache>
                <c:ptCount val="1"/>
                <c:pt idx="0">
                  <c:v>Gaz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Résultats!$Y$115:$AB$115</c:f>
              <c:numCache>
                <c:formatCode>_-* #\ ##0_-;\-* #\ ##0_-;_-* "-"??_-;_-@_-</c:formatCode>
                <c:ptCount val="4"/>
                <c:pt idx="0">
                  <c:v>17051.351069612236</c:v>
                </c:pt>
                <c:pt idx="1">
                  <c:v>8405.1493901542071</c:v>
                </c:pt>
                <c:pt idx="2">
                  <c:v>4586.9132986998375</c:v>
                </c:pt>
                <c:pt idx="3">
                  <c:v>1869.9047145784218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CD-47E5-92FF-FFC57E95CE96}"/>
            </c:ext>
          </c:extLst>
        </c:ser>
        <c:ser>
          <c:idx val="2"/>
          <c:order val="2"/>
          <c:tx>
            <c:strRef>
              <c:f>Résultats!$A$116</c:f>
              <c:strCache>
                <c:ptCount val="1"/>
                <c:pt idx="0">
                  <c:v>Pétrole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Résultats!$Y$116:$AB$116</c:f>
              <c:numCache>
                <c:formatCode>_-* #\ ##0_-;\-* #\ ##0_-;_-* "-"??_-;_-@_-</c:formatCode>
                <c:ptCount val="4"/>
                <c:pt idx="0">
                  <c:v>4958.7960253733008</c:v>
                </c:pt>
                <c:pt idx="1">
                  <c:v>375.12051532543023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CD-47E5-92FF-FFC57E95CE96}"/>
            </c:ext>
          </c:extLst>
        </c:ser>
        <c:ser>
          <c:idx val="3"/>
          <c:order val="3"/>
          <c:tx>
            <c:strRef>
              <c:f>Résultats!$A$117</c:f>
              <c:strCache>
                <c:ptCount val="1"/>
                <c:pt idx="0">
                  <c:v>Bois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Résultats!$Y$117:$AB$117</c:f>
              <c:numCache>
                <c:formatCode>_-* #\ ##0_-;\-* #\ ##0_-;_-* "-"??_-;_-@_-</c:formatCode>
                <c:ptCount val="4"/>
                <c:pt idx="0">
                  <c:v>214.6153499104517</c:v>
                </c:pt>
                <c:pt idx="1">
                  <c:v>655.20868022421803</c:v>
                </c:pt>
                <c:pt idx="2">
                  <c:v>540.8529377412608</c:v>
                </c:pt>
                <c:pt idx="3">
                  <c:v>452.36993281073632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CD-47E5-92FF-FFC57E95CE96}"/>
            </c:ext>
          </c:extLst>
        </c:ser>
        <c:ser>
          <c:idx val="4"/>
          <c:order val="4"/>
          <c:tx>
            <c:strRef>
              <c:f>Résultats!$A$118</c:f>
              <c:strCache>
                <c:ptCount val="1"/>
                <c:pt idx="0">
                  <c:v>Chaleur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Résultats!$Y$118:$AB$118</c:f>
              <c:numCache>
                <c:formatCode>_-* #\ ##0_-;\-* #\ ##0_-;_-* "-"??_-;_-@_-</c:formatCode>
                <c:ptCount val="4"/>
                <c:pt idx="0">
                  <c:v>1550.4931364675845</c:v>
                </c:pt>
                <c:pt idx="1">
                  <c:v>1875.6025766271512</c:v>
                </c:pt>
                <c:pt idx="2">
                  <c:v>0</c:v>
                </c:pt>
                <c:pt idx="3">
                  <c:v>1553.9468334481448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CD-47E5-92FF-FFC57E95CE96}"/>
            </c:ext>
          </c:extLst>
        </c:ser>
        <c:ser>
          <c:idx val="5"/>
          <c:order val="5"/>
          <c:tx>
            <c:strRef>
              <c:f>Résultats!$A$119</c:f>
              <c:strCache>
                <c:ptCount val="1"/>
                <c:pt idx="0">
                  <c:v>EnR thermique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Résultats!$Y$56:$AB$56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Résultats!$Y$119:$AB$119</c:f>
              <c:numCache>
                <c:formatCode>_-* #\ ##0_-;\-* #\ ##0_-;_-* "-"??_-;_-@_-</c:formatCode>
                <c:ptCount val="4"/>
                <c:pt idx="0">
                  <c:v>0</c:v>
                </c:pt>
                <c:pt idx="1">
                  <c:v>0.93780128831357557</c:v>
                </c:pt>
                <c:pt idx="2">
                  <c:v>1.1611855820386046</c:v>
                </c:pt>
                <c:pt idx="3">
                  <c:v>1.2949556945401208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CD-47E5-92FF-FFC57E95C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094832"/>
        <c:axId val="1242079440"/>
      </c:barChart>
      <c:catAx>
        <c:axId val="12420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79440"/>
        <c:crosses val="autoZero"/>
        <c:auto val="1"/>
        <c:lblAlgn val="ctr"/>
        <c:lblOffset val="100"/>
        <c:noMultiLvlLbl val="0"/>
      </c:catAx>
      <c:valAx>
        <c:axId val="124207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209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503771444153896"/>
          <c:y val="0.82762253198897495"/>
          <c:w val="0.76023977522290231"/>
          <c:h val="0.172377468011025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Résultats!$A$132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Résultats!$B$131:$E$131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Résultats!$B$132:$E$132</c:f>
              <c:numCache>
                <c:formatCode>_-* #\ ##0_-;\-* #\ ##0_-;_-* "-"??_-;_-@_-</c:formatCode>
                <c:ptCount val="4"/>
                <c:pt idx="0">
                  <c:v>6.1170003535962776</c:v>
                </c:pt>
                <c:pt idx="1">
                  <c:v>3.6741423844924452</c:v>
                </c:pt>
                <c:pt idx="2">
                  <c:v>2.6156632006990583</c:v>
                </c:pt>
                <c:pt idx="3">
                  <c:v>1.6639551371988088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8-48A5-8AAF-BB76D8FE5F8B}"/>
            </c:ext>
          </c:extLst>
        </c:ser>
        <c:ser>
          <c:idx val="1"/>
          <c:order val="1"/>
          <c:tx>
            <c:strRef>
              <c:f>Résultats!$A$133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Résultats!$B$131:$E$131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Résultats!$B$133:$E$133</c:f>
              <c:numCache>
                <c:formatCode>_-* #\ ##0_-;\-* #\ ##0_-;_-* "-"??_-;_-@_-</c:formatCode>
                <c:ptCount val="4"/>
                <c:pt idx="0">
                  <c:v>14.946481257625972</c:v>
                </c:pt>
                <c:pt idx="1">
                  <c:v>11.804672817495707</c:v>
                </c:pt>
                <c:pt idx="2">
                  <c:v>10.179872981305266</c:v>
                </c:pt>
                <c:pt idx="3">
                  <c:v>8.5290381860110696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B8-48A5-8AAF-BB76D8FE5F8B}"/>
            </c:ext>
          </c:extLst>
        </c:ser>
        <c:ser>
          <c:idx val="2"/>
          <c:order val="2"/>
          <c:tx>
            <c:strRef>
              <c:f>Résultats!$A$134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Résultats!$B$131:$E$131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Résultats!$B$134:$E$134</c:f>
              <c:numCache>
                <c:formatCode>_-* #\ ##0_-;\-* #\ ##0_-;_-* "-"??_-;_-@_-</c:formatCode>
                <c:ptCount val="4"/>
                <c:pt idx="0">
                  <c:v>1.3431540764853072</c:v>
                </c:pt>
                <c:pt idx="1">
                  <c:v>1.3204617895174684</c:v>
                </c:pt>
                <c:pt idx="2">
                  <c:v>1.2627316308678831</c:v>
                </c:pt>
                <c:pt idx="3">
                  <c:v>1.3182527197385303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B8-48A5-8AAF-BB76D8FE5F8B}"/>
            </c:ext>
          </c:extLst>
        </c:ser>
        <c:ser>
          <c:idx val="3"/>
          <c:order val="3"/>
          <c:tx>
            <c:strRef>
              <c:f>Résultats!$A$135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Résultats!$B$131:$E$131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Résultats!$B$135:$E$135</c:f>
              <c:numCache>
                <c:formatCode>_-* #\ ##0_-;\-* #\ ##0_-;_-* "-"??_-;_-@_-</c:formatCode>
                <c:ptCount val="4"/>
                <c:pt idx="0">
                  <c:v>0.34946405068130248</c:v>
                </c:pt>
                <c:pt idx="1">
                  <c:v>0.28680786758589477</c:v>
                </c:pt>
                <c:pt idx="2">
                  <c:v>0.2636578917174261</c:v>
                </c:pt>
                <c:pt idx="3">
                  <c:v>0.2365194517296336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B8-48A5-8AAF-BB76D8FE5F8B}"/>
            </c:ext>
          </c:extLst>
        </c:ser>
        <c:ser>
          <c:idx val="4"/>
          <c:order val="4"/>
          <c:tx>
            <c:strRef>
              <c:f>Résultats!$A$136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Résultats!$B$131:$E$131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Résultats!$B$136:$E$136</c:f>
              <c:numCache>
                <c:formatCode>_-* #\ ##0_-;\-* #\ ##0_-;_-* "-"??_-;_-@_-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B8-48A5-8AAF-BB76D8FE5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66896"/>
        <c:axId val="179362320"/>
      </c:areaChart>
      <c:catAx>
        <c:axId val="17936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9362320"/>
        <c:crosses val="autoZero"/>
        <c:auto val="1"/>
        <c:lblAlgn val="ctr"/>
        <c:lblOffset val="100"/>
        <c:noMultiLvlLbl val="0"/>
      </c:catAx>
      <c:valAx>
        <c:axId val="1793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93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Résultats!$A$132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Résultats!$Y$131:$AB$131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Résultats!$Y$132:$AB$132</c:f>
              <c:numCache>
                <c:formatCode>_-* #\ ##0.0_-;\-* #\ ##0.0_-;_-* "-"??_-;_-@_-</c:formatCode>
                <c:ptCount val="4"/>
                <c:pt idx="0">
                  <c:v>6.1170003535962776</c:v>
                </c:pt>
                <c:pt idx="1">
                  <c:v>0.48803372707465476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1-4FE6-BA47-A6E6DCA90DEE}"/>
            </c:ext>
          </c:extLst>
        </c:ser>
        <c:ser>
          <c:idx val="1"/>
          <c:order val="1"/>
          <c:tx>
            <c:strRef>
              <c:f>Résultats!$A$133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Résultats!$Y$131:$AB$131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Résultats!$Y$133:$AB$133</c:f>
              <c:numCache>
                <c:formatCode>_-* #\ ##0.0_-;\-* #\ ##0.0_-;_-* "-"??_-;_-@_-</c:formatCode>
                <c:ptCount val="4"/>
                <c:pt idx="0">
                  <c:v>14.946481257625972</c:v>
                </c:pt>
                <c:pt idx="1">
                  <c:v>9.6667351991693078</c:v>
                </c:pt>
                <c:pt idx="2">
                  <c:v>4.2951278699788542</c:v>
                </c:pt>
                <c:pt idx="3">
                  <c:v>1.2063232356867695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1-4FE6-BA47-A6E6DCA90DEE}"/>
            </c:ext>
          </c:extLst>
        </c:ser>
        <c:ser>
          <c:idx val="2"/>
          <c:order val="2"/>
          <c:tx>
            <c:strRef>
              <c:f>Résultats!$A$134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Résultats!$Y$131:$AB$131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Résultats!$Y$134:$AB$134</c:f>
              <c:numCache>
                <c:formatCode>_-* #\ ##0.0_-;\-* #\ ##0.0_-;_-* "-"??_-;_-@_-</c:formatCode>
                <c:ptCount val="4"/>
                <c:pt idx="0">
                  <c:v>1.3431540764853072</c:v>
                </c:pt>
                <c:pt idx="1">
                  <c:v>1.9840292217045599</c:v>
                </c:pt>
                <c:pt idx="2">
                  <c:v>1.244850040330348</c:v>
                </c:pt>
                <c:pt idx="3">
                  <c:v>0.84729862730987038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1-4FE6-BA47-A6E6DCA90DEE}"/>
            </c:ext>
          </c:extLst>
        </c:ser>
        <c:ser>
          <c:idx val="3"/>
          <c:order val="3"/>
          <c:tx>
            <c:strRef>
              <c:f>Résultats!$A$135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Résultats!$Y$131:$AB$131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Résultats!$Y$135:$AB$135</c:f>
              <c:numCache>
                <c:formatCode>_-* #\ ##0.0_-;\-* #\ ##0.0_-;_-* "-"??_-;_-@_-</c:formatCode>
                <c:ptCount val="4"/>
                <c:pt idx="0">
                  <c:v>0.34946405068130248</c:v>
                </c:pt>
                <c:pt idx="1">
                  <c:v>0.1992119349960064</c:v>
                </c:pt>
                <c:pt idx="2">
                  <c:v>0.11340840485649772</c:v>
                </c:pt>
                <c:pt idx="3">
                  <c:v>1.2432598428885409E-2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1-4FE6-BA47-A6E6DCA90DEE}"/>
            </c:ext>
          </c:extLst>
        </c:ser>
        <c:ser>
          <c:idx val="4"/>
          <c:order val="4"/>
          <c:tx>
            <c:strRef>
              <c:f>Résultats!$A$136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Résultats!$Y$131:$AB$131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Résultats!$Y$136:$AB$136</c:f>
              <c:numCache>
                <c:formatCode>_-* #\ ##0.0_-;\-* #\ ##0.0_-;_-* "-"??_-;_-@_-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91-4FE6-BA47-A6E6DCA90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66896"/>
        <c:axId val="179362320"/>
      </c:areaChart>
      <c:catAx>
        <c:axId val="17936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9362320"/>
        <c:crosses val="autoZero"/>
        <c:auto val="1"/>
        <c:lblAlgn val="ctr"/>
        <c:lblOffset val="100"/>
        <c:noMultiLvlLbl val="0"/>
      </c:catAx>
      <c:valAx>
        <c:axId val="1793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.0_-;\-* #\ 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93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/>
              <a:t>Répartition du parc par</a:t>
            </a:r>
            <a:r>
              <a:rPr lang="fr-FR" sz="1200" baseline="0"/>
              <a:t> énergie en AMS (en milliers de m²)</a:t>
            </a:r>
            <a:endParaRPr lang="fr-FR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Résultats!$X$155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Résultats!$Y$154:$AB$154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Résultats!$Y$155:$AB$155</c:f>
              <c:numCache>
                <c:formatCode>_-* #\ ##0_-;\-* #\ ##0_-;_-* "-"??_-;_-@_-</c:formatCode>
                <c:ptCount val="4"/>
                <c:pt idx="0">
                  <c:v>141768.93496662442</c:v>
                </c:pt>
                <c:pt idx="1">
                  <c:v>12789.919501469796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A-4700-9A36-D9EE627EC5FF}"/>
            </c:ext>
          </c:extLst>
        </c:ser>
        <c:ser>
          <c:idx val="1"/>
          <c:order val="1"/>
          <c:tx>
            <c:strRef>
              <c:f>Résultats!$X$156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Résultats!$Y$154:$AB$154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Résultats!$Y$156:$AB$156</c:f>
              <c:numCache>
                <c:formatCode>_-* #\ ##0_-;\-* #\ ##0_-;_-* "-"??_-;_-@_-</c:formatCode>
                <c:ptCount val="4"/>
                <c:pt idx="0">
                  <c:v>454192.81039837294</c:v>
                </c:pt>
                <c:pt idx="1">
                  <c:v>368480.4232701849</c:v>
                </c:pt>
                <c:pt idx="2">
                  <c:v>169053.90812140395</c:v>
                </c:pt>
                <c:pt idx="3">
                  <c:v>44140.917899029038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6A-4700-9A36-D9EE627EC5FF}"/>
            </c:ext>
          </c:extLst>
        </c:ser>
        <c:ser>
          <c:idx val="2"/>
          <c:order val="2"/>
          <c:tx>
            <c:strRef>
              <c:f>Résultats!$X$157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Résultats!$Y$154:$AB$154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Résultats!$Y$157:$AB$157</c:f>
              <c:numCache>
                <c:formatCode>_-* #\ ##0_-;\-* #\ ##0_-;_-* "-"??_-;_-@_-</c:formatCode>
                <c:ptCount val="4"/>
                <c:pt idx="0">
                  <c:v>71395.420580916252</c:v>
                </c:pt>
                <c:pt idx="1">
                  <c:v>190966.19846044178</c:v>
                </c:pt>
                <c:pt idx="2">
                  <c:v>214498.71059518252</c:v>
                </c:pt>
                <c:pt idx="3">
                  <c:v>224632.92269624671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6A-4700-9A36-D9EE627EC5FF}"/>
            </c:ext>
          </c:extLst>
        </c:ser>
        <c:ser>
          <c:idx val="3"/>
          <c:order val="3"/>
          <c:tx>
            <c:strRef>
              <c:f>Résultats!$X$158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Résultats!$Y$154:$AB$154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Résultats!$Y$158:$AB$158</c:f>
              <c:numCache>
                <c:formatCode>_-* #\ ##0_-;\-* #\ ##0_-;_-* "-"??_-;_-@_-</c:formatCode>
                <c:ptCount val="4"/>
                <c:pt idx="0">
                  <c:v>14240.363349663021</c:v>
                </c:pt>
                <c:pt idx="1">
                  <c:v>9902.9809826793935</c:v>
                </c:pt>
                <c:pt idx="2">
                  <c:v>5918.3491346375358</c:v>
                </c:pt>
                <c:pt idx="3">
                  <c:v>749.38758867739966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6A-4700-9A36-D9EE627EC5FF}"/>
            </c:ext>
          </c:extLst>
        </c:ser>
        <c:ser>
          <c:idx val="4"/>
          <c:order val="4"/>
          <c:tx>
            <c:strRef>
              <c:f>Résultats!$X$159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Résultats!$Y$154:$AB$154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Résultats!$Y$159:$AB$159</c:f>
              <c:numCache>
                <c:formatCode>_-* #\ ##0_-;\-* #\ ##0_-;_-* "-"??_-;_-@_-</c:formatCode>
                <c:ptCount val="4"/>
                <c:pt idx="0">
                  <c:v>12911.710033789888</c:v>
                </c:pt>
                <c:pt idx="1">
                  <c:v>19409.161591326934</c:v>
                </c:pt>
                <c:pt idx="2">
                  <c:v>27618.809713276209</c:v>
                </c:pt>
                <c:pt idx="3">
                  <c:v>31681.219900528191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6A-4700-9A36-D9EE627EC5FF}"/>
            </c:ext>
          </c:extLst>
        </c:ser>
        <c:ser>
          <c:idx val="5"/>
          <c:order val="5"/>
          <c:tx>
            <c:strRef>
              <c:f>Résultats!$X$160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Résultats!$Y$154:$AB$154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Résultats!$Y$160:$AB$160</c:f>
              <c:numCache>
                <c:formatCode>_-* #\ ##0_-;\-* #\ ##0_-;_-* "-"??_-;_-@_-</c:formatCode>
                <c:ptCount val="4"/>
                <c:pt idx="0">
                  <c:v>230307.49628949657</c:v>
                </c:pt>
                <c:pt idx="1">
                  <c:v>151751.24364107606</c:v>
                </c:pt>
                <c:pt idx="2">
                  <c:v>155030.49392091244</c:v>
                </c:pt>
                <c:pt idx="3">
                  <c:v>132919.41660667182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6A-4700-9A36-D9EE627EC5FF}"/>
            </c:ext>
          </c:extLst>
        </c:ser>
        <c:ser>
          <c:idx val="6"/>
          <c:order val="6"/>
          <c:tx>
            <c:strRef>
              <c:f>Résultats!$X$161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Résultats!$Y$154:$AB$154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Résultats!$Y$161:$AB$161</c:f>
              <c:numCache>
                <c:formatCode>_-* #\ ##0_-;\-* #\ ##0_-;_-* "-"??_-;_-@_-</c:formatCode>
                <c:ptCount val="4"/>
                <c:pt idx="0">
                  <c:v>58620.528245516914</c:v>
                </c:pt>
                <c:pt idx="1">
                  <c:v>212006.9526548764</c:v>
                </c:pt>
                <c:pt idx="2">
                  <c:v>376507.40328777017</c:v>
                </c:pt>
                <c:pt idx="3">
                  <c:v>480522.26692829095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6A-4700-9A36-D9EE627EC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203679"/>
        <c:axId val="2031204095"/>
      </c:areaChart>
      <c:catAx>
        <c:axId val="20312036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1204095"/>
        <c:crosses val="autoZero"/>
        <c:auto val="1"/>
        <c:lblAlgn val="ctr"/>
        <c:lblOffset val="100"/>
        <c:noMultiLvlLbl val="0"/>
      </c:catAx>
      <c:valAx>
        <c:axId val="2031204095"/>
        <c:scaling>
          <c:orientation val="minMax"/>
          <c:max val="1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1203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'Bureaux - AMS'!$E$13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AMS'!$H$13:$K$13</c:f>
              <c:numCache>
                <c:formatCode>#,##0</c:formatCode>
                <c:ptCount val="4"/>
                <c:pt idx="0">
                  <c:v>3702.0698483966371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4-4CDD-A7CD-27A1B116A5F6}"/>
            </c:ext>
          </c:extLst>
        </c:ser>
        <c:ser>
          <c:idx val="1"/>
          <c:order val="1"/>
          <c:tx>
            <c:strRef>
              <c:f>'Bureaux - AMS'!$E$14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AMS'!$H$14:$K$14</c:f>
              <c:numCache>
                <c:formatCode>#,##0</c:formatCode>
                <c:ptCount val="4"/>
                <c:pt idx="0">
                  <c:v>17499.088072701466</c:v>
                </c:pt>
                <c:pt idx="1">
                  <c:v>11298.054709513988</c:v>
                </c:pt>
                <c:pt idx="2">
                  <c:v>4311.146088942015</c:v>
                </c:pt>
                <c:pt idx="3">
                  <c:v>1011.9889929865154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E4-4CDD-A7CD-27A1B116A5F6}"/>
            </c:ext>
          </c:extLst>
        </c:ser>
        <c:ser>
          <c:idx val="2"/>
          <c:order val="2"/>
          <c:tx>
            <c:strRef>
              <c:f>'Bureaux - AMS'!$E$15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AMS'!$H$15:$K$15</c:f>
              <c:numCache>
                <c:formatCode>#,##0</c:formatCode>
                <c:ptCount val="4"/>
                <c:pt idx="0">
                  <c:v>2777.8770505483162</c:v>
                </c:pt>
                <c:pt idx="1">
                  <c:v>4655.7992741516991</c:v>
                </c:pt>
                <c:pt idx="2">
                  <c:v>4892.3464121644365</c:v>
                </c:pt>
                <c:pt idx="3">
                  <c:v>4262.9648526539522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E4-4CDD-A7CD-27A1B116A5F6}"/>
            </c:ext>
          </c:extLst>
        </c:ser>
        <c:ser>
          <c:idx val="3"/>
          <c:order val="3"/>
          <c:tx>
            <c:strRef>
              <c:f>'Bureaux - AMS'!$E$16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AMS'!$H$16:$K$16</c:f>
              <c:numCache>
                <c:formatCode>#,##0</c:formatCode>
                <c:ptCount val="4"/>
                <c:pt idx="0">
                  <c:v>402.11116718463484</c:v>
                </c:pt>
                <c:pt idx="1">
                  <c:v>206.8014088157947</c:v>
                </c:pt>
                <c:pt idx="2">
                  <c:v>89.716441632969207</c:v>
                </c:pt>
                <c:pt idx="3">
                  <c:v>7.6064460656954695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E4-4CDD-A7CD-27A1B116A5F6}"/>
            </c:ext>
          </c:extLst>
        </c:ser>
        <c:ser>
          <c:idx val="4"/>
          <c:order val="4"/>
          <c:tx>
            <c:strRef>
              <c:f>'Bureaux - AMS'!$E$17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AMS'!$H$17:$K$17</c:f>
              <c:numCache>
                <c:formatCode>#,##0</c:formatCode>
                <c:ptCount val="4"/>
                <c:pt idx="0">
                  <c:v>427.13840685411856</c:v>
                </c:pt>
                <c:pt idx="1">
                  <c:v>515.78664827678233</c:v>
                </c:pt>
                <c:pt idx="2">
                  <c:v>633.39491009439098</c:v>
                </c:pt>
                <c:pt idx="3">
                  <c:v>680.981027451052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E4-4CDD-A7CD-27A1B116A5F6}"/>
            </c:ext>
          </c:extLst>
        </c:ser>
        <c:ser>
          <c:idx val="5"/>
          <c:order val="5"/>
          <c:tx>
            <c:strRef>
              <c:f>'Bureaux - AMS'!$E$18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AMS'!$H$18:$K$18</c:f>
              <c:numCache>
                <c:formatCode>#,##0</c:formatCode>
                <c:ptCount val="4"/>
                <c:pt idx="0">
                  <c:v>7576.5542005720026</c:v>
                </c:pt>
                <c:pt idx="1">
                  <c:v>3502.2864216775056</c:v>
                </c:pt>
                <c:pt idx="2">
                  <c:v>2295.5081485147898</c:v>
                </c:pt>
                <c:pt idx="3">
                  <c:v>1613.7613293256616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E4-4CDD-A7CD-27A1B116A5F6}"/>
            </c:ext>
          </c:extLst>
        </c:ser>
        <c:ser>
          <c:idx val="6"/>
          <c:order val="6"/>
          <c:tx>
            <c:strRef>
              <c:f>'Bureaux - AMS'!$E$19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AMS'!$H$19:$K$19</c:f>
              <c:numCache>
                <c:formatCode>#,##0</c:formatCode>
                <c:ptCount val="4"/>
                <c:pt idx="0">
                  <c:v>1155.9040979074825</c:v>
                </c:pt>
                <c:pt idx="1">
                  <c:v>3160.5157797500619</c:v>
                </c:pt>
                <c:pt idx="2">
                  <c:v>4345.9718310893104</c:v>
                </c:pt>
                <c:pt idx="3">
                  <c:v>4333.9305487867905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E4-4CDD-A7CD-27A1B116A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'Bureaux - AMS'!$E$8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'Bureaux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'Bureaux - AMS'!$H$8:$K$8</c:f>
              <c:numCache>
                <c:formatCode>#,##0</c:formatCode>
                <c:ptCount val="4"/>
                <c:pt idx="0">
                  <c:v>0</c:v>
                </c:pt>
                <c:pt idx="1">
                  <c:v>6206.4099090819345</c:v>
                </c:pt>
                <c:pt idx="2">
                  <c:v>5590.6991567017767</c:v>
                </c:pt>
                <c:pt idx="3">
                  <c:v>5027.4465423224901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2-4AC5-9DF1-2A2482ABA7CF}"/>
            </c:ext>
          </c:extLst>
        </c:ser>
        <c:ser>
          <c:idx val="1"/>
          <c:order val="1"/>
          <c:tx>
            <c:strRef>
              <c:f>'Bureaux - AMS'!$E$9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'Bureaux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'Bureaux - AMS'!$H$9:$K$9</c:f>
              <c:numCache>
                <c:formatCode>#,##0</c:formatCode>
                <c:ptCount val="4"/>
                <c:pt idx="0">
                  <c:v>287333.79208712658</c:v>
                </c:pt>
                <c:pt idx="1">
                  <c:v>252622.25475303738</c:v>
                </c:pt>
                <c:pt idx="2">
                  <c:v>227161.45558045057</c:v>
                </c:pt>
                <c:pt idx="3">
                  <c:v>199762.62504678449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12-4AC5-9DF1-2A2482ABA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'Bureaux - AMS'!$E$107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AMS'!$H$107:$K$107</c:f>
              <c:numCache>
                <c:formatCode>_-* #\ ##0_-;\-* #\ ##0_-;_-* "-"??_-;_-@_-</c:formatCode>
                <c:ptCount val="4"/>
                <c:pt idx="0" formatCode="0">
                  <c:v>2794.5999768084112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E-4773-BFCA-43E8E5ECB471}"/>
            </c:ext>
          </c:extLst>
        </c:ser>
        <c:ser>
          <c:idx val="1"/>
          <c:order val="1"/>
          <c:tx>
            <c:strRef>
              <c:f>'Bureaux - AMS'!$E$108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AMS'!$H$108:$K$108</c:f>
              <c:numCache>
                <c:formatCode>_-* #\ ##0_-;\-* #\ ##0_-;_-* "-"??_-;_-@_-</c:formatCode>
                <c:ptCount val="4"/>
                <c:pt idx="0" formatCode="0">
                  <c:v>13209.62410888052</c:v>
                </c:pt>
                <c:pt idx="1">
                  <c:v>8212.8515062940605</c:v>
                </c:pt>
                <c:pt idx="2">
                  <c:v>3083.6906189582278</c:v>
                </c:pt>
                <c:pt idx="3">
                  <c:v>709.64239865487957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E-4773-BFCA-43E8E5ECB471}"/>
            </c:ext>
          </c:extLst>
        </c:ser>
        <c:ser>
          <c:idx val="2"/>
          <c:order val="2"/>
          <c:tx>
            <c:strRef>
              <c:f>'Bureaux - AMS'!$E$109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AMS'!$H$109:$K$109</c:f>
              <c:numCache>
                <c:formatCode>_-* #\ ##0_-;\-* #\ ##0_-;_-* "-"??_-;_-@_-</c:formatCode>
                <c:ptCount val="4"/>
                <c:pt idx="0" formatCode="0">
                  <c:v>2096.9499385326603</c:v>
                </c:pt>
                <c:pt idx="1">
                  <c:v>3294.355610814589</c:v>
                </c:pt>
                <c:pt idx="2">
                  <c:v>3398.1386693712216</c:v>
                </c:pt>
                <c:pt idx="3">
                  <c:v>2886.6868899196747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E-4773-BFCA-43E8E5ECB471}"/>
            </c:ext>
          </c:extLst>
        </c:ser>
        <c:ser>
          <c:idx val="3"/>
          <c:order val="3"/>
          <c:tx>
            <c:strRef>
              <c:f>'Bureaux - AMS'!$E$110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AMS'!$H$110:$K$110</c:f>
              <c:numCache>
                <c:formatCode>_-* #\ ##0_-;\-* #\ ##0_-;_-* "-"??_-;_-@_-</c:formatCode>
                <c:ptCount val="4"/>
                <c:pt idx="0" formatCode="0">
                  <c:v>303.54366732850121</c:v>
                </c:pt>
                <c:pt idx="1">
                  <c:v>141.8967958156079</c:v>
                </c:pt>
                <c:pt idx="2">
                  <c:v>57.274048375901636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E-4773-BFCA-43E8E5ECB471}"/>
            </c:ext>
          </c:extLst>
        </c:ser>
        <c:ser>
          <c:idx val="4"/>
          <c:order val="4"/>
          <c:tx>
            <c:strRef>
              <c:f>'Bureaux - AMS'!$E$111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AMS'!$H$111:$K$111</c:f>
              <c:numCache>
                <c:formatCode>_-* #\ ##0_-;\-* #\ ##0_-;_-* "-"??_-;_-@_-</c:formatCode>
                <c:ptCount val="4"/>
                <c:pt idx="0" formatCode="0">
                  <c:v>322.43610487400275</c:v>
                </c:pt>
                <c:pt idx="1">
                  <c:v>363.15714637407893</c:v>
                </c:pt>
                <c:pt idx="2">
                  <c:v>439.74523561149118</c:v>
                </c:pt>
                <c:pt idx="3">
                  <c:v>458.23292323613111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EE-4773-BFCA-43E8E5ECB471}"/>
            </c:ext>
          </c:extLst>
        </c:ser>
        <c:ser>
          <c:idx val="5"/>
          <c:order val="5"/>
          <c:tx>
            <c:strRef>
              <c:f>'Bureaux - AMS'!$E$112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AMS'!$H$112:$K$112</c:f>
              <c:numCache>
                <c:formatCode>_-* #\ ##0_-;\-* #\ ##0_-;_-* "-"??_-;_-@_-</c:formatCode>
                <c:ptCount val="4"/>
                <c:pt idx="0" formatCode="0">
                  <c:v>5719.3513521567902</c:v>
                </c:pt>
                <c:pt idx="1">
                  <c:v>2493.6940161857415</c:v>
                </c:pt>
                <c:pt idx="2">
                  <c:v>1666.6157103947428</c:v>
                </c:pt>
                <c:pt idx="3">
                  <c:v>1161.571857195258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E-4773-BFCA-43E8E5ECB471}"/>
            </c:ext>
          </c:extLst>
        </c:ser>
        <c:ser>
          <c:idx val="6"/>
          <c:order val="6"/>
          <c:tx>
            <c:strRef>
              <c:f>'Bureaux - AMS'!$E$113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AMS'!$H$113:$K$113</c:f>
              <c:numCache>
                <c:formatCode>_-* #\ ##0_-;\-* #\ ##0_-;_-* "-"??_-;_-@_-</c:formatCode>
                <c:ptCount val="4"/>
                <c:pt idx="0" formatCode="0">
                  <c:v>872.56310590791088</c:v>
                </c:pt>
                <c:pt idx="1">
                  <c:v>2258.7423843937081</c:v>
                </c:pt>
                <c:pt idx="2">
                  <c:v>3063.3122805361427</c:v>
                </c:pt>
                <c:pt idx="3">
                  <c:v>3021.0941575310071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EE-4773-BFCA-43E8E5ECB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'Bureaux - AMS'!$E$118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AMS'!$H$118:$K$118</c:f>
              <c:numCache>
                <c:formatCode>_-* #\ ##0_-;\-* #\ ##0_-;_-* "-"??_-;_-@_-</c:formatCode>
                <c:ptCount val="4"/>
                <c:pt idx="0">
                  <c:v>907.46987158822571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A-487B-83F3-AA189AC75505}"/>
            </c:ext>
          </c:extLst>
        </c:ser>
        <c:ser>
          <c:idx val="1"/>
          <c:order val="1"/>
          <c:tx>
            <c:strRef>
              <c:f>'Bureaux - AMS'!$E$119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AMS'!$H$119:$K$119</c:f>
              <c:numCache>
                <c:formatCode>_-* #\ ##0_-;\-* #\ ##0_-;_-* "-"??_-;_-@_-</c:formatCode>
                <c:ptCount val="4"/>
                <c:pt idx="0">
                  <c:v>4289.4639638209483</c:v>
                </c:pt>
                <c:pt idx="1">
                  <c:v>3085.2032032199272</c:v>
                </c:pt>
                <c:pt idx="2">
                  <c:v>1227.4554699837872</c:v>
                </c:pt>
                <c:pt idx="3">
                  <c:v>302.34659433163586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AA-487B-83F3-AA189AC75505}"/>
            </c:ext>
          </c:extLst>
        </c:ser>
        <c:ser>
          <c:idx val="2"/>
          <c:order val="2"/>
          <c:tx>
            <c:strRef>
              <c:f>'Bureaux - AMS'!$E$120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AMS'!$H$120:$K$120</c:f>
              <c:numCache>
                <c:formatCode>_-* #\ ##0_-;\-* #\ ##0_-;_-* "-"??_-;_-@_-</c:formatCode>
                <c:ptCount val="4"/>
                <c:pt idx="0">
                  <c:v>680.92711201565612</c:v>
                </c:pt>
                <c:pt idx="1">
                  <c:v>1288.8537828958554</c:v>
                </c:pt>
                <c:pt idx="2">
                  <c:v>1422.9852376302949</c:v>
                </c:pt>
                <c:pt idx="3">
                  <c:v>1306.9848040763486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AA-487B-83F3-AA189AC75505}"/>
            </c:ext>
          </c:extLst>
        </c:ser>
        <c:ser>
          <c:idx val="3"/>
          <c:order val="3"/>
          <c:tx>
            <c:strRef>
              <c:f>'Bureaux - AMS'!$E$121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AMS'!$H$121:$K$121</c:f>
              <c:numCache>
                <c:formatCode>_-* #\ ##0_-;\-* #\ ##0_-;_-* "-"??_-;_-@_-</c:formatCode>
                <c:ptCount val="4"/>
                <c:pt idx="0">
                  <c:v>98.567499856133637</c:v>
                </c:pt>
                <c:pt idx="1">
                  <c:v>55.514414250659968</c:v>
                </c:pt>
                <c:pt idx="2">
                  <c:v>23.9837550105958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AA-487B-83F3-AA189AC75505}"/>
            </c:ext>
          </c:extLst>
        </c:ser>
        <c:ser>
          <c:idx val="4"/>
          <c:order val="4"/>
          <c:tx>
            <c:strRef>
              <c:f>'Bureaux - AMS'!$E$122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AMS'!$H$122:$K$122</c:f>
              <c:numCache>
                <c:formatCode>_-* #\ ##0_-;\-* #\ ##0_-;_-* "-"??_-;_-@_-</c:formatCode>
                <c:ptCount val="4"/>
                <c:pt idx="0">
                  <c:v>104.70230198011582</c:v>
                </c:pt>
                <c:pt idx="1">
                  <c:v>142.07830519370071</c:v>
                </c:pt>
                <c:pt idx="2">
                  <c:v>184.14521580109448</c:v>
                </c:pt>
                <c:pt idx="3">
                  <c:v>207.47087932829891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AA-487B-83F3-AA189AC75505}"/>
            </c:ext>
          </c:extLst>
        </c:ser>
        <c:ser>
          <c:idx val="5"/>
          <c:order val="5"/>
          <c:tx>
            <c:strRef>
              <c:f>'Bureaux - AMS'!$E$123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AMS'!$H$123:$K$123</c:f>
              <c:numCache>
                <c:formatCode>_-* #\ ##0_-;\-* #\ ##0_-;_-* "-"??_-;_-@_-</c:formatCode>
                <c:ptCount val="4"/>
                <c:pt idx="0">
                  <c:v>1857.2028484152124</c:v>
                </c:pt>
                <c:pt idx="1">
                  <c:v>879.02040033983883</c:v>
                </c:pt>
                <c:pt idx="2">
                  <c:v>612.75690222158266</c:v>
                </c:pt>
                <c:pt idx="3">
                  <c:v>449.967563351075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AA-487B-83F3-AA189AC75505}"/>
            </c:ext>
          </c:extLst>
        </c:ser>
        <c:ser>
          <c:idx val="6"/>
          <c:order val="6"/>
          <c:tx>
            <c:strRef>
              <c:f>'Bureaux - AMS'!$E$124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'Bureaux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'Bureaux - AMS'!$H$124:$K$124</c:f>
              <c:numCache>
                <c:formatCode>_-* #\ ##0_-;\-* #\ ##0_-;_-* "-"??_-;_-@_-</c:formatCode>
                <c:ptCount val="4"/>
                <c:pt idx="0">
                  <c:v>283.34099199957171</c:v>
                </c:pt>
                <c:pt idx="1">
                  <c:v>796.2005851989951</c:v>
                </c:pt>
                <c:pt idx="2">
                  <c:v>1126.2738805660667</c:v>
                </c:pt>
                <c:pt idx="3">
                  <c:v>1170.3058818942143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AA-487B-83F3-AA189AC75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Parc par</a:t>
            </a:r>
            <a:r>
              <a:rPr lang="fr-FR" baseline="0"/>
              <a:t> énergie de chauffage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'Bureaux - AMS'!$E$45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'Bureaux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'Bureaux - AMS'!$H$45:$K$45</c:f>
              <c:numCache>
                <c:formatCode>0%</c:formatCode>
                <c:ptCount val="4"/>
                <c:pt idx="0">
                  <c:v>8.9924733284390393E-2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F9-41F0-8D8A-B8AC67B0950C}"/>
            </c:ext>
          </c:extLst>
        </c:ser>
        <c:ser>
          <c:idx val="1"/>
          <c:order val="1"/>
          <c:tx>
            <c:strRef>
              <c:f>'Bureaux - AMS'!$E$46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'Bureaux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'Bureaux - AMS'!$H$46:$K$46</c:f>
              <c:numCache>
                <c:formatCode>0%</c:formatCode>
                <c:ptCount val="4"/>
                <c:pt idx="0">
                  <c:v>0.42450974789018903</c:v>
                </c:pt>
                <c:pt idx="1">
                  <c:v>0.36507838318556257</c:v>
                </c:pt>
                <c:pt idx="2">
                  <c:v>0.16980389915607563</c:v>
                </c:pt>
                <c:pt idx="3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F9-41F0-8D8A-B8AC67B0950C}"/>
            </c:ext>
          </c:extLst>
        </c:ser>
        <c:ser>
          <c:idx val="2"/>
          <c:order val="2"/>
          <c:tx>
            <c:strRef>
              <c:f>'Bureaux - AMS'!$E$47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'Bureaux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'Bureaux - AMS'!$H$47:$K$47</c:f>
              <c:numCache>
                <c:formatCode>0%</c:formatCode>
                <c:ptCount val="4"/>
                <c:pt idx="0">
                  <c:v>8.0340172710777702E-2</c:v>
                </c:pt>
                <c:pt idx="1">
                  <c:v>0.18</c:v>
                </c:pt>
                <c:pt idx="2">
                  <c:v>0.23</c:v>
                </c:pt>
                <c:pt idx="3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F9-41F0-8D8A-B8AC67B0950C}"/>
            </c:ext>
          </c:extLst>
        </c:ser>
        <c:ser>
          <c:idx val="3"/>
          <c:order val="3"/>
          <c:tx>
            <c:strRef>
              <c:f>'Bureaux - AMS'!$E$48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'Bureaux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'Bureaux - AMS'!$H$48:$K$48</c:f>
              <c:numCache>
                <c:formatCode>0%</c:formatCode>
                <c:ptCount val="4"/>
                <c:pt idx="0">
                  <c:v>1.3267227564659348E-2</c:v>
                </c:pt>
                <c:pt idx="1">
                  <c:v>8.8448183764395644E-3</c:v>
                </c:pt>
                <c:pt idx="2">
                  <c:v>4.4224091882197822E-3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F9-41F0-8D8A-B8AC67B0950C}"/>
            </c:ext>
          </c:extLst>
        </c:ser>
        <c:ser>
          <c:idx val="4"/>
          <c:order val="4"/>
          <c:tx>
            <c:strRef>
              <c:f>'Bureaux - AMS'!$E$49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'Bureaux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'Bureaux - AMS'!$H$49:$K$49</c:f>
              <c:numCache>
                <c:formatCode>0%</c:formatCode>
                <c:ptCount val="4"/>
                <c:pt idx="0">
                  <c:v>1.2451501862338604E-2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F9-41F0-8D8A-B8AC67B0950C}"/>
            </c:ext>
          </c:extLst>
        </c:ser>
        <c:ser>
          <c:idx val="5"/>
          <c:order val="5"/>
          <c:tx>
            <c:strRef>
              <c:f>'Bureaux - AMS'!$E$50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'Bureaux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'Bureaux - AMS'!$H$50:$K$50</c:f>
              <c:numCache>
                <c:formatCode>0%</c:formatCode>
                <c:ptCount val="4"/>
                <c:pt idx="0">
                  <c:v>0.30626447562213699</c:v>
                </c:pt>
                <c:pt idx="1">
                  <c:v>0.17607679843799778</c:v>
                </c:pt>
                <c:pt idx="2">
                  <c:v>0.14577369165570458</c:v>
                </c:pt>
                <c:pt idx="3">
                  <c:v>0.12999999999999989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F9-41F0-8D8A-B8AC67B0950C}"/>
            </c:ext>
          </c:extLst>
        </c:ser>
        <c:ser>
          <c:idx val="6"/>
          <c:order val="6"/>
          <c:tx>
            <c:strRef>
              <c:f>'Bureaux - AMS'!$E$51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'Bureaux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'Bureaux - AMS'!$H$51:$K$51</c:f>
              <c:numCache>
                <c:formatCode>0%</c:formatCode>
                <c:ptCount val="4"/>
                <c:pt idx="0">
                  <c:v>7.3242141065507804E-2</c:v>
                </c:pt>
                <c:pt idx="1">
                  <c:v>0.25</c:v>
                </c:pt>
                <c:pt idx="2">
                  <c:v>0.42</c:v>
                </c:pt>
                <c:pt idx="3">
                  <c:v>0.53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F9-41F0-8D8A-B8AC67B09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845824"/>
        <c:axId val="1567845408"/>
      </c:areaChart>
      <c:catAx>
        <c:axId val="1567845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67845408"/>
        <c:crosses val="autoZero"/>
        <c:auto val="1"/>
        <c:lblAlgn val="ctr"/>
        <c:lblOffset val="100"/>
        <c:noMultiLvlLbl val="0"/>
      </c:catAx>
      <c:valAx>
        <c:axId val="156784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6784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'CaHoREs - AMS'!$E$13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AMS'!$H$13:$K$13</c:f>
              <c:numCache>
                <c:formatCode>#,##0</c:formatCode>
                <c:ptCount val="4"/>
                <c:pt idx="0">
                  <c:v>1140.7847357342437</c:v>
                </c:pt>
                <c:pt idx="1">
                  <c:v>129.61175552147077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DE-45F1-8712-7154D3C16988}"/>
            </c:ext>
          </c:extLst>
        </c:ser>
        <c:ser>
          <c:idx val="1"/>
          <c:order val="1"/>
          <c:tx>
            <c:strRef>
              <c:f>'CaHoREs - AMS'!$E$14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AMS'!$H$14:$K$14</c:f>
              <c:numCache>
                <c:formatCode>#,##0</c:formatCode>
                <c:ptCount val="4"/>
                <c:pt idx="0">
                  <c:v>3672.1014843777784</c:v>
                </c:pt>
                <c:pt idx="1">
                  <c:v>2705.1486247049966</c:v>
                </c:pt>
                <c:pt idx="2">
                  <c:v>1196.8412239209474</c:v>
                </c:pt>
                <c:pt idx="3">
                  <c:v>385.03891290089814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DE-45F1-8712-7154D3C16988}"/>
            </c:ext>
          </c:extLst>
        </c:ser>
        <c:ser>
          <c:idx val="2"/>
          <c:order val="2"/>
          <c:tx>
            <c:strRef>
              <c:f>'CaHoREs - AMS'!$E$15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AMS'!$H$15:$K$15</c:f>
              <c:numCache>
                <c:formatCode>#,##0</c:formatCode>
                <c:ptCount val="4"/>
                <c:pt idx="0">
                  <c:v>624.54051287307163</c:v>
                </c:pt>
                <c:pt idx="1">
                  <c:v>1025.9267032804819</c:v>
                </c:pt>
                <c:pt idx="2">
                  <c:v>1207.1312034329169</c:v>
                </c:pt>
                <c:pt idx="3">
                  <c:v>1406.1622377246376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DE-45F1-8712-7154D3C16988}"/>
            </c:ext>
          </c:extLst>
        </c:ser>
        <c:ser>
          <c:idx val="3"/>
          <c:order val="3"/>
          <c:tx>
            <c:strRef>
              <c:f>'CaHoREs - AMS'!$E$16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AMS'!$H$16:$K$16</c:f>
              <c:numCache>
                <c:formatCode>#,##0</c:formatCode>
                <c:ptCount val="4"/>
                <c:pt idx="0">
                  <c:v>126.92767661024014</c:v>
                </c:pt>
                <c:pt idx="1">
                  <c:v>71.113638908206198</c:v>
                </c:pt>
                <c:pt idx="2">
                  <c:v>33.924975195836865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DE-45F1-8712-7154D3C16988}"/>
            </c:ext>
          </c:extLst>
        </c:ser>
        <c:ser>
          <c:idx val="4"/>
          <c:order val="4"/>
          <c:tx>
            <c:strRef>
              <c:f>'CaHoREs - AMS'!$E$17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AMS'!$H$17:$K$17</c:f>
              <c:numCache>
                <c:formatCode>#,##0</c:formatCode>
                <c:ptCount val="4"/>
                <c:pt idx="0">
                  <c:v>210.53470904103489</c:v>
                </c:pt>
                <c:pt idx="1">
                  <c:v>174.58704557132268</c:v>
                </c:pt>
                <c:pt idx="2">
                  <c:v>152.83274416830801</c:v>
                </c:pt>
                <c:pt idx="3">
                  <c:v>127.41314189545784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DE-45F1-8712-7154D3C16988}"/>
            </c:ext>
          </c:extLst>
        </c:ser>
        <c:ser>
          <c:idx val="5"/>
          <c:order val="5"/>
          <c:tx>
            <c:strRef>
              <c:f>'CaHoREs - AMS'!$E$18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AMS'!$H$18:$K$18</c:f>
              <c:numCache>
                <c:formatCode>#,##0</c:formatCode>
                <c:ptCount val="4"/>
                <c:pt idx="0">
                  <c:v>1500.7713046024307</c:v>
                </c:pt>
                <c:pt idx="1">
                  <c:v>882.20631636811538</c:v>
                </c:pt>
                <c:pt idx="2">
                  <c:v>819.78552316809657</c:v>
                </c:pt>
                <c:pt idx="3">
                  <c:v>550.99531779498398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DE-45F1-8712-7154D3C16988}"/>
            </c:ext>
          </c:extLst>
        </c:ser>
        <c:ser>
          <c:idx val="6"/>
          <c:order val="6"/>
          <c:tx>
            <c:strRef>
              <c:f>'CaHoREs - AMS'!$E$19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AMS'!$H$19:$K$19</c:f>
              <c:numCache>
                <c:formatCode>#,##0</c:formatCode>
                <c:ptCount val="4"/>
                <c:pt idx="0">
                  <c:v>330.32015047808898</c:v>
                </c:pt>
                <c:pt idx="1">
                  <c:v>871.18759099871102</c:v>
                </c:pt>
                <c:pt idx="2">
                  <c:v>1214.2551169114588</c:v>
                </c:pt>
                <c:pt idx="3">
                  <c:v>1294.8727456858439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DE-45F1-8712-7154D3C16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'CaHoREs - AMS'!$E$8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'CaHoREs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'CaHoREs - AMS'!$H$8:$K$8</c:f>
              <c:numCache>
                <c:formatCode>#,##0</c:formatCode>
                <c:ptCount val="4"/>
                <c:pt idx="0">
                  <c:v>0</c:v>
                </c:pt>
                <c:pt idx="1">
                  <c:v>2538.4223705281875</c:v>
                </c:pt>
                <c:pt idx="2">
                  <c:v>2455.4142509161229</c:v>
                </c:pt>
                <c:pt idx="3">
                  <c:v>1968.3972676496044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D-4C80-B2C2-70A53929F313}"/>
            </c:ext>
          </c:extLst>
        </c:ser>
        <c:ser>
          <c:idx val="1"/>
          <c:order val="1"/>
          <c:tx>
            <c:strRef>
              <c:f>'CaHoREs - AMS'!$E$9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'CaHoREs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'CaHoREs - AMS'!$H$9:$K$9</c:f>
              <c:numCache>
                <c:formatCode>#,##0</c:formatCode>
                <c:ptCount val="4"/>
                <c:pt idx="0">
                  <c:v>67243.869415029592</c:v>
                </c:pt>
                <c:pt idx="1">
                  <c:v>65307.245975876736</c:v>
                </c:pt>
                <c:pt idx="2">
                  <c:v>65891.713098028471</c:v>
                </c:pt>
                <c:pt idx="3">
                  <c:v>65411.016510782065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FD-4C80-B2C2-70A53929F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'CaHoREs - AMS'!$E$107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AMS'!$H$107:$K$107</c:f>
              <c:numCache>
                <c:formatCode>_-* #\ ##0_-;\-* #\ ##0_-;_-* "-"??_-;_-@_-</c:formatCode>
                <c:ptCount val="4"/>
                <c:pt idx="0" formatCode="0">
                  <c:v>847.0326662826759</c:v>
                </c:pt>
                <c:pt idx="1">
                  <c:v>96.434790349996831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CF-496A-BA8E-5D2BAFA751EB}"/>
            </c:ext>
          </c:extLst>
        </c:ser>
        <c:ser>
          <c:idx val="1"/>
          <c:order val="1"/>
          <c:tx>
            <c:strRef>
              <c:f>'CaHoREs - AMS'!$E$108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AMS'!$H$108:$K$108</c:f>
              <c:numCache>
                <c:formatCode>_-* #\ ##0_-;\-* #\ ##0_-;_-* "-"??_-;_-@_-</c:formatCode>
                <c:ptCount val="4"/>
                <c:pt idx="0" formatCode="0">
                  <c:v>2726.5353521505003</c:v>
                </c:pt>
                <c:pt idx="1">
                  <c:v>1953.8779624362639</c:v>
                </c:pt>
                <c:pt idx="2">
                  <c:v>861.47077300033038</c:v>
                </c:pt>
                <c:pt idx="3">
                  <c:v>270.16763730964226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CF-496A-BA8E-5D2BAFA751EB}"/>
            </c:ext>
          </c:extLst>
        </c:ser>
        <c:ser>
          <c:idx val="2"/>
          <c:order val="2"/>
          <c:tx>
            <c:strRef>
              <c:f>'CaHoREs - AMS'!$E$109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AMS'!$H$109:$K$109</c:f>
              <c:numCache>
                <c:formatCode>_-* #\ ##0_-;\-* #\ ##0_-;_-* "-"??_-;_-@_-</c:formatCode>
                <c:ptCount val="4"/>
                <c:pt idx="0" formatCode="0">
                  <c:v>463.72133080825563</c:v>
                </c:pt>
                <c:pt idx="1">
                  <c:v>680.53137912329476</c:v>
                </c:pt>
                <c:pt idx="2">
                  <c:v>806.37998807040196</c:v>
                </c:pt>
                <c:pt idx="3">
                  <c:v>929.61281435258934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CF-496A-BA8E-5D2BAFA751EB}"/>
            </c:ext>
          </c:extLst>
        </c:ser>
        <c:ser>
          <c:idx val="3"/>
          <c:order val="3"/>
          <c:tx>
            <c:strRef>
              <c:f>'CaHoREs - AMS'!$E$110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AMS'!$H$110:$K$110</c:f>
              <c:numCache>
                <c:formatCode>_-* #\ ##0_-;\-* #\ ##0_-;_-* "-"??_-;_-@_-</c:formatCode>
                <c:ptCount val="4"/>
                <c:pt idx="0" formatCode="0">
                  <c:v>94.243799883103293</c:v>
                </c:pt>
                <c:pt idx="1">
                  <c:v>50.779332855125688</c:v>
                </c:pt>
                <c:pt idx="2">
                  <c:v>24.067920497473835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CF-496A-BA8E-5D2BAFA751EB}"/>
            </c:ext>
          </c:extLst>
        </c:ser>
        <c:ser>
          <c:idx val="4"/>
          <c:order val="4"/>
          <c:tx>
            <c:strRef>
              <c:f>'CaHoREs - AMS'!$E$111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AMS'!$H$111:$K$111</c:f>
              <c:numCache>
                <c:formatCode>_-* #\ ##0_-;\-* #\ ##0_-;_-* "-"??_-;_-@_-</c:formatCode>
                <c:ptCount val="4"/>
                <c:pt idx="0" formatCode="0">
                  <c:v>156.32202146296839</c:v>
                </c:pt>
                <c:pt idx="1">
                  <c:v>115.93622063281389</c:v>
                </c:pt>
                <c:pt idx="2">
                  <c:v>100.03727882508771</c:v>
                </c:pt>
                <c:pt idx="3">
                  <c:v>77.965768524982551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CF-496A-BA8E-5D2BAFA751EB}"/>
            </c:ext>
          </c:extLst>
        </c:ser>
        <c:ser>
          <c:idx val="5"/>
          <c:order val="5"/>
          <c:tx>
            <c:strRef>
              <c:f>'CaHoREs - AMS'!$E$112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AMS'!$H$112:$K$112</c:f>
              <c:numCache>
                <c:formatCode>_-* #\ ##0_-;\-* #\ ##0_-;_-* "-"??_-;_-@_-</c:formatCode>
                <c:ptCount val="4"/>
                <c:pt idx="0" formatCode="0">
                  <c:v>1114.3226936673047</c:v>
                </c:pt>
                <c:pt idx="1">
                  <c:v>644.91422450139783</c:v>
                </c:pt>
                <c:pt idx="2">
                  <c:v>599.68894926677331</c:v>
                </c:pt>
                <c:pt idx="3">
                  <c:v>396.73087061677455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CF-496A-BA8E-5D2BAFA751EB}"/>
            </c:ext>
          </c:extLst>
        </c:ser>
        <c:ser>
          <c:idx val="6"/>
          <c:order val="6"/>
          <c:tx>
            <c:strRef>
              <c:f>'CaHoREs - AMS'!$E$113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AMS'!$H$113:$K$113</c:f>
              <c:numCache>
                <c:formatCode>_-* #\ ##0_-;\-* #\ ##0_-;_-* "-"??_-;_-@_-</c:formatCode>
                <c:ptCount val="4"/>
                <c:pt idx="0" formatCode="0">
                  <c:v>245.26271172998105</c:v>
                </c:pt>
                <c:pt idx="1">
                  <c:v>602.28393053254172</c:v>
                </c:pt>
                <c:pt idx="2">
                  <c:v>856.39497066571244</c:v>
                </c:pt>
                <c:pt idx="3">
                  <c:v>904.99860045437151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CF-496A-BA8E-5D2BAFA75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'CaHoREs - AMS'!$E$118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AMS'!$H$118:$K$118</c:f>
              <c:numCache>
                <c:formatCode>_-* #\ ##0_-;\-* #\ ##0_-;_-* "-"??_-;_-@_-</c:formatCode>
                <c:ptCount val="4"/>
                <c:pt idx="0">
                  <c:v>293.75206945156782</c:v>
                </c:pt>
                <c:pt idx="1">
                  <c:v>33.176965171473938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1-43AF-A6A3-6D014858E6E5}"/>
            </c:ext>
          </c:extLst>
        </c:ser>
        <c:ser>
          <c:idx val="1"/>
          <c:order val="1"/>
          <c:tx>
            <c:strRef>
              <c:f>'CaHoREs - AMS'!$E$119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AMS'!$H$119:$K$119</c:f>
              <c:numCache>
                <c:formatCode>_-* #\ ##0_-;\-* #\ ##0_-;_-* "-"??_-;_-@_-</c:formatCode>
                <c:ptCount val="4"/>
                <c:pt idx="0">
                  <c:v>945.56613222727822</c:v>
                </c:pt>
                <c:pt idx="1">
                  <c:v>751.27066226873274</c:v>
                </c:pt>
                <c:pt idx="2">
                  <c:v>335.37045092061692</c:v>
                </c:pt>
                <c:pt idx="3">
                  <c:v>114.87127559125585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1-43AF-A6A3-6D014858E6E5}"/>
            </c:ext>
          </c:extLst>
        </c:ser>
        <c:ser>
          <c:idx val="2"/>
          <c:order val="2"/>
          <c:tx>
            <c:strRef>
              <c:f>'CaHoREs - AMS'!$E$120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AMS'!$H$120:$K$120</c:f>
              <c:numCache>
                <c:formatCode>_-* #\ ##0_-;\-* #\ ##0_-;_-* "-"??_-;_-@_-</c:formatCode>
                <c:ptCount val="4"/>
                <c:pt idx="0">
                  <c:v>160.819182064816</c:v>
                </c:pt>
                <c:pt idx="1">
                  <c:v>272.51506791746311</c:v>
                </c:pt>
                <c:pt idx="2">
                  <c:v>330.25419254270662</c:v>
                </c:pt>
                <c:pt idx="3">
                  <c:v>420.03507063333285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D1-43AF-A6A3-6D014858E6E5}"/>
            </c:ext>
          </c:extLst>
        </c:ser>
        <c:ser>
          <c:idx val="3"/>
          <c:order val="3"/>
          <c:tx>
            <c:strRef>
              <c:f>'CaHoREs - AMS'!$E$121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AMS'!$H$121:$K$121</c:f>
              <c:numCache>
                <c:formatCode>_-* #\ ##0_-;\-* #\ ##0_-;_-* "-"??_-;_-@_-</c:formatCode>
                <c:ptCount val="4"/>
                <c:pt idx="0">
                  <c:v>32.683876727136848</c:v>
                </c:pt>
                <c:pt idx="1">
                  <c:v>20.334306053080514</c:v>
                </c:pt>
                <c:pt idx="2">
                  <c:v>9.8570546983630294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D1-43AF-A6A3-6D014858E6E5}"/>
            </c:ext>
          </c:extLst>
        </c:ser>
        <c:ser>
          <c:idx val="4"/>
          <c:order val="4"/>
          <c:tx>
            <c:strRef>
              <c:f>'CaHoREs - AMS'!$E$122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AMS'!$H$122:$K$122</c:f>
              <c:numCache>
                <c:formatCode>_-* #\ ##0_-;\-* #\ ##0_-;_-* "-"??_-;_-@_-</c:formatCode>
                <c:ptCount val="4"/>
                <c:pt idx="0">
                  <c:v>54.212687578066493</c:v>
                </c:pt>
                <c:pt idx="1">
                  <c:v>46.426025322369703</c:v>
                </c:pt>
                <c:pt idx="2">
                  <c:v>40.97042490055513</c:v>
                </c:pt>
                <c:pt idx="3">
                  <c:v>35.227953599348851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D1-43AF-A6A3-6D014858E6E5}"/>
            </c:ext>
          </c:extLst>
        </c:ser>
        <c:ser>
          <c:idx val="5"/>
          <c:order val="5"/>
          <c:tx>
            <c:strRef>
              <c:f>'CaHoREs - AMS'!$E$123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AMS'!$H$123:$K$123</c:f>
              <c:numCache>
                <c:formatCode>_-* #\ ##0_-;\-* #\ ##0_-;_-* "-"??_-;_-@_-</c:formatCode>
                <c:ptCount val="4"/>
                <c:pt idx="0">
                  <c:v>386.44861093512594</c:v>
                </c:pt>
                <c:pt idx="1">
                  <c:v>232.68422405538169</c:v>
                </c:pt>
                <c:pt idx="2">
                  <c:v>215.63938646803675</c:v>
                </c:pt>
                <c:pt idx="3">
                  <c:v>153.37116455168214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D1-43AF-A6A3-6D014858E6E5}"/>
            </c:ext>
          </c:extLst>
        </c:ser>
        <c:ser>
          <c:idx val="6"/>
          <c:order val="6"/>
          <c:tx>
            <c:strRef>
              <c:f>'CaHoREs - AMS'!$E$124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'CaHoREs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'CaHoREs - AMS'!$H$124:$K$124</c:f>
              <c:numCache>
                <c:formatCode>_-* #\ ##0_-;\-* #\ ##0_-;_-* "-"??_-;_-@_-</c:formatCode>
                <c:ptCount val="4"/>
                <c:pt idx="0">
                  <c:v>85.057438748107927</c:v>
                </c:pt>
                <c:pt idx="1">
                  <c:v>217.30326873366423</c:v>
                </c:pt>
                <c:pt idx="2">
                  <c:v>307.94712204462263</c:v>
                </c:pt>
                <c:pt idx="3">
                  <c:v>349.86107598217421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D1-43AF-A6A3-6D014858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'CaHoREs - AMS'!$E$45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'CaHoREs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'CaHoREs - AMS'!$H$45:$K$45</c:f>
              <c:numCache>
                <c:formatCode>0%</c:formatCode>
                <c:ptCount val="4"/>
                <c:pt idx="0">
                  <c:v>7.9577911246311389E-2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B-4C55-8E27-FF29A5441F2C}"/>
            </c:ext>
          </c:extLst>
        </c:ser>
        <c:ser>
          <c:idx val="1"/>
          <c:order val="1"/>
          <c:tx>
            <c:strRef>
              <c:f>'CaHoREs - AMS'!$E$46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'CaHoREs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'CaHoREs - AMS'!$H$46:$K$46</c:f>
              <c:numCache>
                <c:formatCode>0%</c:formatCode>
                <c:ptCount val="4"/>
                <c:pt idx="0">
                  <c:v>0.34462030283054329</c:v>
                </c:pt>
                <c:pt idx="1">
                  <c:v>0.29637346043426721</c:v>
                </c:pt>
                <c:pt idx="2">
                  <c:v>0.13784812113221731</c:v>
                </c:pt>
                <c:pt idx="3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FB-4C55-8E27-FF29A5441F2C}"/>
            </c:ext>
          </c:extLst>
        </c:ser>
        <c:ser>
          <c:idx val="2"/>
          <c:order val="2"/>
          <c:tx>
            <c:strRef>
              <c:f>'CaHoREs - AMS'!$E$47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'CaHoREs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'CaHoREs - AMS'!$H$47:$K$47</c:f>
              <c:numCache>
                <c:formatCode>0%</c:formatCode>
                <c:ptCount val="4"/>
                <c:pt idx="0">
                  <c:v>6.6086937326922057E-2</c:v>
                </c:pt>
                <c:pt idx="1">
                  <c:v>0.12</c:v>
                </c:pt>
                <c:pt idx="2">
                  <c:v>0.15</c:v>
                </c:pt>
                <c:pt idx="3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FB-4C55-8E27-FF29A5441F2C}"/>
            </c:ext>
          </c:extLst>
        </c:ser>
        <c:ser>
          <c:idx val="3"/>
          <c:order val="3"/>
          <c:tx>
            <c:strRef>
              <c:f>'CaHoREs - AMS'!$E$48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'CaHoREs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'CaHoREs - AMS'!$H$48:$K$48</c:f>
              <c:numCache>
                <c:formatCode>0%</c:formatCode>
                <c:ptCount val="4"/>
                <c:pt idx="0">
                  <c:v>1.4148263803273525E-2</c:v>
                </c:pt>
                <c:pt idx="1">
                  <c:v>9.432175868849018E-3</c:v>
                </c:pt>
                <c:pt idx="2">
                  <c:v>4.716087934424509E-3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FB-4C55-8E27-FF29A5441F2C}"/>
            </c:ext>
          </c:extLst>
        </c:ser>
        <c:ser>
          <c:idx val="4"/>
          <c:order val="4"/>
          <c:tx>
            <c:strRef>
              <c:f>'CaHoREs - AMS'!$E$49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'CaHoREs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'CaHoREs - AMS'!$H$49:$K$49</c:f>
              <c:numCache>
                <c:formatCode>0%</c:formatCode>
                <c:ptCount val="4"/>
                <c:pt idx="0">
                  <c:v>2.6562983479710957E-2</c:v>
                </c:pt>
                <c:pt idx="1">
                  <c:v>2.4375322319807304E-2</c:v>
                </c:pt>
                <c:pt idx="2">
                  <c:v>2.2187661159903654E-2</c:v>
                </c:pt>
                <c:pt idx="3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FB-4C55-8E27-FF29A5441F2C}"/>
            </c:ext>
          </c:extLst>
        </c:ser>
        <c:ser>
          <c:idx val="5"/>
          <c:order val="5"/>
          <c:tx>
            <c:strRef>
              <c:f>'CaHoREs - AMS'!$E$50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'CaHoREs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'CaHoREs - AMS'!$H$50:$K$50</c:f>
              <c:numCache>
                <c:formatCode>0%</c:formatCode>
                <c:ptCount val="4"/>
                <c:pt idx="0">
                  <c:v>0.36221493246354636</c:v>
                </c:pt>
                <c:pt idx="1">
                  <c:v>0.23981904137707649</c:v>
                </c:pt>
                <c:pt idx="2">
                  <c:v>0.2352481297734545</c:v>
                </c:pt>
                <c:pt idx="3">
                  <c:v>0.17999999999999994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FB-4C55-8E27-FF29A5441F2C}"/>
            </c:ext>
          </c:extLst>
        </c:ser>
        <c:ser>
          <c:idx val="6"/>
          <c:order val="6"/>
          <c:tx>
            <c:strRef>
              <c:f>'CaHoREs - AMS'!$E$51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'CaHoREs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'CaHoREs - AMS'!$H$51:$K$51</c:f>
              <c:numCache>
                <c:formatCode>0%</c:formatCode>
                <c:ptCount val="4"/>
                <c:pt idx="0">
                  <c:v>0.10678866884969246</c:v>
                </c:pt>
                <c:pt idx="1">
                  <c:v>0.3</c:v>
                </c:pt>
                <c:pt idx="2">
                  <c:v>0.45</c:v>
                </c:pt>
                <c:pt idx="3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FB-4C55-8E27-FF29A5441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233088"/>
        <c:axId val="1666230592"/>
      </c:areaChart>
      <c:catAx>
        <c:axId val="166623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66230592"/>
        <c:crosses val="autoZero"/>
        <c:auto val="1"/>
        <c:lblAlgn val="ctr"/>
        <c:lblOffset val="100"/>
        <c:noMultiLvlLbl val="0"/>
      </c:catAx>
      <c:valAx>
        <c:axId val="166623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66233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'Commerce - AMS'!$E$13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AMS'!$H$13:$K$13</c:f>
              <c:numCache>
                <c:formatCode>#,##0</c:formatCode>
                <c:ptCount val="4"/>
                <c:pt idx="0">
                  <c:v>3424.0581411789453</c:v>
                </c:pt>
                <c:pt idx="1">
                  <c:v>336.25896001992623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A-4612-BBA8-EF3C5C4FAB53}"/>
            </c:ext>
          </c:extLst>
        </c:ser>
        <c:ser>
          <c:idx val="1"/>
          <c:order val="1"/>
          <c:tx>
            <c:strRef>
              <c:f>'Commerce - AMS'!$E$14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AMS'!$H$14:$K$14</c:f>
              <c:numCache>
                <c:formatCode>#,##0</c:formatCode>
                <c:ptCount val="4"/>
                <c:pt idx="0">
                  <c:v>7860.7872905325057</c:v>
                </c:pt>
                <c:pt idx="1">
                  <c:v>5829.9327422002825</c:v>
                </c:pt>
                <c:pt idx="2">
                  <c:v>2466.7935815085584</c:v>
                </c:pt>
                <c:pt idx="3">
                  <c:v>697.56818336440085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A-4612-BBA8-EF3C5C4FAB53}"/>
            </c:ext>
          </c:extLst>
        </c:ser>
        <c:ser>
          <c:idx val="2"/>
          <c:order val="2"/>
          <c:tx>
            <c:strRef>
              <c:f>'Commerce - AMS'!$E$15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AMS'!$H$15:$K$15</c:f>
              <c:numCache>
                <c:formatCode>#,##0</c:formatCode>
                <c:ptCount val="4"/>
                <c:pt idx="0">
                  <c:v>389.32830220965593</c:v>
                </c:pt>
                <c:pt idx="1">
                  <c:v>1788.2294086542302</c:v>
                </c:pt>
                <c:pt idx="2">
                  <c:v>1637.535918795445</c:v>
                </c:pt>
                <c:pt idx="3">
                  <c:v>1466.9299469405187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2A-4612-BBA8-EF3C5C4FAB53}"/>
            </c:ext>
          </c:extLst>
        </c:ser>
        <c:ser>
          <c:idx val="3"/>
          <c:order val="3"/>
          <c:tx>
            <c:strRef>
              <c:f>'Commerce - AMS'!$E$16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AMS'!$H$16:$K$16</c:f>
              <c:numCache>
                <c:formatCode>#,##0</c:formatCode>
                <c:ptCount val="4"/>
                <c:pt idx="0">
                  <c:v>160.79190512601076</c:v>
                </c:pt>
                <c:pt idx="1">
                  <c:v>95.172609017803723</c:v>
                </c:pt>
                <c:pt idx="2">
                  <c:v>45.724867276067648</c:v>
                </c:pt>
                <c:pt idx="3">
                  <c:v>4.113305875049531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2A-4612-BBA8-EF3C5C4FAB53}"/>
            </c:ext>
          </c:extLst>
        </c:ser>
        <c:ser>
          <c:idx val="4"/>
          <c:order val="4"/>
          <c:tx>
            <c:strRef>
              <c:f>'Commerce - AMS'!$E$17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AMS'!$H$17:$K$17</c:f>
              <c:numCache>
                <c:formatCode>#,##0</c:formatCode>
                <c:ptCount val="4"/>
                <c:pt idx="0">
                  <c:v>140.34318919677133</c:v>
                </c:pt>
                <c:pt idx="1">
                  <c:v>210.63173598772141</c:v>
                </c:pt>
                <c:pt idx="2">
                  <c:v>278.71425579410402</c:v>
                </c:pt>
                <c:pt idx="3">
                  <c:v>329.67434155605088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2A-4612-BBA8-EF3C5C4FAB53}"/>
            </c:ext>
          </c:extLst>
        </c:ser>
        <c:ser>
          <c:idx val="5"/>
          <c:order val="5"/>
          <c:tx>
            <c:strRef>
              <c:f>'Commerce - AMS'!$E$18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AMS'!$H$18:$K$18</c:f>
              <c:numCache>
                <c:formatCode>#,##0</c:formatCode>
                <c:ptCount val="4"/>
                <c:pt idx="0">
                  <c:v>3469.516037445308</c:v>
                </c:pt>
                <c:pt idx="1">
                  <c:v>1871.9552060591268</c:v>
                </c:pt>
                <c:pt idx="2">
                  <c:v>2144.5730848561302</c:v>
                </c:pt>
                <c:pt idx="3">
                  <c:v>1491.7509513502748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2A-4612-BBA8-EF3C5C4FAB53}"/>
            </c:ext>
          </c:extLst>
        </c:ser>
        <c:ser>
          <c:idx val="6"/>
          <c:order val="6"/>
          <c:tx>
            <c:strRef>
              <c:f>'Commerce - AMS'!$E$19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AMS'!$H$19:$K$19</c:f>
              <c:numCache>
                <c:formatCode>#,##0</c:formatCode>
                <c:ptCount val="4"/>
                <c:pt idx="0">
                  <c:v>818.64485552683084</c:v>
                </c:pt>
                <c:pt idx="1">
                  <c:v>2135.9144477415966</c:v>
                </c:pt>
                <c:pt idx="2">
                  <c:v>3097.4635278586397</c:v>
                </c:pt>
                <c:pt idx="3">
                  <c:v>3717.037025536195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2A-4612-BBA8-EF3C5C4FA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'Commerce - AMS'!$E$8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'Commerce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'Commerce - AMS'!$H$8:$K$8</c:f>
              <c:numCache>
                <c:formatCode>#,##0</c:formatCode>
                <c:ptCount val="4"/>
                <c:pt idx="0">
                  <c:v>0</c:v>
                </c:pt>
                <c:pt idx="1">
                  <c:v>8548.2555376449054</c:v>
                </c:pt>
                <c:pt idx="2">
                  <c:v>8509.5989406365734</c:v>
                </c:pt>
                <c:pt idx="3">
                  <c:v>8456.4844883645164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6-4316-8923-1C8D00C3F2FF}"/>
            </c:ext>
          </c:extLst>
        </c:ser>
        <c:ser>
          <c:idx val="1"/>
          <c:order val="1"/>
          <c:tx>
            <c:strRef>
              <c:f>'Commerce - AMS'!$E$9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'Commerce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'Commerce - AMS'!$H$9:$K$9</c:f>
              <c:numCache>
                <c:formatCode>#,##0</c:formatCode>
                <c:ptCount val="4"/>
                <c:pt idx="0">
                  <c:v>184229.64520786435</c:v>
                </c:pt>
                <c:pt idx="1">
                  <c:v>174848.27335538471</c:v>
                </c:pt>
                <c:pt idx="2">
                  <c:v>173742.22192928832</c:v>
                </c:pt>
                <c:pt idx="3">
                  <c:v>168750.04546033838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6-4316-8923-1C8D00C3F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'Commerce - AMS'!$E$107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AMS'!$H$107:$K$107</c:f>
              <c:numCache>
                <c:formatCode>_-* #\ ##0_-;\-* #\ ##0_-;_-* "-"??_-;_-@_-</c:formatCode>
                <c:ptCount val="4"/>
                <c:pt idx="0" formatCode="0">
                  <c:v>2234.1979371192624</c:v>
                </c:pt>
                <c:pt idx="1">
                  <c:v>222.44708859102619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B-4B9B-8539-106D984C36C3}"/>
            </c:ext>
          </c:extLst>
        </c:ser>
        <c:ser>
          <c:idx val="1"/>
          <c:order val="1"/>
          <c:tx>
            <c:strRef>
              <c:f>'Commerce - AMS'!$E$108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AMS'!$H$108:$K$108</c:f>
              <c:numCache>
                <c:formatCode>_-* #\ ##0_-;\-* #\ ##0_-;_-* "-"??_-;_-@_-</c:formatCode>
                <c:ptCount val="4"/>
                <c:pt idx="0" formatCode="0">
                  <c:v>5129.163707072461</c:v>
                </c:pt>
                <c:pt idx="1">
                  <c:v>3709.0408436845182</c:v>
                </c:pt>
                <c:pt idx="2">
                  <c:v>1534.35229975125</c:v>
                </c:pt>
                <c:pt idx="3">
                  <c:v>423.51189895990558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6B-4B9B-8539-106D984C36C3}"/>
            </c:ext>
          </c:extLst>
        </c:ser>
        <c:ser>
          <c:idx val="2"/>
          <c:order val="2"/>
          <c:tx>
            <c:strRef>
              <c:f>'Commerce - AMS'!$E$109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AMS'!$H$109:$K$109</c:f>
              <c:numCache>
                <c:formatCode>_-* #\ ##0_-;\-* #\ ##0_-;_-* "-"??_-;_-@_-</c:formatCode>
                <c:ptCount val="4"/>
                <c:pt idx="0" formatCode="0">
                  <c:v>254.03671719180051</c:v>
                </c:pt>
                <c:pt idx="1">
                  <c:v>1094.6213315294635</c:v>
                </c:pt>
                <c:pt idx="2">
                  <c:v>973.56698957222659</c:v>
                </c:pt>
                <c:pt idx="3">
                  <c:v>844.74186638905474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6B-4B9B-8539-106D984C36C3}"/>
            </c:ext>
          </c:extLst>
        </c:ser>
        <c:ser>
          <c:idx val="3"/>
          <c:order val="3"/>
          <c:tx>
            <c:strRef>
              <c:f>'Commerce - AMS'!$E$110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AMS'!$H$110:$K$110</c:f>
              <c:numCache>
                <c:formatCode>_-* #\ ##0_-;\-* #\ ##0_-;_-* "-"??_-;_-@_-</c:formatCode>
                <c:ptCount val="4"/>
                <c:pt idx="0" formatCode="0">
                  <c:v>104.91671809472203</c:v>
                </c:pt>
                <c:pt idx="1">
                  <c:v>57.043695502904001</c:v>
                </c:pt>
                <c:pt idx="2">
                  <c:v>25.367612207611252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6B-4B9B-8539-106D984C36C3}"/>
            </c:ext>
          </c:extLst>
        </c:ser>
        <c:ser>
          <c:idx val="4"/>
          <c:order val="4"/>
          <c:tx>
            <c:strRef>
              <c:f>'Commerce - AMS'!$E$111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AMS'!$H$111:$K$111</c:f>
              <c:numCache>
                <c:formatCode>_-* #\ ##0_-;\-* #\ ##0_-;_-* "-"??_-;_-@_-</c:formatCode>
                <c:ptCount val="4"/>
                <c:pt idx="0" formatCode="0">
                  <c:v>91.573930950893313</c:v>
                </c:pt>
                <c:pt idx="1">
                  <c:v>121.86487810173935</c:v>
                </c:pt>
                <c:pt idx="2">
                  <c:v>150.35118903474822</c:v>
                </c:pt>
                <c:pt idx="3">
                  <c:v>166.86695256324086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6B-4B9B-8539-106D984C36C3}"/>
            </c:ext>
          </c:extLst>
        </c:ser>
        <c:ser>
          <c:idx val="5"/>
          <c:order val="5"/>
          <c:tx>
            <c:strRef>
              <c:f>'Commerce - AMS'!$E$112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AMS'!$H$112:$K$112</c:f>
              <c:numCache>
                <c:formatCode>_-* #\ ##0_-;\-* #\ ##0_-;_-* "-"??_-;_-@_-</c:formatCode>
                <c:ptCount val="4"/>
                <c:pt idx="0" formatCode="0">
                  <c:v>2263.8592144330637</c:v>
                </c:pt>
                <c:pt idx="1">
                  <c:v>1160.2848104975837</c:v>
                </c:pt>
                <c:pt idx="2">
                  <c:v>1374.9434951239468</c:v>
                </c:pt>
                <c:pt idx="3">
                  <c:v>940.52791974247248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6B-4B9B-8539-106D984C36C3}"/>
            </c:ext>
          </c:extLst>
        </c:ser>
        <c:ser>
          <c:idx val="6"/>
          <c:order val="6"/>
          <c:tx>
            <c:strRef>
              <c:f>'Commerce - AMS'!$E$113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AMS'!$H$113:$K$113</c:f>
              <c:numCache>
                <c:formatCode>_-* #\ ##0_-;\-* #\ ##0_-;_-* "-"??_-;_-@_-</c:formatCode>
                <c:ptCount val="4"/>
                <c:pt idx="0" formatCode="0">
                  <c:v>534.16576823125718</c:v>
                </c:pt>
                <c:pt idx="1">
                  <c:v>1264.2401591462929</c:v>
                </c:pt>
                <c:pt idx="2">
                  <c:v>1829.7912377440325</c:v>
                </c:pt>
                <c:pt idx="3">
                  <c:v>2199.6960107925665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6B-4B9B-8539-106D984C3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'Commerce - AMS'!$E$118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AMS'!$H$118:$K$118</c:f>
              <c:numCache>
                <c:formatCode>_-* #\ ##0_-;\-* #\ ##0_-;_-* "-"??_-;_-@_-</c:formatCode>
                <c:ptCount val="4"/>
                <c:pt idx="0">
                  <c:v>1189.8602040596832</c:v>
                </c:pt>
                <c:pt idx="1">
                  <c:v>113.81187142890008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0-443C-8C93-DFDB8616FFFC}"/>
            </c:ext>
          </c:extLst>
        </c:ser>
        <c:ser>
          <c:idx val="1"/>
          <c:order val="1"/>
          <c:tx>
            <c:strRef>
              <c:f>'Commerce - AMS'!$E$119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AMS'!$H$119:$K$119</c:f>
              <c:numCache>
                <c:formatCode>_-* #\ ##0_-;\-* #\ ##0_-;_-* "-"??_-;_-@_-</c:formatCode>
                <c:ptCount val="4"/>
                <c:pt idx="0">
                  <c:v>2731.6235834600452</c:v>
                </c:pt>
                <c:pt idx="1">
                  <c:v>2120.8918985157643</c:v>
                </c:pt>
                <c:pt idx="2">
                  <c:v>932.44128175730827</c:v>
                </c:pt>
                <c:pt idx="3">
                  <c:v>274.05628440449527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E0-443C-8C93-DFDB8616FFFC}"/>
            </c:ext>
          </c:extLst>
        </c:ser>
        <c:ser>
          <c:idx val="2"/>
          <c:order val="2"/>
          <c:tx>
            <c:strRef>
              <c:f>'Commerce - AMS'!$E$120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AMS'!$H$120:$K$120</c:f>
              <c:numCache>
                <c:formatCode>_-* #\ ##0_-;\-* #\ ##0_-;_-* "-"??_-;_-@_-</c:formatCode>
                <c:ptCount val="4"/>
                <c:pt idx="0">
                  <c:v>135.2915850178554</c:v>
                </c:pt>
                <c:pt idx="1">
                  <c:v>651.87480324185037</c:v>
                </c:pt>
                <c:pt idx="2">
                  <c:v>622.42437996876276</c:v>
                </c:pt>
                <c:pt idx="3">
                  <c:v>580.9028403424677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E0-443C-8C93-DFDB8616FFFC}"/>
            </c:ext>
          </c:extLst>
        </c:ser>
        <c:ser>
          <c:idx val="3"/>
          <c:order val="3"/>
          <c:tx>
            <c:strRef>
              <c:f>'Commerce - AMS'!$E$121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AMS'!$H$121:$K$121</c:f>
              <c:numCache>
                <c:formatCode>_-* #\ ##0_-;\-* #\ ##0_-;_-* "-"??_-;_-@_-</c:formatCode>
                <c:ptCount val="4"/>
                <c:pt idx="0">
                  <c:v>55.875187031288725</c:v>
                </c:pt>
                <c:pt idx="1">
                  <c:v>33.970969422079698</c:v>
                </c:pt>
                <c:pt idx="2">
                  <c:v>16.218113872727059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E0-443C-8C93-DFDB8616FFFC}"/>
            </c:ext>
          </c:extLst>
        </c:ser>
        <c:ser>
          <c:idx val="4"/>
          <c:order val="4"/>
          <c:tx>
            <c:strRef>
              <c:f>'Commerce - AMS'!$E$122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AMS'!$H$122:$K$122</c:f>
              <c:numCache>
                <c:formatCode>_-* #\ ##0_-;\-* #\ ##0_-;_-* "-"??_-;_-@_-</c:formatCode>
                <c:ptCount val="4"/>
                <c:pt idx="0">
                  <c:v>48.769258245878021</c:v>
                </c:pt>
                <c:pt idx="1">
                  <c:v>72.573629936175905</c:v>
                </c:pt>
                <c:pt idx="2">
                  <c:v>96.123067662388891</c:v>
                </c:pt>
                <c:pt idx="3">
                  <c:v>114.74923945421529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E0-443C-8C93-DFDB8616FFFC}"/>
            </c:ext>
          </c:extLst>
        </c:ser>
        <c:ser>
          <c:idx val="5"/>
          <c:order val="5"/>
          <c:tx>
            <c:strRef>
              <c:f>'Commerce - AMS'!$E$123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AMS'!$H$123:$K$123</c:f>
              <c:numCache>
                <c:formatCode>_-* #\ ##0_-;\-* #\ ##0_-;_-* "-"??_-;_-@_-</c:formatCode>
                <c:ptCount val="4"/>
                <c:pt idx="0">
                  <c:v>1205.6568230122441</c:v>
                </c:pt>
                <c:pt idx="1">
                  <c:v>622.56902953833173</c:v>
                </c:pt>
                <c:pt idx="2">
                  <c:v>771.78982611382912</c:v>
                </c:pt>
                <c:pt idx="3">
                  <c:v>553.36978441954216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E0-443C-8C93-DFDB8616FFFC}"/>
            </c:ext>
          </c:extLst>
        </c:ser>
        <c:ser>
          <c:idx val="6"/>
          <c:order val="6"/>
          <c:tx>
            <c:strRef>
              <c:f>'Commerce - AMS'!$E$124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'Commerce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'Commerce - AMS'!$H$124:$K$124</c:f>
              <c:numCache>
                <c:formatCode>_-* #\ ##0_-;\-* #\ ##0_-;_-* "-"??_-;_-@_-</c:formatCode>
                <c:ptCount val="4"/>
                <c:pt idx="0">
                  <c:v>284.47908729557366</c:v>
                </c:pt>
                <c:pt idx="1">
                  <c:v>678.34790377507272</c:v>
                </c:pt>
                <c:pt idx="2">
                  <c:v>1027.107125646475</c:v>
                </c:pt>
                <c:pt idx="3">
                  <c:v>1294.2149634580815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E0-443C-8C93-DFDB8616F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'Commerce - AMS'!$E$45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'Commerce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'Commerce - AMS'!$H$45:$K$45</c:f>
              <c:numCache>
                <c:formatCode>0%</c:formatCode>
                <c:ptCount val="4"/>
                <c:pt idx="0">
                  <c:v>0.1836452867363588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7D-4FC7-8144-16701B3B2B2A}"/>
            </c:ext>
          </c:extLst>
        </c:ser>
        <c:ser>
          <c:idx val="1"/>
          <c:order val="1"/>
          <c:tx>
            <c:strRef>
              <c:f>'Commerce - AMS'!$E$46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'Commerce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'Commerce - AMS'!$H$46:$K$46</c:f>
              <c:numCache>
                <c:formatCode>0%</c:formatCode>
                <c:ptCount val="4"/>
                <c:pt idx="0">
                  <c:v>0.39294128743187395</c:v>
                </c:pt>
                <c:pt idx="1">
                  <c:v>0.33792950719141157</c:v>
                </c:pt>
                <c:pt idx="2">
                  <c:v>0.15717651497274959</c:v>
                </c:pt>
                <c:pt idx="3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7D-4FC7-8144-16701B3B2B2A}"/>
            </c:ext>
          </c:extLst>
        </c:ser>
        <c:ser>
          <c:idx val="2"/>
          <c:order val="2"/>
          <c:tx>
            <c:strRef>
              <c:f>'Commerce - AMS'!$E$47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'Commerce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'Commerce - AMS'!$H$47:$K$47</c:f>
              <c:numCache>
                <c:formatCode>0%</c:formatCode>
                <c:ptCount val="4"/>
                <c:pt idx="0">
                  <c:v>4.1639881083029275E-2</c:v>
                </c:pt>
                <c:pt idx="1">
                  <c:v>0.22</c:v>
                </c:pt>
                <c:pt idx="2">
                  <c:v>0.22</c:v>
                </c:pt>
                <c:pt idx="3">
                  <c:v>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7D-4FC7-8144-16701B3B2B2A}"/>
            </c:ext>
          </c:extLst>
        </c:ser>
        <c:ser>
          <c:idx val="3"/>
          <c:order val="3"/>
          <c:tx>
            <c:strRef>
              <c:f>'Commerce - AMS'!$E$48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'Commerce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'Commerce - AMS'!$H$48:$K$48</c:f>
              <c:numCache>
                <c:formatCode>0%</c:formatCode>
                <c:ptCount val="4"/>
                <c:pt idx="0">
                  <c:v>1.8191868324415598E-2</c:v>
                </c:pt>
                <c:pt idx="1">
                  <c:v>1.2127912216277067E-2</c:v>
                </c:pt>
                <c:pt idx="2">
                  <c:v>6.0639561081385334E-3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7D-4FC7-8144-16701B3B2B2A}"/>
            </c:ext>
          </c:extLst>
        </c:ser>
        <c:ser>
          <c:idx val="4"/>
          <c:order val="4"/>
          <c:tx>
            <c:strRef>
              <c:f>'Commerce - AMS'!$E$49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'Commerce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'Commerce - AMS'!$H$49:$K$49</c:f>
              <c:numCache>
                <c:formatCode>0%</c:formatCode>
                <c:ptCount val="4"/>
                <c:pt idx="0">
                  <c:v>1.3815793734488184E-2</c:v>
                </c:pt>
                <c:pt idx="1">
                  <c:v>2.2543862489658791E-2</c:v>
                </c:pt>
                <c:pt idx="2">
                  <c:v>3.1271931244829396E-2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7D-4FC7-8144-16701B3B2B2A}"/>
            </c:ext>
          </c:extLst>
        </c:ser>
        <c:ser>
          <c:idx val="5"/>
          <c:order val="5"/>
          <c:tx>
            <c:strRef>
              <c:f>'Commerce - AMS'!$E$50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'Commerce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'Commerce - AMS'!$H$50:$K$50</c:f>
              <c:numCache>
                <c:formatCode>0%</c:formatCode>
                <c:ptCount val="4"/>
                <c:pt idx="0">
                  <c:v>0.26215626418619603</c:v>
                </c:pt>
                <c:pt idx="1">
                  <c:v>0.15232563910022712</c:v>
                </c:pt>
                <c:pt idx="2">
                  <c:v>0.20295105817306985</c:v>
                </c:pt>
                <c:pt idx="3">
                  <c:v>0.15999999999999992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7D-4FC7-8144-16701B3B2B2A}"/>
            </c:ext>
          </c:extLst>
        </c:ser>
        <c:ser>
          <c:idx val="6"/>
          <c:order val="6"/>
          <c:tx>
            <c:strRef>
              <c:f>'Commerce - AMS'!$E$51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'Commerce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'Commerce - AMS'!$H$51:$K$51</c:f>
              <c:numCache>
                <c:formatCode>0%</c:formatCode>
                <c:ptCount val="4"/>
                <c:pt idx="0">
                  <c:v>8.7609618503638187E-2</c:v>
                </c:pt>
                <c:pt idx="1">
                  <c:v>0.23507307900242547</c:v>
                </c:pt>
                <c:pt idx="2">
                  <c:v>0.38253653950121275</c:v>
                </c:pt>
                <c:pt idx="3">
                  <c:v>0.53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7D-4FC7-8144-16701B3B2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920096"/>
        <c:axId val="1666915520"/>
      </c:areaChart>
      <c:catAx>
        <c:axId val="166692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66915520"/>
        <c:crosses val="autoZero"/>
        <c:auto val="1"/>
        <c:lblAlgn val="ctr"/>
        <c:lblOffset val="100"/>
        <c:noMultiLvlLbl val="0"/>
      </c:catAx>
      <c:valAx>
        <c:axId val="166691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6692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'Enseignement - AMS'!$E$13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AMS'!$H$13:$K$13</c:f>
              <c:numCache>
                <c:formatCode>#,##0</c:formatCode>
                <c:ptCount val="4"/>
                <c:pt idx="0">
                  <c:v>3589.0688094094048</c:v>
                </c:pt>
                <c:pt idx="1">
                  <c:v>304.41373868944157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C-42E4-B74C-E478FE364A14}"/>
            </c:ext>
          </c:extLst>
        </c:ser>
        <c:ser>
          <c:idx val="1"/>
          <c:order val="1"/>
          <c:tx>
            <c:strRef>
              <c:f>'Enseignement - AMS'!$E$14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AMS'!$H$14:$K$14</c:f>
              <c:numCache>
                <c:formatCode>#,##0</c:formatCode>
                <c:ptCount val="4"/>
                <c:pt idx="0">
                  <c:v>8980.3737607899948</c:v>
                </c:pt>
                <c:pt idx="1">
                  <c:v>6134.6032135862561</c:v>
                </c:pt>
                <c:pt idx="2">
                  <c:v>2447.6472400904108</c:v>
                </c:pt>
                <c:pt idx="3">
                  <c:v>434.6185002898236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C-42E4-B74C-E478FE364A14}"/>
            </c:ext>
          </c:extLst>
        </c:ser>
        <c:ser>
          <c:idx val="2"/>
          <c:order val="2"/>
          <c:tx>
            <c:strRef>
              <c:f>'Enseignement - AMS'!$E$15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AMS'!$H$15:$K$15</c:f>
              <c:numCache>
                <c:formatCode>#,##0</c:formatCode>
                <c:ptCount val="4"/>
                <c:pt idx="0">
                  <c:v>1357.4109413495637</c:v>
                </c:pt>
                <c:pt idx="1">
                  <c:v>2544.5270664947402</c:v>
                </c:pt>
                <c:pt idx="2">
                  <c:v>2512.6103653001242</c:v>
                </c:pt>
                <c:pt idx="3">
                  <c:v>2368.463872021202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C-42E4-B74C-E478FE364A14}"/>
            </c:ext>
          </c:extLst>
        </c:ser>
        <c:ser>
          <c:idx val="3"/>
          <c:order val="3"/>
          <c:tx>
            <c:strRef>
              <c:f>'Enseignement - AMS'!$E$16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AMS'!$H$16:$K$16</c:f>
              <c:numCache>
                <c:formatCode>#,##0</c:formatCode>
                <c:ptCount val="4"/>
                <c:pt idx="0">
                  <c:v>219.64717145626702</c:v>
                </c:pt>
                <c:pt idx="1">
                  <c:v>115.61979668801277</c:v>
                </c:pt>
                <c:pt idx="2">
                  <c:v>51.029543946253767</c:v>
                </c:pt>
                <c:pt idx="3">
                  <c:v>2.4201042465238012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3C-42E4-B74C-E478FE364A14}"/>
            </c:ext>
          </c:extLst>
        </c:ser>
        <c:ser>
          <c:idx val="4"/>
          <c:order val="4"/>
          <c:tx>
            <c:strRef>
              <c:f>'Enseignement - AMS'!$E$17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AMS'!$H$17:$K$17</c:f>
              <c:numCache>
                <c:formatCode>#,##0</c:formatCode>
                <c:ptCount val="4"/>
                <c:pt idx="0">
                  <c:v>147.47400699665445</c:v>
                </c:pt>
                <c:pt idx="1">
                  <c:v>239.891590428255</c:v>
                </c:pt>
                <c:pt idx="2">
                  <c:v>419.61329565026887</c:v>
                </c:pt>
                <c:pt idx="3">
                  <c:v>356.87228421487379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3C-42E4-B74C-E478FE364A14}"/>
            </c:ext>
          </c:extLst>
        </c:ser>
        <c:ser>
          <c:idx val="5"/>
          <c:order val="5"/>
          <c:tx>
            <c:strRef>
              <c:f>'Enseignement - AMS'!$E$18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AMS'!$H$18:$K$18</c:f>
              <c:numCache>
                <c:formatCode>#,##0</c:formatCode>
                <c:ptCount val="4"/>
                <c:pt idx="0">
                  <c:v>870.55026304738203</c:v>
                </c:pt>
                <c:pt idx="1">
                  <c:v>804.39790110414174</c:v>
                </c:pt>
                <c:pt idx="2">
                  <c:v>1103.9825814800654</c:v>
                </c:pt>
                <c:pt idx="3">
                  <c:v>1033.9830581914439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3C-42E4-B74C-E478FE364A14}"/>
            </c:ext>
          </c:extLst>
        </c:ser>
        <c:ser>
          <c:idx val="6"/>
          <c:order val="6"/>
          <c:tx>
            <c:strRef>
              <c:f>'Enseignement - AMS'!$E$19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AMS'!$H$19:$K$19</c:f>
              <c:numCache>
                <c:formatCode>#,##0</c:formatCode>
                <c:ptCount val="4"/>
                <c:pt idx="0">
                  <c:v>116.79726704018628</c:v>
                </c:pt>
                <c:pt idx="1">
                  <c:v>1164.905264552375</c:v>
                </c:pt>
                <c:pt idx="2">
                  <c:v>2180.5055586227172</c:v>
                </c:pt>
                <c:pt idx="3">
                  <c:v>2575.7512176990358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3C-42E4-B74C-E478FE36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'Enseignement - AMS'!$E$8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'Enseignement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'Enseignement - AMS'!$H$8:$K$8</c:f>
              <c:numCache>
                <c:formatCode>#,##0</c:formatCode>
                <c:ptCount val="4"/>
                <c:pt idx="0">
                  <c:v>0</c:v>
                </c:pt>
                <c:pt idx="1">
                  <c:v>3362.5337122163387</c:v>
                </c:pt>
                <c:pt idx="2">
                  <c:v>3313.9340429367594</c:v>
                </c:pt>
                <c:pt idx="3">
                  <c:v>3259.1536075350923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E-4954-9F34-987F0D2BE964}"/>
            </c:ext>
          </c:extLst>
        </c:ser>
        <c:ser>
          <c:idx val="1"/>
          <c:order val="1"/>
          <c:tx>
            <c:strRef>
              <c:f>'Enseignement - AMS'!$E$9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'Enseignement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'Enseignement - AMS'!$H$9:$K$9</c:f>
              <c:numCache>
                <c:formatCode>#,##0</c:formatCode>
                <c:ptCount val="4"/>
                <c:pt idx="0">
                  <c:v>167106.71056882737</c:v>
                </c:pt>
                <c:pt idx="1">
                  <c:v>161328.9353860087</c:v>
                </c:pt>
                <c:pt idx="2">
                  <c:v>158655.13012288776</c:v>
                </c:pt>
                <c:pt idx="3">
                  <c:v>152532.73542913087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3E-4954-9F34-987F0D2BE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'Enseignement - AMS'!$E$107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AMS'!$H$107:$K$107</c:f>
              <c:numCache>
                <c:formatCode>_-* #\ ##0_-;\-* #\ ##0_-;_-* "-"??_-;_-@_-</c:formatCode>
                <c:ptCount val="4"/>
                <c:pt idx="0" formatCode="0">
                  <c:v>3384.4918872730691</c:v>
                </c:pt>
                <c:pt idx="1">
                  <c:v>286.33833999523921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2-456E-B9BB-36A93F3D0D0B}"/>
            </c:ext>
          </c:extLst>
        </c:ser>
        <c:ser>
          <c:idx val="1"/>
          <c:order val="1"/>
          <c:tx>
            <c:strRef>
              <c:f>'Enseignement - AMS'!$E$108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AMS'!$H$108:$K$108</c:f>
              <c:numCache>
                <c:formatCode>_-* #\ ##0_-;\-* #\ ##0_-;_-* "-"??_-;_-@_-</c:formatCode>
                <c:ptCount val="4"/>
                <c:pt idx="0" formatCode="0">
                  <c:v>8468.492456424965</c:v>
                </c:pt>
                <c:pt idx="1">
                  <c:v>5730.3220631714103</c:v>
                </c:pt>
                <c:pt idx="2">
                  <c:v>2271.7397707353789</c:v>
                </c:pt>
                <c:pt idx="3">
                  <c:v>400.42900415308259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C2-456E-B9BB-36A93F3D0D0B}"/>
            </c:ext>
          </c:extLst>
        </c:ser>
        <c:ser>
          <c:idx val="2"/>
          <c:order val="2"/>
          <c:tx>
            <c:strRef>
              <c:f>'Enseignement - AMS'!$E$109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AMS'!$H$109:$K$109</c:f>
              <c:numCache>
                <c:formatCode>_-* #\ ##0_-;\-* #\ ##0_-;_-* "-"??_-;_-@_-</c:formatCode>
                <c:ptCount val="4"/>
                <c:pt idx="0" formatCode="0">
                  <c:v>1280.0385176926386</c:v>
                </c:pt>
                <c:pt idx="1">
                  <c:v>2325.6077754168186</c:v>
                </c:pt>
                <c:pt idx="2">
                  <c:v>2279.5667872261088</c:v>
                </c:pt>
                <c:pt idx="3">
                  <c:v>2137.2862618195136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C2-456E-B9BB-36A93F3D0D0B}"/>
            </c:ext>
          </c:extLst>
        </c:ser>
        <c:ser>
          <c:idx val="3"/>
          <c:order val="3"/>
          <c:tx>
            <c:strRef>
              <c:f>'Enseignement - AMS'!$E$110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AMS'!$H$110:$K$110</c:f>
              <c:numCache>
                <c:formatCode>_-* #\ ##0_-;\-* #\ ##0_-;_-* "-"??_-;_-@_-</c:formatCode>
                <c:ptCount val="4"/>
                <c:pt idx="0" formatCode="0">
                  <c:v>207.12728268325981</c:v>
                </c:pt>
                <c:pt idx="1">
                  <c:v>105.37998562582516</c:v>
                </c:pt>
                <c:pt idx="2">
                  <c:v>44.910319939715336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C2-456E-B9BB-36A93F3D0D0B}"/>
            </c:ext>
          </c:extLst>
        </c:ser>
        <c:ser>
          <c:idx val="4"/>
          <c:order val="4"/>
          <c:tx>
            <c:strRef>
              <c:f>'Enseignement - AMS'!$E$111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AMS'!$H$111:$K$111</c:f>
              <c:numCache>
                <c:formatCode>_-* #\ ##0_-;\-* #\ ##0_-;_-* "-"??_-;_-@_-</c:formatCode>
                <c:ptCount val="4"/>
                <c:pt idx="0" formatCode="0">
                  <c:v>139.06798859784516</c:v>
                </c:pt>
                <c:pt idx="1">
                  <c:v>221.88683282319633</c:v>
                </c:pt>
                <c:pt idx="2">
                  <c:v>386.4554978095635</c:v>
                </c:pt>
                <c:pt idx="3">
                  <c:v>320.5268027702046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C2-456E-B9BB-36A93F3D0D0B}"/>
            </c:ext>
          </c:extLst>
        </c:ser>
        <c:ser>
          <c:idx val="5"/>
          <c:order val="5"/>
          <c:tx>
            <c:strRef>
              <c:f>'Enseignement - AMS'!$E$112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AMS'!$H$112:$K$112</c:f>
              <c:numCache>
                <c:formatCode>_-* #\ ##0_-;\-* #\ ##0_-;_-* "-"??_-;_-@_-</c:formatCode>
                <c:ptCount val="4"/>
                <c:pt idx="0" formatCode="0">
                  <c:v>820.92889805368134</c:v>
                </c:pt>
                <c:pt idx="1">
                  <c:v>721.92826925911436</c:v>
                </c:pt>
                <c:pt idx="2">
                  <c:v>1030.5012598360454</c:v>
                </c:pt>
                <c:pt idx="3">
                  <c:v>959.80241773960495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C2-456E-B9BB-36A93F3D0D0B}"/>
            </c:ext>
          </c:extLst>
        </c:ser>
        <c:ser>
          <c:idx val="6"/>
          <c:order val="6"/>
          <c:tx>
            <c:strRef>
              <c:f>'Enseignement - AMS'!$E$113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AMS'!$H$113:$K$113</c:f>
              <c:numCache>
                <c:formatCode>_-* #\ ##0_-;\-* #\ ##0_-;_-* "-"??_-;_-@_-</c:formatCode>
                <c:ptCount val="4"/>
                <c:pt idx="0" formatCode="0">
                  <c:v>110.13982281889567</c:v>
                </c:pt>
                <c:pt idx="1">
                  <c:v>1044.0270780650378</c:v>
                </c:pt>
                <c:pt idx="2">
                  <c:v>1957.7284549999051</c:v>
                </c:pt>
                <c:pt idx="3">
                  <c:v>2312.6037882611417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C2-456E-B9BB-36A93F3D0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'Enseignement - AMS'!$E$118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AMS'!$H$118:$K$118</c:f>
              <c:numCache>
                <c:formatCode>_-* #\ ##0_-;\-* #\ ##0_-;_-* "-"??_-;_-@_-</c:formatCode>
                <c:ptCount val="4"/>
                <c:pt idx="0">
                  <c:v>204.57692213633587</c:v>
                </c:pt>
                <c:pt idx="1">
                  <c:v>18.075398694202352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3-4E56-8B06-DC08355C2B92}"/>
            </c:ext>
          </c:extLst>
        </c:ser>
        <c:ser>
          <c:idx val="1"/>
          <c:order val="1"/>
          <c:tx>
            <c:strRef>
              <c:f>'Enseignement - AMS'!$E$119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AMS'!$H$119:$K$119</c:f>
              <c:numCache>
                <c:formatCode>_-* #\ ##0_-;\-* #\ ##0_-;_-* "-"??_-;_-@_-</c:formatCode>
                <c:ptCount val="4"/>
                <c:pt idx="0">
                  <c:v>511.88130436502911</c:v>
                </c:pt>
                <c:pt idx="1">
                  <c:v>404.28115041484574</c:v>
                </c:pt>
                <c:pt idx="2">
                  <c:v>175.90746935503188</c:v>
                </c:pt>
                <c:pt idx="3">
                  <c:v>34.189496136741013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3-4E56-8B06-DC08355C2B92}"/>
            </c:ext>
          </c:extLst>
        </c:ser>
        <c:ser>
          <c:idx val="2"/>
          <c:order val="2"/>
          <c:tx>
            <c:strRef>
              <c:f>'Enseignement - AMS'!$E$120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AMS'!$H$120:$K$120</c:f>
              <c:numCache>
                <c:formatCode>_-* #\ ##0_-;\-* #\ ##0_-;_-* "-"??_-;_-@_-</c:formatCode>
                <c:ptCount val="4"/>
                <c:pt idx="0">
                  <c:v>77.372423656925051</c:v>
                </c:pt>
                <c:pt idx="1">
                  <c:v>170.87727207875136</c:v>
                </c:pt>
                <c:pt idx="2">
                  <c:v>185.69592422764674</c:v>
                </c:pt>
                <c:pt idx="3">
                  <c:v>193.92562513683998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3-4E56-8B06-DC08355C2B92}"/>
            </c:ext>
          </c:extLst>
        </c:ser>
        <c:ser>
          <c:idx val="3"/>
          <c:order val="3"/>
          <c:tx>
            <c:strRef>
              <c:f>'Enseignement - AMS'!$E$121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AMS'!$H$121:$K$121</c:f>
              <c:numCache>
                <c:formatCode>_-* #\ ##0_-;\-* #\ ##0_-;_-* "-"??_-;_-@_-</c:formatCode>
                <c:ptCount val="4"/>
                <c:pt idx="0">
                  <c:v>12.519888773007205</c:v>
                </c:pt>
                <c:pt idx="1">
                  <c:v>7.7429412929321781</c:v>
                </c:pt>
                <c:pt idx="2">
                  <c:v>3.6584422159935372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3-4E56-8B06-DC08355C2B92}"/>
            </c:ext>
          </c:extLst>
        </c:ser>
        <c:ser>
          <c:idx val="4"/>
          <c:order val="4"/>
          <c:tx>
            <c:strRef>
              <c:f>'Enseignement - AMS'!$E$122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AMS'!$H$122:$K$122</c:f>
              <c:numCache>
                <c:formatCode>_-* #\ ##0_-;\-* #\ ##0_-;_-* "-"??_-;_-@_-</c:formatCode>
                <c:ptCount val="4"/>
                <c:pt idx="0">
                  <c:v>8.4060183988092962</c:v>
                </c:pt>
                <c:pt idx="1">
                  <c:v>16.303444245333313</c:v>
                </c:pt>
                <c:pt idx="2">
                  <c:v>31.481074053516672</c:v>
                </c:pt>
                <c:pt idx="3">
                  <c:v>29.082842907251894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3-4E56-8B06-DC08355C2B92}"/>
            </c:ext>
          </c:extLst>
        </c:ser>
        <c:ser>
          <c:idx val="5"/>
          <c:order val="5"/>
          <c:tx>
            <c:strRef>
              <c:f>'Enseignement - AMS'!$E$123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AMS'!$H$123:$K$123</c:f>
              <c:numCache>
                <c:formatCode>_-* #\ ##0_-;\-* #\ ##0_-;_-* "-"??_-;_-@_-</c:formatCode>
                <c:ptCount val="4"/>
                <c:pt idx="0">
                  <c:v>49.621364993700723</c:v>
                </c:pt>
                <c:pt idx="1">
                  <c:v>47.793022606744969</c:v>
                </c:pt>
                <c:pt idx="2">
                  <c:v>73.70416343881088</c:v>
                </c:pt>
                <c:pt idx="3">
                  <c:v>74.510694934160512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3-4E56-8B06-DC08355C2B92}"/>
            </c:ext>
          </c:extLst>
        </c:ser>
        <c:ser>
          <c:idx val="6"/>
          <c:order val="6"/>
          <c:tx>
            <c:strRef>
              <c:f>'Enseignement - AMS'!$E$124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'Enseignement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'Enseignement - AMS'!$H$124:$K$124</c:f>
              <c:numCache>
                <c:formatCode>_-* #\ ##0_-;\-* #\ ##0_-;_-* "-"??_-;_-@_-</c:formatCode>
                <c:ptCount val="4"/>
                <c:pt idx="0">
                  <c:v>6.6574442212906115</c:v>
                </c:pt>
                <c:pt idx="1">
                  <c:v>69.116575522418188</c:v>
                </c:pt>
                <c:pt idx="2">
                  <c:v>140.02189384909724</c:v>
                </c:pt>
                <c:pt idx="3">
                  <c:v>179.53040353505205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3-4E56-8B06-DC08355C2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'Enseignement - AMS'!$E$45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'Enseignement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'Enseignement - AMS'!$H$45:$K$45</c:f>
              <c:numCache>
                <c:formatCode>0%</c:formatCode>
                <c:ptCount val="4"/>
                <c:pt idx="0">
                  <c:v>0.20223518285214698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6-4723-AC49-1BC8DC656717}"/>
            </c:ext>
          </c:extLst>
        </c:ser>
        <c:ser>
          <c:idx val="1"/>
          <c:order val="1"/>
          <c:tx>
            <c:strRef>
              <c:f>'Enseignement - AMS'!$E$46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'Enseignement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'Enseignement - AMS'!$H$46:$K$46</c:f>
              <c:numCache>
                <c:formatCode>0%</c:formatCode>
                <c:ptCount val="4"/>
                <c:pt idx="0">
                  <c:v>0.58817685192014335</c:v>
                </c:pt>
                <c:pt idx="1">
                  <c:v>0.50583209265132323</c:v>
                </c:pt>
                <c:pt idx="2">
                  <c:v>0.23527074076805735</c:v>
                </c:pt>
                <c:pt idx="3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56-4723-AC49-1BC8DC656717}"/>
            </c:ext>
          </c:extLst>
        </c:ser>
        <c:ser>
          <c:idx val="2"/>
          <c:order val="2"/>
          <c:tx>
            <c:strRef>
              <c:f>'Enseignement - AMS'!$E$47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'Enseignement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'Enseignement - AMS'!$H$47:$K$47</c:f>
              <c:numCache>
                <c:formatCode>0%</c:formatCode>
                <c:ptCount val="4"/>
                <c:pt idx="0">
                  <c:v>8.4009548274215404E-2</c:v>
                </c:pt>
                <c:pt idx="1">
                  <c:v>0.2</c:v>
                </c:pt>
                <c:pt idx="2">
                  <c:v>0.23</c:v>
                </c:pt>
                <c:pt idx="3">
                  <c:v>0.26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56-4723-AC49-1BC8DC656717}"/>
            </c:ext>
          </c:extLst>
        </c:ser>
        <c:ser>
          <c:idx val="3"/>
          <c:order val="3"/>
          <c:tx>
            <c:strRef>
              <c:f>'Enseignement - AMS'!$E$48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'Enseignement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'Enseignement - AMS'!$H$48:$K$48</c:f>
              <c:numCache>
                <c:formatCode>0%</c:formatCode>
                <c:ptCount val="4"/>
                <c:pt idx="0">
                  <c:v>1.3320407248410885E-2</c:v>
                </c:pt>
                <c:pt idx="1">
                  <c:v>8.8802714989405888E-3</c:v>
                </c:pt>
                <c:pt idx="2">
                  <c:v>4.4401357494702944E-3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56-4723-AC49-1BC8DC656717}"/>
            </c:ext>
          </c:extLst>
        </c:ser>
        <c:ser>
          <c:idx val="4"/>
          <c:order val="4"/>
          <c:tx>
            <c:strRef>
              <c:f>'Enseignement - AMS'!$E$49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'Enseignement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'Enseignement - AMS'!$H$49:$K$49</c:f>
              <c:numCache>
                <c:formatCode>0%</c:formatCode>
                <c:ptCount val="4"/>
                <c:pt idx="0">
                  <c:v>9.3630592275931179E-3</c:v>
                </c:pt>
                <c:pt idx="1">
                  <c:v>1.9575372818395415E-2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56-4723-AC49-1BC8DC656717}"/>
            </c:ext>
          </c:extLst>
        </c:ser>
        <c:ser>
          <c:idx val="5"/>
          <c:order val="5"/>
          <c:tx>
            <c:strRef>
              <c:f>'Enseignement - AMS'!$E$50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'Enseignement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'Enseignement - AMS'!$H$50:$K$50</c:f>
              <c:numCache>
                <c:formatCode>0%</c:formatCode>
                <c:ptCount val="4"/>
                <c:pt idx="0">
                  <c:v>8.9833717887786435E-2</c:v>
                </c:pt>
                <c:pt idx="1">
                  <c:v>9.5712263031340727E-2</c:v>
                </c:pt>
                <c:pt idx="2">
                  <c:v>0.16028912348247237</c:v>
                </c:pt>
                <c:pt idx="3">
                  <c:v>0.17999999999999994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56-4723-AC49-1BC8DC656717}"/>
            </c:ext>
          </c:extLst>
        </c:ser>
        <c:ser>
          <c:idx val="6"/>
          <c:order val="6"/>
          <c:tx>
            <c:strRef>
              <c:f>'Enseignement - AMS'!$E$51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'Enseignement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'Enseignement - AMS'!$H$51:$K$51</c:f>
              <c:numCache>
                <c:formatCode>0%</c:formatCode>
                <c:ptCount val="4"/>
                <c:pt idx="0">
                  <c:v>1.3061232589703731E-2</c:v>
                </c:pt>
                <c:pt idx="1">
                  <c:v>0.15</c:v>
                </c:pt>
                <c:pt idx="2">
                  <c:v>0.33</c:v>
                </c:pt>
                <c:pt idx="3">
                  <c:v>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56-4723-AC49-1BC8DC656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820032"/>
        <c:axId val="1567820448"/>
      </c:areaChart>
      <c:catAx>
        <c:axId val="1567820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67820448"/>
        <c:crosses val="autoZero"/>
        <c:auto val="1"/>
        <c:lblAlgn val="ctr"/>
        <c:lblOffset val="100"/>
        <c:noMultiLvlLbl val="0"/>
      </c:catAx>
      <c:valAx>
        <c:axId val="156782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67820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'Santé social - AMS'!$E$13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AMS'!$H$13:$K$13</c:f>
              <c:numCache>
                <c:formatCode>#,##0</c:formatCode>
                <c:ptCount val="4"/>
                <c:pt idx="0">
                  <c:v>3798.9226175206595</c:v>
                </c:pt>
                <c:pt idx="1">
                  <c:v>422.41286626783085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BD-4DF8-BFFA-1FE0356B5A00}"/>
            </c:ext>
          </c:extLst>
        </c:ser>
        <c:ser>
          <c:idx val="1"/>
          <c:order val="1"/>
          <c:tx>
            <c:strRef>
              <c:f>'Santé social - AMS'!$E$14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AMS'!$H$14:$K$14</c:f>
              <c:numCache>
                <c:formatCode>#,##0</c:formatCode>
                <c:ptCount val="4"/>
                <c:pt idx="0">
                  <c:v>10538.568728925251</c:v>
                </c:pt>
                <c:pt idx="1">
                  <c:v>7334.8069744858485</c:v>
                </c:pt>
                <c:pt idx="2">
                  <c:v>3372.1413057784066</c:v>
                </c:pt>
                <c:pt idx="3">
                  <c:v>776.73681528685586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BD-4DF8-BFFA-1FE0356B5A00}"/>
            </c:ext>
          </c:extLst>
        </c:ser>
        <c:ser>
          <c:idx val="2"/>
          <c:order val="2"/>
          <c:tx>
            <c:strRef>
              <c:f>'Santé social - AMS'!$E$15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AMS'!$H$15:$K$15</c:f>
              <c:numCache>
                <c:formatCode>#,##0</c:formatCode>
                <c:ptCount val="4"/>
                <c:pt idx="0">
                  <c:v>1734.6803254387553</c:v>
                </c:pt>
                <c:pt idx="1">
                  <c:v>3703.9062480660655</c:v>
                </c:pt>
                <c:pt idx="2">
                  <c:v>4148.0838262955949</c:v>
                </c:pt>
                <c:pt idx="3">
                  <c:v>4225.8542197571342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BD-4DF8-BFFA-1FE0356B5A00}"/>
            </c:ext>
          </c:extLst>
        </c:ser>
        <c:ser>
          <c:idx val="3"/>
          <c:order val="3"/>
          <c:tx>
            <c:strRef>
              <c:f>'Santé social - AMS'!$E$16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AMS'!$H$16:$K$16</c:f>
              <c:numCache>
                <c:formatCode>#,##0</c:formatCode>
                <c:ptCount val="4"/>
                <c:pt idx="0">
                  <c:v>269.58029172631677</c:v>
                </c:pt>
                <c:pt idx="1">
                  <c:v>182.772757961434</c:v>
                </c:pt>
                <c:pt idx="2">
                  <c:v>111.83439615211662</c:v>
                </c:pt>
                <c:pt idx="3">
                  <c:v>31.744594081632862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BD-4DF8-BFFA-1FE0356B5A00}"/>
            </c:ext>
          </c:extLst>
        </c:ser>
        <c:ser>
          <c:idx val="4"/>
          <c:order val="4"/>
          <c:tx>
            <c:strRef>
              <c:f>'Santé social - AMS'!$E$17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AMS'!$H$17:$K$17</c:f>
              <c:numCache>
                <c:formatCode>#,##0</c:formatCode>
                <c:ptCount val="4"/>
                <c:pt idx="0">
                  <c:v>299.35529695699108</c:v>
                </c:pt>
                <c:pt idx="1">
                  <c:v>318.17044869255272</c:v>
                </c:pt>
                <c:pt idx="2">
                  <c:v>379.39922906594853</c:v>
                </c:pt>
                <c:pt idx="3">
                  <c:v>422.33743551889211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BD-4DF8-BFFA-1FE0356B5A00}"/>
            </c:ext>
          </c:extLst>
        </c:ser>
        <c:ser>
          <c:idx val="5"/>
          <c:order val="5"/>
          <c:tx>
            <c:strRef>
              <c:f>'Santé social - AMS'!$E$18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AMS'!$H$18:$K$18</c:f>
              <c:numCache>
                <c:formatCode>#,##0</c:formatCode>
                <c:ptCount val="4"/>
                <c:pt idx="0">
                  <c:v>2347.0702575775676</c:v>
                </c:pt>
                <c:pt idx="1">
                  <c:v>1849.2818520532287</c:v>
                </c:pt>
                <c:pt idx="2">
                  <c:v>1872.3280465246858</c:v>
                </c:pt>
                <c:pt idx="3">
                  <c:v>1486.1722699666871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BD-4DF8-BFFA-1FE0356B5A00}"/>
            </c:ext>
          </c:extLst>
        </c:ser>
        <c:ser>
          <c:idx val="6"/>
          <c:order val="6"/>
          <c:tx>
            <c:strRef>
              <c:f>'Santé social - AMS'!$E$19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AMS'!$H$19:$K$19</c:f>
              <c:numCache>
                <c:formatCode>#,##0</c:formatCode>
                <c:ptCount val="4"/>
                <c:pt idx="0">
                  <c:v>257.17690632747849</c:v>
                </c:pt>
                <c:pt idx="1">
                  <c:v>1272.4184787749793</c:v>
                </c:pt>
                <c:pt idx="2">
                  <c:v>2814.0008446023403</c:v>
                </c:pt>
                <c:pt idx="3">
                  <c:v>3789.8922513267557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BD-4DF8-BFFA-1FE0356B5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'Santé social - AMS'!$E$8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'Santé social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'Santé social - AMS'!$H$8:$K$8</c:f>
              <c:numCache>
                <c:formatCode>#,##0</c:formatCode>
                <c:ptCount val="4"/>
                <c:pt idx="0">
                  <c:v>0</c:v>
                </c:pt>
                <c:pt idx="1">
                  <c:v>16775.217201482246</c:v>
                </c:pt>
                <c:pt idx="2">
                  <c:v>16977.546779760014</c:v>
                </c:pt>
                <c:pt idx="3">
                  <c:v>12844.582647852752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D-4B7E-955E-E84D5DB436EC}"/>
            </c:ext>
          </c:extLst>
        </c:ser>
        <c:ser>
          <c:idx val="1"/>
          <c:order val="1"/>
          <c:tx>
            <c:strRef>
              <c:f>'Santé social - AMS'!$E$9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'Santé social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'Santé social - AMS'!$H$9:$K$9</c:f>
              <c:numCache>
                <c:formatCode>#,##0</c:formatCode>
                <c:ptCount val="4"/>
                <c:pt idx="0">
                  <c:v>179200.208348585</c:v>
                </c:pt>
                <c:pt idx="1">
                  <c:v>174566.35174712935</c:v>
                </c:pt>
                <c:pt idx="2">
                  <c:v>186393.75443111575</c:v>
                </c:pt>
                <c:pt idx="3">
                  <c:v>198112.41532370384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ED-4B7E-955E-E84D5DB43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'Santé social - AMS'!$E$107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AMS'!$H$107:$K$107</c:f>
              <c:numCache>
                <c:formatCode>_-* #\ ##0_-;\-* #\ ##0_-;_-* "-"??_-;_-@_-</c:formatCode>
                <c:ptCount val="4"/>
                <c:pt idx="0" formatCode="0">
                  <c:v>3662.1614032899156</c:v>
                </c:pt>
                <c:pt idx="1">
                  <c:v>406.76545270780395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0-46AC-8A95-46541E2710B2}"/>
            </c:ext>
          </c:extLst>
        </c:ser>
        <c:ser>
          <c:idx val="1"/>
          <c:order val="1"/>
          <c:tx>
            <c:strRef>
              <c:f>'Santé social - AMS'!$E$108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AMS'!$H$108:$K$108</c:f>
              <c:numCache>
                <c:formatCode>_-* #\ ##0_-;\-* #\ ##0_-;_-* "-"??_-;_-@_-</c:formatCode>
                <c:ptCount val="4"/>
                <c:pt idx="0" formatCode="0">
                  <c:v>10159.180254683941</c:v>
                </c:pt>
                <c:pt idx="1">
                  <c:v>7032.4625210516333</c:v>
                </c:pt>
                <c:pt idx="2">
                  <c:v>3229.3072518636704</c:v>
                </c:pt>
                <c:pt idx="3">
                  <c:v>742.48798985179735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D0-46AC-8A95-46541E2710B2}"/>
            </c:ext>
          </c:extLst>
        </c:ser>
        <c:ser>
          <c:idx val="2"/>
          <c:order val="2"/>
          <c:tx>
            <c:strRef>
              <c:f>'Santé social - AMS'!$E$109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AMS'!$H$109:$K$109</c:f>
              <c:numCache>
                <c:formatCode>_-* #\ ##0_-;\-* #\ ##0_-;_-* "-"??_-;_-@_-</c:formatCode>
                <c:ptCount val="4"/>
                <c:pt idx="0" formatCode="0">
                  <c:v>1672.2318337229601</c:v>
                </c:pt>
                <c:pt idx="1">
                  <c:v>3053.7001507456553</c:v>
                </c:pt>
                <c:pt idx="2">
                  <c:v>3467.0861437814206</c:v>
                </c:pt>
                <c:pt idx="3">
                  <c:v>3653.597349729167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D0-46AC-8A95-46541E2710B2}"/>
            </c:ext>
          </c:extLst>
        </c:ser>
        <c:ser>
          <c:idx val="3"/>
          <c:order val="3"/>
          <c:tx>
            <c:strRef>
              <c:f>'Santé social - AMS'!$E$110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AMS'!$H$110:$K$110</c:f>
              <c:numCache>
                <c:formatCode>_-* #\ ##0_-;\-* #\ ##0_-;_-* "-"??_-;_-@_-</c:formatCode>
                <c:ptCount val="4"/>
                <c:pt idx="0" formatCode="0">
                  <c:v>259.87540122416937</c:v>
                </c:pt>
                <c:pt idx="1">
                  <c:v>135.25764885569427</c:v>
                </c:pt>
                <c:pt idx="2">
                  <c:v>66.768595337424827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D0-46AC-8A95-46541E2710B2}"/>
            </c:ext>
          </c:extLst>
        </c:ser>
        <c:ser>
          <c:idx val="4"/>
          <c:order val="4"/>
          <c:tx>
            <c:strRef>
              <c:f>'Santé social - AMS'!$E$111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AMS'!$H$111:$K$111</c:f>
              <c:numCache>
                <c:formatCode>_-* #\ ##0_-;\-* #\ ##0_-;_-* "-"??_-;_-@_-</c:formatCode>
                <c:ptCount val="4"/>
                <c:pt idx="0" formatCode="0">
                  <c:v>288.57850626653942</c:v>
                </c:pt>
                <c:pt idx="1">
                  <c:v>261.78659308065431</c:v>
                </c:pt>
                <c:pt idx="2">
                  <c:v>294.48395167042906</c:v>
                </c:pt>
                <c:pt idx="3">
                  <c:v>320.42770398351769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D0-46AC-8A95-46541E2710B2}"/>
            </c:ext>
          </c:extLst>
        </c:ser>
        <c:ser>
          <c:idx val="5"/>
          <c:order val="5"/>
          <c:tx>
            <c:strRef>
              <c:f>'Santé social - AMS'!$E$112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AMS'!$H$112:$K$112</c:f>
              <c:numCache>
                <c:formatCode>_-* #\ ##0_-;\-* #\ ##0_-;_-* "-"??_-;_-@_-</c:formatCode>
                <c:ptCount val="4"/>
                <c:pt idx="0" formatCode="0">
                  <c:v>2262.5757283047751</c:v>
                </c:pt>
                <c:pt idx="1">
                  <c:v>1703.1320947882959</c:v>
                </c:pt>
                <c:pt idx="2">
                  <c:v>1740.3730582150536</c:v>
                </c:pt>
                <c:pt idx="3">
                  <c:v>1403.06547850064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D0-46AC-8A95-46541E2710B2}"/>
            </c:ext>
          </c:extLst>
        </c:ser>
        <c:ser>
          <c:idx val="6"/>
          <c:order val="6"/>
          <c:tx>
            <c:strRef>
              <c:f>'Santé social - AMS'!$E$113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AMS'!$H$113:$K$113</c:f>
              <c:numCache>
                <c:formatCode>_-* #\ ##0_-;\-* #\ ##0_-;_-* "-"??_-;_-@_-</c:formatCode>
                <c:ptCount val="4"/>
                <c:pt idx="0" formatCode="0">
                  <c:v>247.91853769968927</c:v>
                </c:pt>
                <c:pt idx="1">
                  <c:v>984.41319026574877</c:v>
                </c:pt>
                <c:pt idx="2">
                  <c:v>2462.1253704234473</c:v>
                </c:pt>
                <c:pt idx="3">
                  <c:v>3454.8813308354497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D0-46AC-8A95-46541E271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'Santé social - AMS'!$E$118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AMS'!$H$118:$K$118</c:f>
              <c:numCache>
                <c:formatCode>_-* #\ ##0_-;\-* #\ ##0_-;_-* "-"??_-;_-@_-</c:formatCode>
                <c:ptCount val="4"/>
                <c:pt idx="0">
                  <c:v>136.76121423074386</c:v>
                </c:pt>
                <c:pt idx="1">
                  <c:v>15.647413560026909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F-407C-9703-0A248E611919}"/>
            </c:ext>
          </c:extLst>
        </c:ser>
        <c:ser>
          <c:idx val="1"/>
          <c:order val="1"/>
          <c:tx>
            <c:strRef>
              <c:f>'Santé social - AMS'!$E$119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AMS'!$H$119:$K$119</c:f>
              <c:numCache>
                <c:formatCode>_-* #\ ##0_-;\-* #\ ##0_-;_-* "-"??_-;_-@_-</c:formatCode>
                <c:ptCount val="4"/>
                <c:pt idx="0">
                  <c:v>379.38847424130932</c:v>
                </c:pt>
                <c:pt idx="1">
                  <c:v>302.34445343421555</c:v>
                </c:pt>
                <c:pt idx="2">
                  <c:v>142.83405391473627</c:v>
                </c:pt>
                <c:pt idx="3">
                  <c:v>34.248825435058542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3F-407C-9703-0A248E611919}"/>
            </c:ext>
          </c:extLst>
        </c:ser>
        <c:ser>
          <c:idx val="2"/>
          <c:order val="2"/>
          <c:tx>
            <c:strRef>
              <c:f>'Santé social - AMS'!$E$120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AMS'!$H$120:$K$120</c:f>
              <c:numCache>
                <c:formatCode>_-* #\ ##0_-;\-* #\ ##0_-;_-* "-"??_-;_-@_-</c:formatCode>
                <c:ptCount val="4"/>
                <c:pt idx="0">
                  <c:v>62.448491715795257</c:v>
                </c:pt>
                <c:pt idx="1">
                  <c:v>136.73016568691526</c:v>
                </c:pt>
                <c:pt idx="2">
                  <c:v>161.32860491688137</c:v>
                </c:pt>
                <c:pt idx="3">
                  <c:v>179.09450662400153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3F-407C-9703-0A248E611919}"/>
            </c:ext>
          </c:extLst>
        </c:ser>
        <c:ser>
          <c:idx val="3"/>
          <c:order val="3"/>
          <c:tx>
            <c:strRef>
              <c:f>'Santé social - AMS'!$E$121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AMS'!$H$121:$K$121</c:f>
              <c:numCache>
                <c:formatCode>_-* #\ ##0_-;\-* #\ ##0_-;_-* "-"??_-;_-@_-</c:formatCode>
                <c:ptCount val="4"/>
                <c:pt idx="0">
                  <c:v>9.7048905021474123</c:v>
                </c:pt>
                <c:pt idx="1">
                  <c:v>6.0561940680213322</c:v>
                </c:pt>
                <c:pt idx="2">
                  <c:v>3.1068406988867778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3F-407C-9703-0A248E611919}"/>
            </c:ext>
          </c:extLst>
        </c:ser>
        <c:ser>
          <c:idx val="4"/>
          <c:order val="4"/>
          <c:tx>
            <c:strRef>
              <c:f>'Santé social - AMS'!$E$122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AMS'!$H$122:$K$122</c:f>
              <c:numCache>
                <c:formatCode>_-* #\ ##0_-;\-* #\ ##0_-;_-* "-"??_-;_-@_-</c:formatCode>
                <c:ptCount val="4"/>
                <c:pt idx="0">
                  <c:v>10.776790690451689</c:v>
                </c:pt>
                <c:pt idx="1">
                  <c:v>11.721558266875251</c:v>
                </c:pt>
                <c:pt idx="2">
                  <c:v>13.702770315820501</c:v>
                </c:pt>
                <c:pt idx="3">
                  <c:v>15.706941969903628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3F-407C-9703-0A248E611919}"/>
            </c:ext>
          </c:extLst>
        </c:ser>
        <c:ser>
          <c:idx val="5"/>
          <c:order val="5"/>
          <c:tx>
            <c:strRef>
              <c:f>'Santé social - AMS'!$E$123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AMS'!$H$123:$K$123</c:f>
              <c:numCache>
                <c:formatCode>_-* #\ ##0_-;\-* #\ ##0_-;_-* "-"??_-;_-@_-</c:formatCode>
                <c:ptCount val="4"/>
                <c:pt idx="0">
                  <c:v>84.494529272792491</c:v>
                </c:pt>
                <c:pt idx="1">
                  <c:v>68.708252141897802</c:v>
                </c:pt>
                <c:pt idx="2">
                  <c:v>71.102118494997271</c:v>
                </c:pt>
                <c:pt idx="3">
                  <c:v>58.844217085323812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3F-407C-9703-0A248E611919}"/>
            </c:ext>
          </c:extLst>
        </c:ser>
        <c:ser>
          <c:idx val="6"/>
          <c:order val="6"/>
          <c:tx>
            <c:strRef>
              <c:f>'Santé social - AMS'!$E$124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'Santé social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'Santé social - AMS'!$H$124:$K$124</c:f>
              <c:numCache>
                <c:formatCode>_-* #\ ##0_-;\-* #\ ##0_-;_-* "-"??_-;_-@_-</c:formatCode>
                <c:ptCount val="4"/>
                <c:pt idx="0">
                  <c:v>9.2583686277892348</c:v>
                </c:pt>
                <c:pt idx="1">
                  <c:v>39.713484289071879</c:v>
                </c:pt>
                <c:pt idx="2">
                  <c:v>100.58896798651487</c:v>
                </c:pt>
                <c:pt idx="3">
                  <c:v>144.8968634400201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3F-407C-9703-0A248E611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'Santé social - AMS'!$E$45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'Santé social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'Santé social - AMS'!$H$45:$K$45</c:f>
              <c:numCache>
                <c:formatCode>0%</c:formatCode>
                <c:ptCount val="4"/>
                <c:pt idx="0">
                  <c:v>0.15758395350413734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B-4E1C-9F4B-841EAA7A05C4}"/>
            </c:ext>
          </c:extLst>
        </c:ser>
        <c:ser>
          <c:idx val="1"/>
          <c:order val="1"/>
          <c:tx>
            <c:strRef>
              <c:f>'Santé social - AMS'!$E$46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'Santé social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'Santé social - AMS'!$H$46:$K$46</c:f>
              <c:numCache>
                <c:formatCode>0%</c:formatCode>
                <c:ptCount val="4"/>
                <c:pt idx="0">
                  <c:v>0.52707670990322253</c:v>
                </c:pt>
                <c:pt idx="1">
                  <c:v>0.45328597051677139</c:v>
                </c:pt>
                <c:pt idx="2">
                  <c:v>0.21083068396128901</c:v>
                </c:pt>
                <c:pt idx="3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BB-4E1C-9F4B-841EAA7A05C4}"/>
            </c:ext>
          </c:extLst>
        </c:ser>
        <c:ser>
          <c:idx val="2"/>
          <c:order val="2"/>
          <c:tx>
            <c:strRef>
              <c:f>'Santé social - AMS'!$E$47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'Santé social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'Santé social - AMS'!$H$47:$K$47</c:f>
              <c:numCache>
                <c:formatCode>0%</c:formatCode>
                <c:ptCount val="4"/>
                <c:pt idx="0">
                  <c:v>8.5504311043289719E-2</c:v>
                </c:pt>
                <c:pt idx="1">
                  <c:v>0.2</c:v>
                </c:pt>
                <c:pt idx="2">
                  <c:v>0.23</c:v>
                </c:pt>
                <c:pt idx="3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BB-4E1C-9F4B-841EAA7A05C4}"/>
            </c:ext>
          </c:extLst>
        </c:ser>
        <c:ser>
          <c:idx val="3"/>
          <c:order val="3"/>
          <c:tx>
            <c:strRef>
              <c:f>'Santé social - AMS'!$E$48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'Santé social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'Santé social - AMS'!$H$48:$K$48</c:f>
              <c:numCache>
                <c:formatCode>0%</c:formatCode>
                <c:ptCount val="4"/>
                <c:pt idx="0">
                  <c:v>1.5048165554765945E-2</c:v>
                </c:pt>
                <c:pt idx="1">
                  <c:v>1.0032110369843965E-2</c:v>
                </c:pt>
                <c:pt idx="2">
                  <c:v>5.0160551849219824E-3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BB-4E1C-9F4B-841EAA7A05C4}"/>
            </c:ext>
          </c:extLst>
        </c:ser>
        <c:ser>
          <c:idx val="4"/>
          <c:order val="4"/>
          <c:tx>
            <c:strRef>
              <c:f>'Santé social - AMS'!$E$49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'Santé social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'Santé social - AMS'!$H$49:$K$49</c:f>
              <c:numCache>
                <c:formatCode>0%</c:formatCode>
                <c:ptCount val="4"/>
                <c:pt idx="0">
                  <c:v>1.3459722901950799E-2</c:v>
                </c:pt>
                <c:pt idx="1">
                  <c:v>1.5639815267967198E-2</c:v>
                </c:pt>
                <c:pt idx="2">
                  <c:v>1.7819907633983601E-2</c:v>
                </c:pt>
                <c:pt idx="3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BB-4E1C-9F4B-841EAA7A05C4}"/>
            </c:ext>
          </c:extLst>
        </c:ser>
        <c:ser>
          <c:idx val="5"/>
          <c:order val="5"/>
          <c:tx>
            <c:strRef>
              <c:f>'Santé social - AMS'!$E$50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'Santé social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'Santé social - AMS'!$H$50:$K$50</c:f>
              <c:numCache>
                <c:formatCode>0%</c:formatCode>
                <c:ptCount val="4"/>
                <c:pt idx="0">
                  <c:v>0.16942946687247459</c:v>
                </c:pt>
                <c:pt idx="1">
                  <c:v>0.15104210384541747</c:v>
                </c:pt>
                <c:pt idx="2">
                  <c:v>0.15633335321980546</c:v>
                </c:pt>
                <c:pt idx="3">
                  <c:v>0.12999999999999989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BB-4E1C-9F4B-841EAA7A05C4}"/>
            </c:ext>
          </c:extLst>
        </c:ser>
        <c:ser>
          <c:idx val="6"/>
          <c:order val="6"/>
          <c:tx>
            <c:strRef>
              <c:f>'Santé social - AMS'!$E$51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'Santé social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'Santé social - AMS'!$H$51:$K$51</c:f>
              <c:numCache>
                <c:formatCode>0%</c:formatCode>
                <c:ptCount val="4"/>
                <c:pt idx="0">
                  <c:v>3.1897670220158943E-2</c:v>
                </c:pt>
                <c:pt idx="1">
                  <c:v>0.15</c:v>
                </c:pt>
                <c:pt idx="2">
                  <c:v>0.38</c:v>
                </c:pt>
                <c:pt idx="3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BB-4E1C-9F4B-841EAA7A0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817536"/>
        <c:axId val="1567832928"/>
      </c:areaChart>
      <c:catAx>
        <c:axId val="1567817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67832928"/>
        <c:crosses val="autoZero"/>
        <c:auto val="1"/>
        <c:lblAlgn val="ctr"/>
        <c:lblOffset val="100"/>
        <c:noMultiLvlLbl val="0"/>
      </c:catAx>
      <c:valAx>
        <c:axId val="156783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67817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'Sport Loisir Culture - AMS'!$E$13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AMS'!$H$13:$K$13</c:f>
              <c:numCache>
                <c:formatCode>#,##0</c:formatCode>
                <c:ptCount val="4"/>
                <c:pt idx="0">
                  <c:v>777.44474922696963</c:v>
                </c:pt>
                <c:pt idx="1">
                  <c:v>125.40858953838998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1-41A4-92FD-599983F559A5}"/>
            </c:ext>
          </c:extLst>
        </c:ser>
        <c:ser>
          <c:idx val="1"/>
          <c:order val="1"/>
          <c:tx>
            <c:strRef>
              <c:f>'Sport Loisir Culture - AMS'!$E$14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AMS'!$H$14:$K$14</c:f>
              <c:numCache>
                <c:formatCode>#,##0</c:formatCode>
                <c:ptCount val="4"/>
                <c:pt idx="0">
                  <c:v>4659.6020399884055</c:v>
                </c:pt>
                <c:pt idx="1">
                  <c:v>3544.4768378264766</c:v>
                </c:pt>
                <c:pt idx="2">
                  <c:v>1731.9194998135022</c:v>
                </c:pt>
                <c:pt idx="3">
                  <c:v>466.14951188989255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81-41A4-92FD-599983F559A5}"/>
            </c:ext>
          </c:extLst>
        </c:ser>
        <c:ser>
          <c:idx val="2"/>
          <c:order val="2"/>
          <c:tx>
            <c:strRef>
              <c:f>'Sport Loisir Culture - AMS'!$E$15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AMS'!$H$15:$K$15</c:f>
              <c:numCache>
                <c:formatCode>#,##0</c:formatCode>
                <c:ptCount val="4"/>
                <c:pt idx="0">
                  <c:v>197.24017631445162</c:v>
                </c:pt>
                <c:pt idx="1">
                  <c:v>541.78748493396483</c:v>
                </c:pt>
                <c:pt idx="2">
                  <c:v>592.34518137612667</c:v>
                </c:pt>
                <c:pt idx="3">
                  <c:v>725.44478314507069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81-41A4-92FD-599983F559A5}"/>
            </c:ext>
          </c:extLst>
        </c:ser>
        <c:ser>
          <c:idx val="3"/>
          <c:order val="3"/>
          <c:tx>
            <c:strRef>
              <c:f>'Sport Loisir Culture - AMS'!$E$16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AMS'!$H$16:$K$16</c:f>
              <c:numCache>
                <c:formatCode>#,##0</c:formatCode>
                <c:ptCount val="4"/>
                <c:pt idx="0">
                  <c:v>21.916159417502385</c:v>
                </c:pt>
                <c:pt idx="1">
                  <c:v>13.243523913793505</c:v>
                </c:pt>
                <c:pt idx="2">
                  <c:v>6.6808897175691326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81-41A4-92FD-599983F559A5}"/>
            </c:ext>
          </c:extLst>
        </c:ser>
        <c:ser>
          <c:idx val="4"/>
          <c:order val="4"/>
          <c:tx>
            <c:strRef>
              <c:f>'Sport Loisir Culture - AMS'!$E$17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AMS'!$H$17:$K$17</c:f>
              <c:numCache>
                <c:formatCode>#,##0</c:formatCode>
                <c:ptCount val="4"/>
                <c:pt idx="0">
                  <c:v>20.784899477038984</c:v>
                </c:pt>
                <c:pt idx="1">
                  <c:v>46.604670007818498</c:v>
                </c:pt>
                <c:pt idx="2">
                  <c:v>76.187675405076547</c:v>
                </c:pt>
                <c:pt idx="3">
                  <c:v>104.67935983055362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81-41A4-92FD-599983F559A5}"/>
            </c:ext>
          </c:extLst>
        </c:ser>
        <c:ser>
          <c:idx val="5"/>
          <c:order val="5"/>
          <c:tx>
            <c:strRef>
              <c:f>'Sport Loisir Culture - AMS'!$E$18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AMS'!$H$18:$K$18</c:f>
              <c:numCache>
                <c:formatCode>#,##0</c:formatCode>
                <c:ptCount val="4"/>
                <c:pt idx="0">
                  <c:v>1088.2670833717302</c:v>
                </c:pt>
                <c:pt idx="1">
                  <c:v>593.84359339920718</c:v>
                </c:pt>
                <c:pt idx="2">
                  <c:v>572.63846690038054</c:v>
                </c:pt>
                <c:pt idx="3">
                  <c:v>497.15882502609657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81-41A4-92FD-599983F559A5}"/>
            </c:ext>
          </c:extLst>
        </c:ser>
        <c:ser>
          <c:idx val="6"/>
          <c:order val="6"/>
          <c:tx>
            <c:strRef>
              <c:f>'Sport Loisir Culture - AMS'!$E$19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AMS'!$H$19:$K$19</c:f>
              <c:numCache>
                <c:formatCode>#,##0</c:formatCode>
                <c:ptCount val="4"/>
                <c:pt idx="0">
                  <c:v>163.87191043983145</c:v>
                </c:pt>
                <c:pt idx="1">
                  <c:v>440.81272885753651</c:v>
                </c:pt>
                <c:pt idx="2">
                  <c:v>1024.9203740937899</c:v>
                </c:pt>
                <c:pt idx="3">
                  <c:v>1280.3177109805572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81-41A4-92FD-599983F55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'Sport Loisir Culture - AMS'!$E$8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'Sport Loisir Culture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'Sport Loisir Culture - AMS'!$H$8:$K$8</c:f>
              <c:numCache>
                <c:formatCode>#,##0</c:formatCode>
                <c:ptCount val="4"/>
                <c:pt idx="0">
                  <c:v>0</c:v>
                </c:pt>
                <c:pt idx="1">
                  <c:v>1642.7890950831008</c:v>
                </c:pt>
                <c:pt idx="2">
                  <c:v>1568.644542901045</c:v>
                </c:pt>
                <c:pt idx="3">
                  <c:v>1155.7225806114329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B-480C-A5E0-BCBCACCA77B6}"/>
            </c:ext>
          </c:extLst>
        </c:ser>
        <c:ser>
          <c:idx val="1"/>
          <c:order val="1"/>
          <c:tx>
            <c:strRef>
              <c:f>'Sport Loisir Culture - AMS'!$E$9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'Sport Loisir Culture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'Sport Loisir Culture - AMS'!$H$9:$K$9</c:f>
              <c:numCache>
                <c:formatCode>#,##0</c:formatCode>
                <c:ptCount val="4"/>
                <c:pt idx="0">
                  <c:v>56508.434021496716</c:v>
                </c:pt>
                <c:pt idx="1">
                  <c:v>55371.367091179913</c:v>
                </c:pt>
                <c:pt idx="2">
                  <c:v>55866.913076771518</c:v>
                </c:pt>
                <c:pt idx="3">
                  <c:v>55466.61624414727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7B-480C-A5E0-BCBCACCA7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'Sport Loisir Culture - AMS'!$E$107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AMS'!$H$107:$K$107</c:f>
              <c:numCache>
                <c:formatCode>_-* #\ ##0_-;\-* #\ ##0_-;_-* "-"??_-;_-@_-</c:formatCode>
                <c:ptCount val="4"/>
                <c:pt idx="0" formatCode="0">
                  <c:v>549.36772675812642</c:v>
                </c:pt>
                <c:pt idx="1">
                  <c:v>89.551633243730322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2-482A-BBA4-D39929B1949C}"/>
            </c:ext>
          </c:extLst>
        </c:ser>
        <c:ser>
          <c:idx val="1"/>
          <c:order val="1"/>
          <c:tx>
            <c:strRef>
              <c:f>'Sport Loisir Culture - AMS'!$E$108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AMS'!$H$108:$K$108</c:f>
              <c:numCache>
                <c:formatCode>_-* #\ ##0_-;\-* #\ ##0_-;_-* "-"??_-;_-@_-</c:formatCode>
                <c:ptCount val="4"/>
                <c:pt idx="0" formatCode="0">
                  <c:v>3292.6262385221057</c:v>
                </c:pt>
                <c:pt idx="1">
                  <c:v>2448.6835193305797</c:v>
                </c:pt>
                <c:pt idx="2">
                  <c:v>1242.7526551639596</c:v>
                </c:pt>
                <c:pt idx="3">
                  <c:v>344.31085164243171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2-482A-BBA4-D39929B1949C}"/>
            </c:ext>
          </c:extLst>
        </c:ser>
        <c:ser>
          <c:idx val="2"/>
          <c:order val="2"/>
          <c:tx>
            <c:strRef>
              <c:f>'Sport Loisir Culture - AMS'!$E$109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AMS'!$H$109:$K$109</c:f>
              <c:numCache>
                <c:formatCode>_-* #\ ##0_-;\-* #\ ##0_-;_-* "-"??_-;_-@_-</c:formatCode>
                <c:ptCount val="4"/>
                <c:pt idx="0" formatCode="0">
                  <c:v>139.37631888952168</c:v>
                </c:pt>
                <c:pt idx="1">
                  <c:v>356.84257503042323</c:v>
                </c:pt>
                <c:pt idx="2">
                  <c:v>406.30350768941776</c:v>
                </c:pt>
                <c:pt idx="3">
                  <c:v>515.76234363910442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2-482A-BBA4-D39929B1949C}"/>
            </c:ext>
          </c:extLst>
        </c:ser>
        <c:ser>
          <c:idx val="3"/>
          <c:order val="3"/>
          <c:tx>
            <c:strRef>
              <c:f>'Sport Loisir Culture - AMS'!$E$110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AMS'!$H$110:$K$110</c:f>
              <c:numCache>
                <c:formatCode>_-* #\ ##0_-;\-* #\ ##0_-;_-* "-"??_-;_-@_-</c:formatCode>
                <c:ptCount val="4"/>
                <c:pt idx="0" formatCode="0">
                  <c:v>15.486670519588248</c:v>
                </c:pt>
                <c:pt idx="1">
                  <c:v>8.6595671291771996</c:v>
                </c:pt>
                <c:pt idx="2">
                  <c:v>4.7245090899680058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2-482A-BBA4-D39929B1949C}"/>
            </c:ext>
          </c:extLst>
        </c:ser>
        <c:ser>
          <c:idx val="4"/>
          <c:order val="4"/>
          <c:tx>
            <c:strRef>
              <c:f>'Sport Loisir Culture - AMS'!$E$111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AMS'!$H$111:$K$111</c:f>
              <c:numCache>
                <c:formatCode>_-* #\ ##0_-;\-* #\ ##0_-;_-* "-"??_-;_-@_-</c:formatCode>
                <c:ptCount val="4"/>
                <c:pt idx="0" formatCode="0">
                  <c:v>14.687285479708743</c:v>
                </c:pt>
                <c:pt idx="1">
                  <c:v>29.208760256549557</c:v>
                </c:pt>
                <c:pt idx="2">
                  <c:v>50.301241098468111</c:v>
                </c:pt>
                <c:pt idx="3">
                  <c:v>72.204511281101105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2-482A-BBA4-D39929B1949C}"/>
            </c:ext>
          </c:extLst>
        </c:ser>
        <c:ser>
          <c:idx val="5"/>
          <c:order val="5"/>
          <c:tx>
            <c:strRef>
              <c:f>'Sport Loisir Culture - AMS'!$E$112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AMS'!$H$112:$K$112</c:f>
              <c:numCache>
                <c:formatCode>_-* #\ ##0_-;\-* #\ ##0_-;_-* "-"??_-;_-@_-</c:formatCode>
                <c:ptCount val="4"/>
                <c:pt idx="0" formatCode="0">
                  <c:v>769.00488979067381</c:v>
                </c:pt>
                <c:pt idx="1">
                  <c:v>405.04114042424658</c:v>
                </c:pt>
                <c:pt idx="2">
                  <c:v>412.59475369414156</c:v>
                </c:pt>
                <c:pt idx="3">
                  <c:v>376.13987491227886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2-482A-BBA4-D39929B1949C}"/>
            </c:ext>
          </c:extLst>
        </c:ser>
        <c:ser>
          <c:idx val="6"/>
          <c:order val="6"/>
          <c:tx>
            <c:strRef>
              <c:f>'Sport Loisir Culture - AMS'!$E$113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AMS'!$H$113:$K$113</c:f>
              <c:numCache>
                <c:formatCode>_-* #\ ##0_-;\-* #\ ##0_-;_-* "-"??_-;_-@_-</c:formatCode>
                <c:ptCount val="4"/>
                <c:pt idx="0" formatCode="0">
                  <c:v>115.79721775387416</c:v>
                </c:pt>
                <c:pt idx="1">
                  <c:v>279.81727057868721</c:v>
                </c:pt>
                <c:pt idx="2">
                  <c:v>718.41615102540754</c:v>
                </c:pt>
                <c:pt idx="3">
                  <c:v>943.40549846813053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2-482A-BBA4-D39929B19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'Sport Loisir Culture - AMS'!$E$118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AMS'!$H$118:$K$118</c:f>
              <c:numCache>
                <c:formatCode>_-* #\ ##0_-;\-* #\ ##0_-;_-* "-"??_-;_-@_-</c:formatCode>
                <c:ptCount val="4"/>
                <c:pt idx="0">
                  <c:v>228.07702246884318</c:v>
                </c:pt>
                <c:pt idx="1">
                  <c:v>35.856956294659646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F-4B87-B8EA-F074C9EDC591}"/>
            </c:ext>
          </c:extLst>
        </c:ser>
        <c:ser>
          <c:idx val="1"/>
          <c:order val="1"/>
          <c:tx>
            <c:strRef>
              <c:f>'Sport Loisir Culture - AMS'!$E$119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AMS'!$H$119:$K$119</c:f>
              <c:numCache>
                <c:formatCode>_-* #\ ##0_-;\-* #\ ##0_-;_-* "-"??_-;_-@_-</c:formatCode>
                <c:ptCount val="4"/>
                <c:pt idx="0">
                  <c:v>1366.9758014662998</c:v>
                </c:pt>
                <c:pt idx="1">
                  <c:v>1095.793318495897</c:v>
                </c:pt>
                <c:pt idx="2">
                  <c:v>489.1668446495425</c:v>
                </c:pt>
                <c:pt idx="3">
                  <c:v>121.83866024746082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EF-4B87-B8EA-F074C9EDC591}"/>
            </c:ext>
          </c:extLst>
        </c:ser>
        <c:ser>
          <c:idx val="2"/>
          <c:order val="2"/>
          <c:tx>
            <c:strRef>
              <c:f>'Sport Loisir Culture - AMS'!$E$120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AMS'!$H$120:$K$120</c:f>
              <c:numCache>
                <c:formatCode>_-* #\ ##0_-;\-* #\ ##0_-;_-* "-"??_-;_-@_-</c:formatCode>
                <c:ptCount val="4"/>
                <c:pt idx="0">
                  <c:v>57.863857424929925</c:v>
                </c:pt>
                <c:pt idx="1">
                  <c:v>166.30910426498062</c:v>
                </c:pt>
                <c:pt idx="2">
                  <c:v>168.24696412539771</c:v>
                </c:pt>
                <c:pt idx="3">
                  <c:v>193.94981397381443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EF-4B87-B8EA-F074C9EDC591}"/>
            </c:ext>
          </c:extLst>
        </c:ser>
        <c:ser>
          <c:idx val="3"/>
          <c:order val="3"/>
          <c:tx>
            <c:strRef>
              <c:f>'Sport Loisir Culture - AMS'!$E$121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AMS'!$H$121:$K$121</c:f>
              <c:numCache>
                <c:formatCode>_-* #\ ##0_-;\-* #\ ##0_-;_-* "-"??_-;_-@_-</c:formatCode>
                <c:ptCount val="4"/>
                <c:pt idx="0">
                  <c:v>6.4294888979141351</c:v>
                </c:pt>
                <c:pt idx="1">
                  <c:v>4.0358548933045508</c:v>
                </c:pt>
                <c:pt idx="2">
                  <c:v>1.9563806276011271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EF-4B87-B8EA-F074C9EDC591}"/>
            </c:ext>
          </c:extLst>
        </c:ser>
        <c:ser>
          <c:idx val="4"/>
          <c:order val="4"/>
          <c:tx>
            <c:strRef>
              <c:f>'Sport Loisir Culture - AMS'!$E$122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AMS'!$H$122:$K$122</c:f>
              <c:numCache>
                <c:formatCode>_-* #\ ##0_-;\-* #\ ##0_-;_-* "-"??_-;_-@_-</c:formatCode>
                <c:ptCount val="4"/>
                <c:pt idx="0">
                  <c:v>6.0976139973302388</c:v>
                </c:pt>
                <c:pt idx="1">
                  <c:v>13.612957351132142</c:v>
                </c:pt>
                <c:pt idx="2">
                  <c:v>20.829333112787612</c:v>
                </c:pt>
                <c:pt idx="3">
                  <c:v>27.152140329265361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EF-4B87-B8EA-F074C9EDC591}"/>
            </c:ext>
          </c:extLst>
        </c:ser>
        <c:ser>
          <c:idx val="5"/>
          <c:order val="5"/>
          <c:tx>
            <c:strRef>
              <c:f>'Sport Loisir Culture - AMS'!$E$123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AMS'!$H$123:$K$123</c:f>
              <c:numCache>
                <c:formatCode>_-* #\ ##0_-;\-* #\ ##0_-;_-* "-"??_-;_-@_-</c:formatCode>
                <c:ptCount val="4"/>
                <c:pt idx="0">
                  <c:v>319.26219358105629</c:v>
                </c:pt>
                <c:pt idx="1">
                  <c:v>170.08308127940089</c:v>
                </c:pt>
                <c:pt idx="2">
                  <c:v>150.00778884843243</c:v>
                </c:pt>
                <c:pt idx="3">
                  <c:v>121.01895011381772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EF-4B87-B8EA-F074C9EDC591}"/>
            </c:ext>
          </c:extLst>
        </c:ser>
        <c:ser>
          <c:idx val="6"/>
          <c:order val="6"/>
          <c:tx>
            <c:strRef>
              <c:f>'Sport Loisir Culture - AMS'!$E$124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'Sport Loisir Culture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'Sport Loisir Culture - AMS'!$H$124:$K$124</c:f>
              <c:numCache>
                <c:formatCode>_-* #\ ##0_-;\-* #\ ##0_-;_-* "-"??_-;_-@_-</c:formatCode>
                <c:ptCount val="4"/>
                <c:pt idx="0">
                  <c:v>48.074692685957295</c:v>
                </c:pt>
                <c:pt idx="1">
                  <c:v>117.49962861887597</c:v>
                </c:pt>
                <c:pt idx="2">
                  <c:v>261.19580368734353</c:v>
                </c:pt>
                <c:pt idx="3">
                  <c:v>303.53054959366403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EF-4B87-B8EA-F074C9EDC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'Sport Loisir Culture - AMS'!$E$45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'Sport Loisir Culture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'Sport Loisir Culture - AMS'!$H$45:$K$45</c:f>
              <c:numCache>
                <c:formatCode>0%</c:formatCode>
                <c:ptCount val="4"/>
                <c:pt idx="0">
                  <c:v>0.11535851755011599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9B-4511-8E48-8CE707F6F25F}"/>
            </c:ext>
          </c:extLst>
        </c:ser>
        <c:ser>
          <c:idx val="1"/>
          <c:order val="1"/>
          <c:tx>
            <c:strRef>
              <c:f>'Sport Loisir Culture - AMS'!$E$46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'Sport Loisir Culture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'Sport Loisir Culture - AMS'!$H$46:$K$46</c:f>
              <c:numCache>
                <c:formatCode>0%</c:formatCode>
                <c:ptCount val="4"/>
                <c:pt idx="0">
                  <c:v>0.47397594912324764</c:v>
                </c:pt>
                <c:pt idx="1">
                  <c:v>0.40761931624599296</c:v>
                </c:pt>
                <c:pt idx="2">
                  <c:v>0.18959037964929906</c:v>
                </c:pt>
                <c:pt idx="3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9B-4511-8E48-8CE707F6F25F}"/>
            </c:ext>
          </c:extLst>
        </c:ser>
        <c:ser>
          <c:idx val="2"/>
          <c:order val="2"/>
          <c:tx>
            <c:strRef>
              <c:f>'Sport Loisir Culture - AMS'!$E$47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'Sport Loisir Culture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'Sport Loisir Culture - AMS'!$H$47:$K$47</c:f>
              <c:numCache>
                <c:formatCode>0%</c:formatCode>
                <c:ptCount val="4"/>
                <c:pt idx="0">
                  <c:v>7.5347621054706812E-2</c:v>
                </c:pt>
                <c:pt idx="1">
                  <c:v>0.23</c:v>
                </c:pt>
                <c:pt idx="2">
                  <c:v>0.24</c:v>
                </c:pt>
                <c:pt idx="3">
                  <c:v>0.28999999999999998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9B-4511-8E48-8CE707F6F25F}"/>
            </c:ext>
          </c:extLst>
        </c:ser>
        <c:ser>
          <c:idx val="3"/>
          <c:order val="3"/>
          <c:tx>
            <c:strRef>
              <c:f>'Sport Loisir Culture - AMS'!$E$48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'Sport Loisir Culture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'Sport Loisir Culture - AMS'!$H$48:$K$48</c:f>
              <c:numCache>
                <c:formatCode>0%</c:formatCode>
                <c:ptCount val="4"/>
                <c:pt idx="0">
                  <c:v>8.5578093947910449E-3</c:v>
                </c:pt>
                <c:pt idx="1">
                  <c:v>5.7052062631940299E-3</c:v>
                </c:pt>
                <c:pt idx="2">
                  <c:v>2.852603131597015E-3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9B-4511-8E48-8CE707F6F25F}"/>
            </c:ext>
          </c:extLst>
        </c:ser>
        <c:ser>
          <c:idx val="4"/>
          <c:order val="4"/>
          <c:tx>
            <c:strRef>
              <c:f>'Sport Loisir Culture - AMS'!$E$49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'Sport Loisir Culture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'Sport Loisir Culture - AMS'!$H$49:$K$49</c:f>
              <c:numCache>
                <c:formatCode>0%</c:formatCode>
                <c:ptCount val="4"/>
                <c:pt idx="0">
                  <c:v>7.8229288904559831E-3</c:v>
                </c:pt>
                <c:pt idx="1">
                  <c:v>1.8548619260303989E-2</c:v>
                </c:pt>
                <c:pt idx="2">
                  <c:v>2.9274309630151991E-2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9B-4511-8E48-8CE707F6F25F}"/>
            </c:ext>
          </c:extLst>
        </c:ser>
        <c:ser>
          <c:idx val="5"/>
          <c:order val="5"/>
          <c:tx>
            <c:strRef>
              <c:f>'Sport Loisir Culture - AMS'!$E$50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'Sport Loisir Culture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'Sport Loisir Culture - AMS'!$H$50:$K$50</c:f>
              <c:numCache>
                <c:formatCode>0%</c:formatCode>
                <c:ptCount val="4"/>
                <c:pt idx="0">
                  <c:v>0.25511815548729244</c:v>
                </c:pt>
                <c:pt idx="1">
                  <c:v>0.14812685823050906</c:v>
                </c:pt>
                <c:pt idx="2">
                  <c:v>0.138282707588952</c:v>
                </c:pt>
                <c:pt idx="3">
                  <c:v>0.11999999999999988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9B-4511-8E48-8CE707F6F25F}"/>
            </c:ext>
          </c:extLst>
        </c:ser>
        <c:ser>
          <c:idx val="6"/>
          <c:order val="6"/>
          <c:tx>
            <c:strRef>
              <c:f>'Sport Loisir Culture - AMS'!$E$51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'Sport Loisir Culture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'Sport Loisir Culture - AMS'!$H$51:$K$51</c:f>
              <c:numCache>
                <c:formatCode>0%</c:formatCode>
                <c:ptCount val="4"/>
                <c:pt idx="0">
                  <c:v>6.3819018499390159E-2</c:v>
                </c:pt>
                <c:pt idx="1">
                  <c:v>0.17</c:v>
                </c:pt>
                <c:pt idx="2">
                  <c:v>0.4</c:v>
                </c:pt>
                <c:pt idx="3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9B-4511-8E48-8CE707F6F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096608"/>
        <c:axId val="1855111168"/>
      </c:areaChart>
      <c:catAx>
        <c:axId val="185509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5111168"/>
        <c:crosses val="autoZero"/>
        <c:auto val="1"/>
        <c:lblAlgn val="ctr"/>
        <c:lblOffset val="100"/>
        <c:noMultiLvlLbl val="0"/>
      </c:catAx>
      <c:valAx>
        <c:axId val="185511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509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par source énergie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- AMS'!$E$13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AMS'!$H$13:$K$13</c:f>
              <c:numCache>
                <c:formatCode>#,##0</c:formatCode>
                <c:ptCount val="4"/>
                <c:pt idx="0">
                  <c:v>1184.6022208624877</c:v>
                </c:pt>
                <c:pt idx="1">
                  <c:v>107.93842425384921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2-4B36-A480-3A159D262738}"/>
            </c:ext>
          </c:extLst>
        </c:ser>
        <c:ser>
          <c:idx val="1"/>
          <c:order val="1"/>
          <c:tx>
            <c:strRef>
              <c:f>'Transport - AMS'!$E$14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AMS'!$H$14:$K$14</c:f>
              <c:numCache>
                <c:formatCode>#,##0</c:formatCode>
                <c:ptCount val="4"/>
                <c:pt idx="0">
                  <c:v>2571.1662444862582</c:v>
                </c:pt>
                <c:pt idx="1">
                  <c:v>1853.0749999119782</c:v>
                </c:pt>
                <c:pt idx="2">
                  <c:v>816.42123920571453</c:v>
                </c:pt>
                <c:pt idx="3">
                  <c:v>236.31351183249456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72-4B36-A480-3A159D262738}"/>
            </c:ext>
          </c:extLst>
        </c:ser>
        <c:ser>
          <c:idx val="2"/>
          <c:order val="2"/>
          <c:tx>
            <c:strRef>
              <c:f>'Transport - AMS'!$E$15</c:f>
              <c:strCache>
                <c:ptCount val="1"/>
                <c:pt idx="0">
                  <c:v>Réseau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AMS'!$H$15:$K$15</c:f>
              <c:numCache>
                <c:formatCode>#,##0</c:formatCode>
                <c:ptCount val="4"/>
                <c:pt idx="0">
                  <c:v>322.79006470064922</c:v>
                </c:pt>
                <c:pt idx="1">
                  <c:v>870.18599525932484</c:v>
                </c:pt>
                <c:pt idx="2">
                  <c:v>1015.1618968826906</c:v>
                </c:pt>
                <c:pt idx="3">
                  <c:v>936.20580050675017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72-4B36-A480-3A159D262738}"/>
            </c:ext>
          </c:extLst>
        </c:ser>
        <c:ser>
          <c:idx val="3"/>
          <c:order val="3"/>
          <c:tx>
            <c:strRef>
              <c:f>'Transport - AMS'!$E$16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AMS'!$H$16:$K$16</c:f>
              <c:numCache>
                <c:formatCode>#,##0</c:formatCode>
                <c:ptCount val="4"/>
                <c:pt idx="0">
                  <c:v>88.777400481906028</c:v>
                </c:pt>
                <c:pt idx="1">
                  <c:v>50.499088514207003</c:v>
                </c:pt>
                <c:pt idx="2">
                  <c:v>79.64035321444014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72-4B36-A480-3A159D262738}"/>
            </c:ext>
          </c:extLst>
        </c:ser>
        <c:ser>
          <c:idx val="4"/>
          <c:order val="4"/>
          <c:tx>
            <c:strRef>
              <c:f>'Transport - AMS'!$E$17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AMS'!$H$17:$K$17</c:f>
              <c:numCache>
                <c:formatCode>#,##0</c:formatCode>
                <c:ptCount val="4"/>
                <c:pt idx="0">
                  <c:v>74.467362697590815</c:v>
                </c:pt>
                <c:pt idx="1">
                  <c:v>57.137614939490383</c:v>
                </c:pt>
                <c:pt idx="2">
                  <c:v>48.391540690102289</c:v>
                </c:pt>
                <c:pt idx="3">
                  <c:v>39.400651157907255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72-4B36-A480-3A159D262738}"/>
            </c:ext>
          </c:extLst>
        </c:ser>
        <c:ser>
          <c:idx val="5"/>
          <c:order val="5"/>
          <c:tx>
            <c:strRef>
              <c:f>'Transport - AMS'!$E$18</c:f>
              <c:strCache>
                <c:ptCount val="1"/>
                <c:pt idx="0">
                  <c:v>Electricité 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AMS'!$H$18:$K$18</c:f>
              <c:numCache>
                <c:formatCode>#,##0</c:formatCode>
                <c:ptCount val="4"/>
                <c:pt idx="0">
                  <c:v>730.54536473556641</c:v>
                </c:pt>
                <c:pt idx="1">
                  <c:v>555.46233726344622</c:v>
                </c:pt>
                <c:pt idx="2">
                  <c:v>447.18135272598073</c:v>
                </c:pt>
                <c:pt idx="3">
                  <c:v>445.9803872378223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72-4B36-A480-3A159D262738}"/>
            </c:ext>
          </c:extLst>
        </c:ser>
        <c:ser>
          <c:idx val="6"/>
          <c:order val="6"/>
          <c:tx>
            <c:strRef>
              <c:f>'Transport - AMS'!$E$19</c:f>
              <c:strCache>
                <c:ptCount val="1"/>
                <c:pt idx="0">
                  <c:v>Electricité 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AMS'!$H$19:$K$19</c:f>
              <c:numCache>
                <c:formatCode>#,##0</c:formatCode>
                <c:ptCount val="4"/>
                <c:pt idx="0">
                  <c:v>130.96454462136228</c:v>
                </c:pt>
                <c:pt idx="1">
                  <c:v>373.75942588301922</c:v>
                </c:pt>
                <c:pt idx="2">
                  <c:v>644.03704540838419</c:v>
                </c:pt>
                <c:pt idx="3">
                  <c:v>767.22437671734735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72-4B36-A480-3A159D262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Surface du parc chauffé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'Transport - AMS'!$E$8</c:f>
              <c:strCache>
                <c:ptCount val="1"/>
                <c:pt idx="0">
                  <c:v>Dont surfaces construites après 2015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'Transport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 - AMS'!$H$8:$K$8</c:f>
              <c:numCache>
                <c:formatCode>#,##0</c:formatCode>
                <c:ptCount val="4"/>
                <c:pt idx="0">
                  <c:v>0</c:v>
                </c:pt>
                <c:pt idx="1">
                  <c:v>1461.3994615530548</c:v>
                </c:pt>
                <c:pt idx="2">
                  <c:v>1408.7342765387548</c:v>
                </c:pt>
                <c:pt idx="3">
                  <c:v>1105.016869340491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2-4394-80BD-E4885C1B9532}"/>
            </c:ext>
          </c:extLst>
        </c:ser>
        <c:ser>
          <c:idx val="1"/>
          <c:order val="1"/>
          <c:tx>
            <c:strRef>
              <c:f>'Transport - AMS'!$E$9</c:f>
              <c:strCache>
                <c:ptCount val="1"/>
                <c:pt idx="0">
                  <c:v>Dont surfaces existantes en 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'Transport - AMS'!$H$6:$K$6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 - AMS'!$H$9:$K$9</c:f>
              <c:numCache>
                <c:formatCode>#,##0</c:formatCode>
                <c:ptCount val="4"/>
                <c:pt idx="0">
                  <c:v>41814.604215450461</c:v>
                </c:pt>
                <c:pt idx="1">
                  <c:v>40727.42450584875</c:v>
                </c:pt>
                <c:pt idx="2">
                  <c:v>41091.914544249361</c:v>
                </c:pt>
                <c:pt idx="3">
                  <c:v>40793.873600880826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32-4394-80BD-E4885C1B9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156895"/>
        <c:axId val="1384149407"/>
      </c:areaChart>
      <c:catAx>
        <c:axId val="13841568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49407"/>
        <c:crosses val="autoZero"/>
        <c:auto val="1"/>
        <c:lblAlgn val="ctr"/>
        <c:lblOffset val="100"/>
        <c:noMultiLvlLbl val="0"/>
      </c:catAx>
      <c:valAx>
        <c:axId val="138414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15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 la partie du parc </a:t>
            </a:r>
            <a:r>
              <a:rPr lang="fr-FR" b="1"/>
              <a:t>suivant le décret tertiaire</a:t>
            </a:r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- AMS'!$E$107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AMS'!$H$107:$K$107</c:f>
              <c:numCache>
                <c:formatCode>_-* #\ ##0_-;\-* #\ ##0_-;_-* "-"??_-;_-@_-</c:formatCode>
                <c:ptCount val="4"/>
                <c:pt idx="0" formatCode="0">
                  <c:v>1074.7303648774919</c:v>
                </c:pt>
                <c:pt idx="1">
                  <c:v>97.830632103180463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B-4A9A-874A-F88A09378D58}"/>
            </c:ext>
          </c:extLst>
        </c:ser>
        <c:ser>
          <c:idx val="1"/>
          <c:order val="1"/>
          <c:tx>
            <c:strRef>
              <c:f>'Transport - AMS'!$E$108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AMS'!$H$108:$K$108</c:f>
              <c:numCache>
                <c:formatCode>_-* #\ ##0_-;\-* #\ ##0_-;_-* "-"??_-;_-@_-</c:formatCode>
                <c:ptCount val="4"/>
                <c:pt idx="0" formatCode="0">
                  <c:v>2332.6905753101578</c:v>
                </c:pt>
                <c:pt idx="1">
                  <c:v>1645.5889343742926</c:v>
                </c:pt>
                <c:pt idx="2">
                  <c:v>716.28938415143637</c:v>
                </c:pt>
                <c:pt idx="3">
                  <c:v>201.0620467024354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1B-4A9A-874A-F88A09378D58}"/>
            </c:ext>
          </c:extLst>
        </c:ser>
        <c:ser>
          <c:idx val="2"/>
          <c:order val="2"/>
          <c:tx>
            <c:strRef>
              <c:f>'Transport - AMS'!$E$109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AMS'!$H$109:$K$109</c:f>
              <c:numCache>
                <c:formatCode>_-* #\ ##0_-;\-* #\ ##0_-;_-* "-"??_-;_-@_-</c:formatCode>
                <c:ptCount val="4"/>
                <c:pt idx="0" formatCode="0">
                  <c:v>292.851286199664</c:v>
                </c:pt>
                <c:pt idx="1">
                  <c:v>756.12394434203929</c:v>
                </c:pt>
                <c:pt idx="2">
                  <c:v>884.52196179678606</c:v>
                </c:pt>
                <c:pt idx="3">
                  <c:v>813.59508340811794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1B-4A9A-874A-F88A09378D58}"/>
            </c:ext>
          </c:extLst>
        </c:ser>
        <c:ser>
          <c:idx val="3"/>
          <c:order val="3"/>
          <c:tx>
            <c:strRef>
              <c:f>'Transport - AMS'!$E$110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AMS'!$H$110:$K$110</c:f>
              <c:numCache>
                <c:formatCode>_-* #\ ##0_-;\-* #\ ##0_-;_-* "-"??_-;_-@_-</c:formatCode>
                <c:ptCount val="4"/>
                <c:pt idx="0" formatCode="0">
                  <c:v>80.543296587209241</c:v>
                </c:pt>
                <c:pt idx="1">
                  <c:v>42.721011367915317</c:v>
                </c:pt>
                <c:pt idx="2">
                  <c:v>69.732127304529939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1B-4A9A-874A-F88A09378D58}"/>
            </c:ext>
          </c:extLst>
        </c:ser>
        <c:ser>
          <c:idx val="4"/>
          <c:order val="4"/>
          <c:tx>
            <c:strRef>
              <c:f>'Transport - AMS'!$E$111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AMS'!$H$111:$K$111</c:f>
              <c:numCache>
                <c:formatCode>_-* #\ ##0_-;\-* #\ ##0_-;_-* "-"??_-;_-@_-</c:formatCode>
                <c:ptCount val="4"/>
                <c:pt idx="0" formatCode="0">
                  <c:v>67.560514807389268</c:v>
                </c:pt>
                <c:pt idx="1">
                  <c:v>48.667695720095423</c:v>
                </c:pt>
                <c:pt idx="2">
                  <c:v>40.787260295444838</c:v>
                </c:pt>
                <c:pt idx="3">
                  <c:v>33.139883742426903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1B-4A9A-874A-F88A09378D58}"/>
            </c:ext>
          </c:extLst>
        </c:ser>
        <c:ser>
          <c:idx val="5"/>
          <c:order val="5"/>
          <c:tx>
            <c:strRef>
              <c:f>'Transport - AMS'!$E$112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AMS'!$H$112:$K$112</c:f>
              <c:numCache>
                <c:formatCode>_-* #\ ##0_-;\-* #\ ##0_-;_-* "-"??_-;_-@_-</c:formatCode>
                <c:ptCount val="4"/>
                <c:pt idx="0" formatCode="0">
                  <c:v>662.7872821563426</c:v>
                </c:pt>
                <c:pt idx="1">
                  <c:v>492.3254550773205</c:v>
                </c:pt>
                <c:pt idx="2">
                  <c:v>395.5937548781211</c:v>
                </c:pt>
                <c:pt idx="3">
                  <c:v>395.43155544703563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1B-4A9A-874A-F88A09378D58}"/>
            </c:ext>
          </c:extLst>
        </c:ser>
        <c:ser>
          <c:idx val="6"/>
          <c:order val="6"/>
          <c:tx>
            <c:strRef>
              <c:f>'Transport - AMS'!$E$113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AMS'!$H$113:$K$113</c:f>
              <c:numCache>
                <c:formatCode>_-* #\ ##0_-;\-* #\ ##0_-;_-* "-"??_-;_-@_-</c:formatCode>
                <c:ptCount val="4"/>
                <c:pt idx="0" formatCode="0">
                  <c:v>118.81758310773093</c:v>
                </c:pt>
                <c:pt idx="1">
                  <c:v>310.9928590912732</c:v>
                </c:pt>
                <c:pt idx="2">
                  <c:v>552.98026751779457</c:v>
                </c:pt>
                <c:pt idx="3">
                  <c:v>669.26133744347248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1B-4A9A-874A-F88A09378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Consommation de chauffage de</a:t>
            </a:r>
            <a:r>
              <a:rPr lang="fr-FR" baseline="0"/>
              <a:t> la partie du parc </a:t>
            </a:r>
            <a:r>
              <a:rPr lang="fr-FR" b="1" baseline="0"/>
              <a:t>ne suivant pas le décret tertiaire</a:t>
            </a:r>
            <a:endParaRPr lang="fr-FR" b="1"/>
          </a:p>
        </c:rich>
      </c:tx>
      <c:layout>
        <c:manualLayout>
          <c:xMode val="edge"/>
          <c:yMode val="edge"/>
          <c:x val="0.2515067804024496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- AMS'!$E$118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AMS'!$H$118:$K$118</c:f>
              <c:numCache>
                <c:formatCode>_-* #\ ##0_-;\-* #\ ##0_-;_-* "-"??_-;_-@_-</c:formatCode>
                <c:ptCount val="4"/>
                <c:pt idx="0">
                  <c:v>109.87185598499573</c:v>
                </c:pt>
                <c:pt idx="1">
                  <c:v>10.10779215066874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7-4E6A-A793-8C28C360E6E7}"/>
            </c:ext>
          </c:extLst>
        </c:ser>
        <c:ser>
          <c:idx val="1"/>
          <c:order val="1"/>
          <c:tx>
            <c:strRef>
              <c:f>'Transport - AMS'!$E$119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AMS'!$H$119:$K$119</c:f>
              <c:numCache>
                <c:formatCode>_-* #\ ##0_-;\-* #\ ##0_-;_-* "-"??_-;_-@_-</c:formatCode>
                <c:ptCount val="4"/>
                <c:pt idx="0">
                  <c:v>238.47566917610044</c:v>
                </c:pt>
                <c:pt idx="1">
                  <c:v>190.01981038581644</c:v>
                </c:pt>
                <c:pt idx="2">
                  <c:v>84.825659637093523</c:v>
                </c:pt>
                <c:pt idx="3">
                  <c:v>24.445847647200065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F7-4E6A-A793-8C28C360E6E7}"/>
            </c:ext>
          </c:extLst>
        </c:ser>
        <c:ser>
          <c:idx val="2"/>
          <c:order val="2"/>
          <c:tx>
            <c:strRef>
              <c:f>'Transport - AMS'!$E$120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AMS'!$H$120:$K$120</c:f>
              <c:numCache>
                <c:formatCode>_-* #\ ##0_-;\-* #\ ##0_-;_-* "-"??_-;_-@_-</c:formatCode>
                <c:ptCount val="4"/>
                <c:pt idx="0">
                  <c:v>29.938778500985212</c:v>
                </c:pt>
                <c:pt idx="1">
                  <c:v>90.931401186099166</c:v>
                </c:pt>
                <c:pt idx="2">
                  <c:v>110.19749001397402</c:v>
                </c:pt>
                <c:pt idx="3">
                  <c:v>105.12079813793659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F7-4E6A-A793-8C28C360E6E7}"/>
            </c:ext>
          </c:extLst>
        </c:ser>
        <c:ser>
          <c:idx val="3"/>
          <c:order val="3"/>
          <c:tx>
            <c:strRef>
              <c:f>'Transport - AMS'!$E$121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AMS'!$H$121:$K$121</c:f>
              <c:numCache>
                <c:formatCode>_-* #\ ##0_-;\-* #\ ##0_-;_-* "-"??_-;_-@_-</c:formatCode>
                <c:ptCount val="4"/>
                <c:pt idx="0">
                  <c:v>8.2341038946967835</c:v>
                </c:pt>
                <c:pt idx="1">
                  <c:v>5.1376251907379631</c:v>
                </c:pt>
                <c:pt idx="2">
                  <c:v>8.6875235824382244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F7-4E6A-A793-8C28C360E6E7}"/>
            </c:ext>
          </c:extLst>
        </c:ser>
        <c:ser>
          <c:idx val="4"/>
          <c:order val="4"/>
          <c:tx>
            <c:strRef>
              <c:f>'Transport - AMS'!$E$122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AMS'!$H$122:$K$122</c:f>
              <c:numCache>
                <c:formatCode>_-* #\ ##0_-;\-* #\ ##0_-;_-* "-"??_-;_-@_-</c:formatCode>
                <c:ptCount val="4"/>
                <c:pt idx="0">
                  <c:v>6.9068478902015471</c:v>
                </c:pt>
                <c:pt idx="1">
                  <c:v>5.8527729447556274</c:v>
                </c:pt>
                <c:pt idx="2">
                  <c:v>5.0814495323263236</c:v>
                </c:pt>
                <c:pt idx="3">
                  <c:v>4.281848674170079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F7-4E6A-A793-8C28C360E6E7}"/>
            </c:ext>
          </c:extLst>
        </c:ser>
        <c:ser>
          <c:idx val="5"/>
          <c:order val="5"/>
          <c:tx>
            <c:strRef>
              <c:f>'Transport - AMS'!$E$123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AMS'!$H$123:$K$123</c:f>
              <c:numCache>
                <c:formatCode>_-* #\ ##0_-;\-* #\ ##0_-;_-* "-"??_-;_-@_-</c:formatCode>
                <c:ptCount val="4"/>
                <c:pt idx="0">
                  <c:v>67.758082579223782</c:v>
                </c:pt>
                <c:pt idx="1">
                  <c:v>53.345255703647034</c:v>
                </c:pt>
                <c:pt idx="2">
                  <c:v>43.271898755100629</c:v>
                </c:pt>
                <c:pt idx="3">
                  <c:v>43.713534747408119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F7-4E6A-A793-8C28C360E6E7}"/>
            </c:ext>
          </c:extLst>
        </c:ser>
        <c:ser>
          <c:idx val="6"/>
          <c:order val="6"/>
          <c:tx>
            <c:strRef>
              <c:f>'Transport - AMS'!$E$124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'Transport - AMS'!$H$11:$K$12</c:f>
              <c:strCach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strCache>
            </c:strRef>
          </c:cat>
          <c:val>
            <c:numRef>
              <c:f>'Transport - AMS'!$H$124:$K$124</c:f>
              <c:numCache>
                <c:formatCode>_-* #\ ##0_-;\-* #\ ##0_-;_-* "-"??_-;_-@_-</c:formatCode>
                <c:ptCount val="4"/>
                <c:pt idx="0">
                  <c:v>12.14696151363135</c:v>
                </c:pt>
                <c:pt idx="1">
                  <c:v>33.697208663782696</c:v>
                </c:pt>
                <c:pt idx="2">
                  <c:v>60.487573058302267</c:v>
                </c:pt>
                <c:pt idx="3">
                  <c:v>73.984431253490612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F7-4E6A-A793-8C28C360E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7366928"/>
        <c:axId val="1307369008"/>
      </c:barChart>
      <c:catAx>
        <c:axId val="1307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9008"/>
        <c:crosses val="autoZero"/>
        <c:auto val="1"/>
        <c:lblAlgn val="ctr"/>
        <c:lblOffset val="100"/>
        <c:noMultiLvlLbl val="0"/>
      </c:catAx>
      <c:valAx>
        <c:axId val="13073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07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'Transport - AMS'!$E$45</c:f>
              <c:strCache>
                <c:ptCount val="1"/>
                <c:pt idx="0">
                  <c:v>Fuel domestique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'Transport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 - AMS'!$H$45:$K$45</c:f>
              <c:numCache>
                <c:formatCode>0%</c:formatCode>
                <c:ptCount val="4"/>
                <c:pt idx="0">
                  <c:v>0.19595605807562935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A-4C2B-AEC3-2D40550E08B5}"/>
            </c:ext>
          </c:extLst>
        </c:ser>
        <c:ser>
          <c:idx val="1"/>
          <c:order val="1"/>
          <c:tx>
            <c:strRef>
              <c:f>'Transport - AMS'!$E$46</c:f>
              <c:strCache>
                <c:ptCount val="1"/>
                <c:pt idx="0">
                  <c:v>Gaz naturel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'Transport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 - AMS'!$H$46:$K$46</c:f>
              <c:numCache>
                <c:formatCode>0%</c:formatCode>
                <c:ptCount val="4"/>
                <c:pt idx="0">
                  <c:v>0.40960771079475461</c:v>
                </c:pt>
                <c:pt idx="1">
                  <c:v>0.35226263128348895</c:v>
                </c:pt>
                <c:pt idx="2">
                  <c:v>0.16384308431790184</c:v>
                </c:pt>
                <c:pt idx="3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8A-4C2B-AEC3-2D40550E08B5}"/>
            </c:ext>
          </c:extLst>
        </c:ser>
        <c:ser>
          <c:idx val="2"/>
          <c:order val="2"/>
          <c:tx>
            <c:strRef>
              <c:f>'Transport - AMS'!$E$47</c:f>
              <c:strCache>
                <c:ptCount val="1"/>
                <c:pt idx="0">
                  <c:v>Réseaux de chaleur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'Transport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 - AMS'!$H$47:$K$47</c:f>
              <c:numCache>
                <c:formatCode>0%</c:formatCode>
                <c:ptCount val="4"/>
                <c:pt idx="0">
                  <c:v>6.1629340994289197E-2</c:v>
                </c:pt>
                <c:pt idx="1">
                  <c:v>0.2</c:v>
                </c:pt>
                <c:pt idx="2">
                  <c:v>0.25</c:v>
                </c:pt>
                <c:pt idx="3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8A-4C2B-AEC3-2D40550E08B5}"/>
            </c:ext>
          </c:extLst>
        </c:ser>
        <c:ser>
          <c:idx val="3"/>
          <c:order val="3"/>
          <c:tx>
            <c:strRef>
              <c:f>'Transport - AMS'!$E$48</c:f>
              <c:strCache>
                <c:ptCount val="1"/>
                <c:pt idx="0">
                  <c:v>GPL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'Transport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 - AMS'!$H$48:$K$48</c:f>
              <c:numCache>
                <c:formatCode>0%</c:formatCode>
                <c:ptCount val="4"/>
                <c:pt idx="0">
                  <c:v>1.720027863130175E-2</c:v>
                </c:pt>
                <c:pt idx="1">
                  <c:v>1.1466852420867833E-2</c:v>
                </c:pt>
                <c:pt idx="2">
                  <c:v>0.02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8A-4C2B-AEC3-2D40550E08B5}"/>
            </c:ext>
          </c:extLst>
        </c:ser>
        <c:ser>
          <c:idx val="4"/>
          <c:order val="4"/>
          <c:tx>
            <c:strRef>
              <c:f>'Transport - AMS'!$E$49</c:f>
              <c:strCache>
                <c:ptCount val="1"/>
                <c:pt idx="0">
                  <c:v>ENR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'Transport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 - AMS'!$H$49:$K$49</c:f>
              <c:numCache>
                <c:formatCode>0%</c:formatCode>
                <c:ptCount val="4"/>
                <c:pt idx="0">
                  <c:v>1.3962097437388757E-2</c:v>
                </c:pt>
                <c:pt idx="1">
                  <c:v>1.2641398291592505E-2</c:v>
                </c:pt>
                <c:pt idx="2">
                  <c:v>1.1320699145796252E-2</c:v>
                </c:pt>
                <c:pt idx="3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8A-4C2B-AEC3-2D40550E08B5}"/>
            </c:ext>
          </c:extLst>
        </c:ser>
        <c:ser>
          <c:idx val="5"/>
          <c:order val="5"/>
          <c:tx>
            <c:strRef>
              <c:f>'Transport - AMS'!$E$50</c:f>
              <c:strCache>
                <c:ptCount val="1"/>
                <c:pt idx="0">
                  <c:v>Joule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'Transport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 - AMS'!$H$50:$K$50</c:f>
              <c:numCache>
                <c:formatCode>0%</c:formatCode>
                <c:ptCount val="4"/>
                <c:pt idx="0">
                  <c:v>0.23589207259794331</c:v>
                </c:pt>
                <c:pt idx="1">
                  <c:v>0.20362911800405076</c:v>
                </c:pt>
                <c:pt idx="2">
                  <c:v>0.17483621653630188</c:v>
                </c:pt>
                <c:pt idx="3">
                  <c:v>0.18999999999999995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8A-4C2B-AEC3-2D40550E08B5}"/>
            </c:ext>
          </c:extLst>
        </c:ser>
        <c:ser>
          <c:idx val="6"/>
          <c:order val="6"/>
          <c:tx>
            <c:strRef>
              <c:f>'Transport - AMS'!$E$51</c:f>
              <c:strCache>
                <c:ptCount val="1"/>
                <c:pt idx="0">
                  <c:v>PAC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'Transport - AMS'!$H$44:$K$44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'Transport - AMS'!$H$51:$K$51</c:f>
              <c:numCache>
                <c:formatCode>0%</c:formatCode>
                <c:ptCount val="4"/>
                <c:pt idx="0">
                  <c:v>6.5752441468692954E-2</c:v>
                </c:pt>
                <c:pt idx="1">
                  <c:v>0.2</c:v>
                </c:pt>
                <c:pt idx="2">
                  <c:v>0.38</c:v>
                </c:pt>
                <c:pt idx="3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8A-4C2B-AEC3-2D40550E0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124480"/>
        <c:axId val="1855133632"/>
      </c:areaChart>
      <c:catAx>
        <c:axId val="1855124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5133632"/>
        <c:crosses val="autoZero"/>
        <c:auto val="1"/>
        <c:lblAlgn val="ctr"/>
        <c:lblOffset val="100"/>
        <c:noMultiLvlLbl val="0"/>
      </c:catAx>
      <c:valAx>
        <c:axId val="185513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5124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5" Type="http://schemas.openxmlformats.org/officeDocument/2006/relationships/chart" Target="../charts/chart51.xml"/><Relationship Id="rId4" Type="http://schemas.openxmlformats.org/officeDocument/2006/relationships/chart" Target="../charts/chart5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5" Type="http://schemas.openxmlformats.org/officeDocument/2006/relationships/chart" Target="../charts/chart66.xml"/><Relationship Id="rId4" Type="http://schemas.openxmlformats.org/officeDocument/2006/relationships/chart" Target="../charts/chart65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Relationship Id="rId5" Type="http://schemas.openxmlformats.org/officeDocument/2006/relationships/chart" Target="../charts/chart76.xml"/><Relationship Id="rId4" Type="http://schemas.openxmlformats.org/officeDocument/2006/relationships/chart" Target="../charts/chart75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5" Type="http://schemas.openxmlformats.org/officeDocument/2006/relationships/chart" Target="../charts/chart81.xml"/><Relationship Id="rId4" Type="http://schemas.openxmlformats.org/officeDocument/2006/relationships/chart" Target="../charts/chart80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756245</xdr:colOff>
      <xdr:row>71</xdr:row>
      <xdr:rowOff>75884</xdr:rowOff>
    </xdr:from>
    <xdr:to>
      <xdr:col>19</xdr:col>
      <xdr:colOff>70644</xdr:colOff>
      <xdr:row>88</xdr:row>
      <xdr:rowOff>6584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59417</xdr:colOff>
      <xdr:row>4</xdr:row>
      <xdr:rowOff>52614</xdr:rowOff>
    </xdr:from>
    <xdr:to>
      <xdr:col>13</xdr:col>
      <xdr:colOff>545192</xdr:colOff>
      <xdr:row>20</xdr:row>
      <xdr:rowOff>125639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752474</xdr:colOff>
      <xdr:row>60</xdr:row>
      <xdr:rowOff>136072</xdr:rowOff>
    </xdr:from>
    <xdr:to>
      <xdr:col>13</xdr:col>
      <xdr:colOff>469899</xdr:colOff>
      <xdr:row>77</xdr:row>
      <xdr:rowOff>34925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704850</xdr:colOff>
      <xdr:row>77</xdr:row>
      <xdr:rowOff>25401</xdr:rowOff>
    </xdr:from>
    <xdr:to>
      <xdr:col>13</xdr:col>
      <xdr:colOff>504825</xdr:colOff>
      <xdr:row>90</xdr:row>
      <xdr:rowOff>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650422</xdr:colOff>
      <xdr:row>89</xdr:row>
      <xdr:rowOff>135165</xdr:rowOff>
    </xdr:from>
    <xdr:to>
      <xdr:col>13</xdr:col>
      <xdr:colOff>450397</xdr:colOff>
      <xdr:row>102</xdr:row>
      <xdr:rowOff>109764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362857</xdr:colOff>
      <xdr:row>4</xdr:row>
      <xdr:rowOff>81643</xdr:rowOff>
    </xdr:from>
    <xdr:to>
      <xdr:col>22</xdr:col>
      <xdr:colOff>86632</xdr:colOff>
      <xdr:row>20</xdr:row>
      <xdr:rowOff>154668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362857</xdr:colOff>
      <xdr:row>59</xdr:row>
      <xdr:rowOff>172357</xdr:rowOff>
    </xdr:from>
    <xdr:to>
      <xdr:col>22</xdr:col>
      <xdr:colOff>80282</xdr:colOff>
      <xdr:row>77</xdr:row>
      <xdr:rowOff>63046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371929</xdr:colOff>
      <xdr:row>77</xdr:row>
      <xdr:rowOff>90715</xdr:rowOff>
    </xdr:from>
    <xdr:to>
      <xdr:col>22</xdr:col>
      <xdr:colOff>171904</xdr:colOff>
      <xdr:row>90</xdr:row>
      <xdr:rowOff>65314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399142</xdr:colOff>
      <xdr:row>90</xdr:row>
      <xdr:rowOff>9072</xdr:rowOff>
    </xdr:from>
    <xdr:to>
      <xdr:col>22</xdr:col>
      <xdr:colOff>199117</xdr:colOff>
      <xdr:row>102</xdr:row>
      <xdr:rowOff>165099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86178</xdr:colOff>
      <xdr:row>20</xdr:row>
      <xdr:rowOff>18142</xdr:rowOff>
    </xdr:from>
    <xdr:to>
      <xdr:col>13</xdr:col>
      <xdr:colOff>136071</xdr:colOff>
      <xdr:row>33</xdr:row>
      <xdr:rowOff>69850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607785</xdr:colOff>
      <xdr:row>20</xdr:row>
      <xdr:rowOff>0</xdr:rowOff>
    </xdr:from>
    <xdr:to>
      <xdr:col>21</xdr:col>
      <xdr:colOff>171450</xdr:colOff>
      <xdr:row>34</xdr:row>
      <xdr:rowOff>12700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95249</xdr:colOff>
      <xdr:row>33</xdr:row>
      <xdr:rowOff>29936</xdr:rowOff>
    </xdr:from>
    <xdr:to>
      <xdr:col>13</xdr:col>
      <xdr:colOff>95249</xdr:colOff>
      <xdr:row>47</xdr:row>
      <xdr:rowOff>178707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504076</xdr:colOff>
      <xdr:row>33</xdr:row>
      <xdr:rowOff>124239</xdr:rowOff>
    </xdr:from>
    <xdr:to>
      <xdr:col>21</xdr:col>
      <xdr:colOff>491830</xdr:colOff>
      <xdr:row>47</xdr:row>
      <xdr:rowOff>136485</xdr:rowOff>
    </xdr:to>
    <xdr:graphicFrame macro="">
      <xdr:nvGraphicFramePr>
        <xdr:cNvPr id="17" name="Graphiqu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625929</xdr:colOff>
      <xdr:row>109</xdr:row>
      <xdr:rowOff>0</xdr:rowOff>
    </xdr:from>
    <xdr:to>
      <xdr:col>13</xdr:col>
      <xdr:colOff>425904</xdr:colOff>
      <xdr:row>121</xdr:row>
      <xdr:rowOff>156027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425823</xdr:colOff>
      <xdr:row>109</xdr:row>
      <xdr:rowOff>134470</xdr:rowOff>
    </xdr:from>
    <xdr:to>
      <xdr:col>22</xdr:col>
      <xdr:colOff>225798</xdr:colOff>
      <xdr:row>122</xdr:row>
      <xdr:rowOff>103732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571499</xdr:colOff>
      <xdr:row>128</xdr:row>
      <xdr:rowOff>166204</xdr:rowOff>
    </xdr:from>
    <xdr:to>
      <xdr:col>12</xdr:col>
      <xdr:colOff>571499</xdr:colOff>
      <xdr:row>145</xdr:row>
      <xdr:rowOff>120926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705971</xdr:colOff>
      <xdr:row>128</xdr:row>
      <xdr:rowOff>136713</xdr:rowOff>
    </xdr:from>
    <xdr:to>
      <xdr:col>21</xdr:col>
      <xdr:colOff>705971</xdr:colOff>
      <xdr:row>145</xdr:row>
      <xdr:rowOff>91435</xdr:rowOff>
    </xdr:to>
    <xdr:graphicFrame macro="">
      <xdr:nvGraphicFramePr>
        <xdr:cNvPr id="18" name="Graphiqu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417809</xdr:colOff>
      <xdr:row>150</xdr:row>
      <xdr:rowOff>154388</xdr:rowOff>
    </xdr:from>
    <xdr:to>
      <xdr:col>22</xdr:col>
      <xdr:colOff>142875</xdr:colOff>
      <xdr:row>172</xdr:row>
      <xdr:rowOff>47625</xdr:rowOff>
    </xdr:to>
    <xdr:graphicFrame macro="">
      <xdr:nvGraphicFramePr>
        <xdr:cNvPr id="19" name="Graphique 18">
          <a:extLst>
            <a:ext uri="{FF2B5EF4-FFF2-40B4-BE49-F238E27FC236}">
              <a16:creationId xmlns:a16="http://schemas.microsoft.com/office/drawing/2014/main" id="{1A67E1CC-3DB2-445D-AA10-0B648A018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571011</xdr:colOff>
      <xdr:row>42</xdr:row>
      <xdr:rowOff>254977</xdr:rowOff>
    </xdr:from>
    <xdr:to>
      <xdr:col>24</xdr:col>
      <xdr:colOff>296740</xdr:colOff>
      <xdr:row>62</xdr:row>
      <xdr:rowOff>39077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E0AA78D0-1B77-43DA-82A7-5BF18F0F1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538370</xdr:colOff>
      <xdr:row>42</xdr:row>
      <xdr:rowOff>180423</xdr:rowOff>
    </xdr:from>
    <xdr:to>
      <xdr:col>24</xdr:col>
      <xdr:colOff>265044</xdr:colOff>
      <xdr:row>61</xdr:row>
      <xdr:rowOff>99254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A2C3AF41-4301-44BC-99F0-381D8F099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356152</xdr:colOff>
      <xdr:row>42</xdr:row>
      <xdr:rowOff>221835</xdr:rowOff>
    </xdr:from>
    <xdr:to>
      <xdr:col>24</xdr:col>
      <xdr:colOff>82826</xdr:colOff>
      <xdr:row>62</xdr:row>
      <xdr:rowOff>8144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5222B602-882F-4A61-96FA-F2B29331C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505239</xdr:colOff>
      <xdr:row>42</xdr:row>
      <xdr:rowOff>251791</xdr:rowOff>
    </xdr:from>
    <xdr:to>
      <xdr:col>24</xdr:col>
      <xdr:colOff>231913</xdr:colOff>
      <xdr:row>62</xdr:row>
      <xdr:rowOff>34925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25E74D8F-85CE-4908-A4D1-A9D071789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397565</xdr:colOff>
      <xdr:row>42</xdr:row>
      <xdr:rowOff>226944</xdr:rowOff>
    </xdr:from>
    <xdr:to>
      <xdr:col>24</xdr:col>
      <xdr:colOff>124239</xdr:colOff>
      <xdr:row>62</xdr:row>
      <xdr:rowOff>16428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92C620BD-A6DA-4E24-8F27-60D5C241E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579782</xdr:colOff>
      <xdr:row>42</xdr:row>
      <xdr:rowOff>213553</xdr:rowOff>
    </xdr:from>
    <xdr:to>
      <xdr:col>24</xdr:col>
      <xdr:colOff>306456</xdr:colOff>
      <xdr:row>61</xdr:row>
      <xdr:rowOff>132384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1ED85E5B-2BA8-47B2-906F-A898651F9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499085</xdr:colOff>
      <xdr:row>1</xdr:row>
      <xdr:rowOff>83457</xdr:rowOff>
    </xdr:from>
    <xdr:to>
      <xdr:col>26</xdr:col>
      <xdr:colOff>121556</xdr:colOff>
      <xdr:row>25</xdr:row>
      <xdr:rowOff>56243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564590</xdr:colOff>
      <xdr:row>25</xdr:row>
      <xdr:rowOff>97758</xdr:rowOff>
    </xdr:from>
    <xdr:to>
      <xdr:col>26</xdr:col>
      <xdr:colOff>239059</xdr:colOff>
      <xdr:row>42</xdr:row>
      <xdr:rowOff>179294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450850</xdr:colOff>
      <xdr:row>2</xdr:row>
      <xdr:rowOff>96052</xdr:rowOff>
    </xdr:from>
    <xdr:to>
      <xdr:col>33</xdr:col>
      <xdr:colOff>572250</xdr:colOff>
      <xdr:row>25</xdr:row>
      <xdr:rowOff>51710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490391</xdr:colOff>
      <xdr:row>25</xdr:row>
      <xdr:rowOff>26681</xdr:rowOff>
    </xdr:from>
    <xdr:to>
      <xdr:col>33</xdr:col>
      <xdr:colOff>611791</xdr:colOff>
      <xdr:row>42</xdr:row>
      <xdr:rowOff>264085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430696</xdr:colOff>
      <xdr:row>42</xdr:row>
      <xdr:rowOff>230118</xdr:rowOff>
    </xdr:from>
    <xdr:to>
      <xdr:col>24</xdr:col>
      <xdr:colOff>157370</xdr:colOff>
      <xdr:row>62</xdr:row>
      <xdr:rowOff>10077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E727E903-4CA7-4116-98E7-102292E2B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</xdr:colOff>
      <xdr:row>2</xdr:row>
      <xdr:rowOff>120650</xdr:rowOff>
    </xdr:from>
    <xdr:to>
      <xdr:col>12</xdr:col>
      <xdr:colOff>457200</xdr:colOff>
      <xdr:row>24</xdr:row>
      <xdr:rowOff>119100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0350" y="488950"/>
          <a:ext cx="8070850" cy="404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184149</xdr:rowOff>
    </xdr:from>
    <xdr:to>
      <xdr:col>16</xdr:col>
      <xdr:colOff>342900</xdr:colOff>
      <xdr:row>42</xdr:row>
      <xdr:rowOff>148300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4972049"/>
          <a:ext cx="11010900" cy="29105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B2:T49"/>
  <sheetViews>
    <sheetView zoomScaleNormal="100" workbookViewId="0">
      <selection activeCell="H14" sqref="H14"/>
    </sheetView>
  </sheetViews>
  <sheetFormatPr baseColWidth="10" defaultRowHeight="14.5"/>
  <cols>
    <col min="2" max="2" width="29.26953125" customWidth="1"/>
    <col min="3" max="3" width="11" bestFit="1" customWidth="1"/>
    <col min="4" max="6" width="12.453125" bestFit="1" customWidth="1"/>
    <col min="8" max="8" width="22.81640625" customWidth="1"/>
    <col min="13" max="13" width="15.54296875" customWidth="1"/>
    <col min="18" max="18" width="11.453125" bestFit="1" customWidth="1"/>
  </cols>
  <sheetData>
    <row r="2" spans="2:20">
      <c r="B2" s="16" t="s">
        <v>58</v>
      </c>
      <c r="H2" s="114" t="s">
        <v>60</v>
      </c>
      <c r="I2" s="109"/>
      <c r="J2" s="109"/>
      <c r="K2" s="110"/>
      <c r="M2" s="16" t="s">
        <v>126</v>
      </c>
    </row>
    <row r="3" spans="2:20">
      <c r="C3" t="s">
        <v>53</v>
      </c>
      <c r="D3">
        <v>2030</v>
      </c>
      <c r="E3">
        <v>2040</v>
      </c>
      <c r="F3">
        <v>2050</v>
      </c>
      <c r="H3" s="109"/>
      <c r="I3" s="113" t="s">
        <v>5</v>
      </c>
      <c r="J3" s="113" t="s">
        <v>6</v>
      </c>
      <c r="K3" s="113" t="s">
        <v>7</v>
      </c>
      <c r="M3" t="s">
        <v>53</v>
      </c>
      <c r="N3" s="113" t="s">
        <v>5</v>
      </c>
      <c r="O3" s="113" t="s">
        <v>6</v>
      </c>
      <c r="P3" s="113" t="s">
        <v>7</v>
      </c>
    </row>
    <row r="4" spans="2:20">
      <c r="B4" t="s">
        <v>54</v>
      </c>
      <c r="C4" s="278">
        <v>287333.79208712658</v>
      </c>
      <c r="D4" s="107">
        <v>272201.95072162757</v>
      </c>
      <c r="E4" s="107">
        <v>257425.42189489363</v>
      </c>
      <c r="F4" s="107">
        <v>238202.04314518778</v>
      </c>
      <c r="H4" s="111" t="s">
        <v>54</v>
      </c>
      <c r="I4" s="113">
        <v>2.16E-3</v>
      </c>
      <c r="J4" s="113">
        <v>2.16E-3</v>
      </c>
      <c r="K4" s="113">
        <v>2.16E-3</v>
      </c>
      <c r="M4" s="111" t="s">
        <v>54</v>
      </c>
      <c r="N4" s="107">
        <v>6206.4099090819345</v>
      </c>
      <c r="O4" s="107">
        <v>5879.5621355871563</v>
      </c>
      <c r="P4" s="107">
        <v>5560.3891129297026</v>
      </c>
      <c r="R4" s="116"/>
      <c r="S4" s="197"/>
      <c r="T4" s="115"/>
    </row>
    <row r="5" spans="2:20">
      <c r="B5" t="s">
        <v>39</v>
      </c>
      <c r="C5" s="278">
        <v>67243.869415029592</v>
      </c>
      <c r="D5" s="107">
        <v>67845.668346404927</v>
      </c>
      <c r="E5" s="107">
        <v>68347.127348944588</v>
      </c>
      <c r="F5" s="107">
        <v>67379.41377843167</v>
      </c>
      <c r="H5" s="112" t="s">
        <v>39</v>
      </c>
      <c r="I5" s="113">
        <v>2.8800000000000002E-3</v>
      </c>
      <c r="J5" s="113">
        <v>2.8800000000000002E-3</v>
      </c>
      <c r="K5" s="113">
        <v>2.8800000000000002E-3</v>
      </c>
      <c r="M5" s="112" t="s">
        <v>39</v>
      </c>
      <c r="N5" s="107">
        <v>2538.4223705281875</v>
      </c>
      <c r="O5" s="107">
        <v>2455.4142509161229</v>
      </c>
      <c r="P5" s="107">
        <v>1968.3972676496044</v>
      </c>
      <c r="R5" s="115"/>
      <c r="S5" s="115"/>
      <c r="T5" s="115"/>
    </row>
    <row r="6" spans="2:20">
      <c r="B6" t="s">
        <v>3</v>
      </c>
      <c r="C6" s="278">
        <v>184229.64520786435</v>
      </c>
      <c r="D6" s="107">
        <v>183396.52889302961</v>
      </c>
      <c r="E6" s="107">
        <v>182251.82086992491</v>
      </c>
      <c r="F6" s="107">
        <v>177206.5299487029</v>
      </c>
      <c r="H6" s="112" t="s">
        <v>3</v>
      </c>
      <c r="I6" s="113">
        <v>4.64E-3</v>
      </c>
      <c r="J6" s="113">
        <v>4.64E-3</v>
      </c>
      <c r="K6" s="113">
        <v>4.64E-3</v>
      </c>
      <c r="M6" s="112" t="s">
        <v>3</v>
      </c>
      <c r="N6" s="107">
        <v>8548.2555376449054</v>
      </c>
      <c r="O6" s="107">
        <v>8509.5989406365734</v>
      </c>
      <c r="P6" s="107">
        <v>8456.4844883645164</v>
      </c>
      <c r="R6" s="115"/>
      <c r="S6" s="115"/>
      <c r="T6" s="115"/>
    </row>
    <row r="7" spans="2:20">
      <c r="B7" t="s">
        <v>55</v>
      </c>
      <c r="C7" s="278">
        <v>167106.71056882737</v>
      </c>
      <c r="D7" s="107">
        <v>164691.46909822503</v>
      </c>
      <c r="E7" s="107">
        <v>161969.06416582453</v>
      </c>
      <c r="F7" s="107">
        <v>155791.88903666596</v>
      </c>
      <c r="H7" s="112" t="s">
        <v>55</v>
      </c>
      <c r="I7" s="113">
        <v>2.0122074695686078E-3</v>
      </c>
      <c r="J7" s="113">
        <v>2.0122074695686078E-3</v>
      </c>
      <c r="K7" s="113">
        <v>2.0122074695686078E-3</v>
      </c>
      <c r="M7" s="112" t="s">
        <v>55</v>
      </c>
      <c r="N7" s="107">
        <v>3362.5337122163387</v>
      </c>
      <c r="O7" s="107">
        <v>3313.9340429367594</v>
      </c>
      <c r="P7" s="107">
        <v>3259.1536075350923</v>
      </c>
      <c r="R7" s="115"/>
      <c r="S7" s="115"/>
      <c r="T7" s="115"/>
    </row>
    <row r="8" spans="2:20">
      <c r="B8" t="s">
        <v>56</v>
      </c>
      <c r="C8" s="278">
        <v>179200.208348585</v>
      </c>
      <c r="D8" s="107">
        <v>191341.56894861159</v>
      </c>
      <c r="E8" s="107">
        <v>203371.30121087577</v>
      </c>
      <c r="F8" s="107">
        <v>210956.99797155659</v>
      </c>
      <c r="H8" s="112" t="s">
        <v>56</v>
      </c>
      <c r="I8" s="113">
        <v>2.5858544720225763E-3</v>
      </c>
      <c r="J8" s="113">
        <v>2.5858544720225763E-3</v>
      </c>
      <c r="K8" s="113">
        <v>2.5858544720225763E-3</v>
      </c>
      <c r="M8" s="112" t="s">
        <v>56</v>
      </c>
      <c r="N8" s="107">
        <v>16775.217201482246</v>
      </c>
      <c r="O8" s="107">
        <v>16977.546779760014</v>
      </c>
      <c r="P8" s="107">
        <v>12844.582647852752</v>
      </c>
      <c r="R8" s="115"/>
      <c r="S8" s="115"/>
      <c r="T8" s="115"/>
    </row>
    <row r="9" spans="2:20">
      <c r="B9" t="s">
        <v>46</v>
      </c>
      <c r="C9" s="278">
        <v>56508.434021496716</v>
      </c>
      <c r="D9" s="107">
        <v>57014.156186263011</v>
      </c>
      <c r="E9" s="107">
        <v>57435.55761967256</v>
      </c>
      <c r="F9" s="107">
        <v>56622.338824758699</v>
      </c>
      <c r="H9" s="112" t="s">
        <v>46</v>
      </c>
      <c r="I9" s="113">
        <v>2.0122074695686078E-3</v>
      </c>
      <c r="J9" s="113">
        <v>2.0122074695686078E-3</v>
      </c>
      <c r="K9" s="113">
        <v>2.0122074695686078E-3</v>
      </c>
      <c r="M9" s="112" t="s">
        <v>46</v>
      </c>
      <c r="N9" s="107">
        <v>1642.7890950831008</v>
      </c>
      <c r="O9" s="107">
        <v>1568.644542901045</v>
      </c>
      <c r="P9" s="107">
        <v>1155.7225806114329</v>
      </c>
      <c r="R9" s="115"/>
      <c r="S9" s="115"/>
      <c r="T9" s="115"/>
    </row>
    <row r="10" spans="2:20">
      <c r="B10" t="s">
        <v>4</v>
      </c>
      <c r="C10" s="278">
        <v>41814.604215450461</v>
      </c>
      <c r="D10" s="107">
        <v>42188.823967401804</v>
      </c>
      <c r="E10" s="107">
        <v>42500.648820788112</v>
      </c>
      <c r="F10" s="107">
        <v>41898.890470221319</v>
      </c>
      <c r="H10" s="112" t="s">
        <v>4</v>
      </c>
      <c r="I10" s="113">
        <v>2.5999999999999999E-3</v>
      </c>
      <c r="J10" s="113">
        <v>2.5999999999999999E-3</v>
      </c>
      <c r="K10" s="113">
        <v>2.5999999999999999E-3</v>
      </c>
      <c r="M10" s="112" t="s">
        <v>4</v>
      </c>
      <c r="N10" s="107">
        <v>1461.3994615530548</v>
      </c>
      <c r="O10" s="107">
        <v>1408.7342765387548</v>
      </c>
      <c r="P10" s="107">
        <v>1105.016869340491</v>
      </c>
      <c r="R10" s="115"/>
      <c r="S10" s="115"/>
      <c r="T10" s="115"/>
    </row>
    <row r="11" spans="2:20" ht="29">
      <c r="B11" s="16" t="s">
        <v>57</v>
      </c>
      <c r="C11" s="108">
        <v>983437.26386437996</v>
      </c>
      <c r="D11" s="108">
        <v>978680.16616156348</v>
      </c>
      <c r="E11" s="108">
        <v>973300.94193092408</v>
      </c>
      <c r="F11" s="108">
        <v>948058.10317552486</v>
      </c>
      <c r="H11" s="265" t="s">
        <v>127</v>
      </c>
      <c r="I11" s="108">
        <f>SUMPRODUCT(C4:C10,I4:I10)</f>
        <v>2691.1925839470209</v>
      </c>
      <c r="J11" s="108">
        <f>SUMPRODUCT(D4:D10,J4:J10)</f>
        <v>2684.9017417676728</v>
      </c>
      <c r="K11" s="108">
        <f>SUMPRODUCT(E4:E10,K4:K10)</f>
        <v>2676.4049813602778</v>
      </c>
      <c r="M11" s="117" t="s">
        <v>57</v>
      </c>
      <c r="N11" s="108">
        <v>40535.027287589772</v>
      </c>
      <c r="O11" s="108">
        <v>40113.434969276423</v>
      </c>
      <c r="P11" s="108">
        <v>34349.746574283592</v>
      </c>
      <c r="R11" s="116"/>
      <c r="S11" s="116"/>
      <c r="T11" s="116"/>
    </row>
    <row r="12" spans="2:20">
      <c r="B12" t="s">
        <v>224</v>
      </c>
      <c r="D12" s="266">
        <f>(D11-C11)/10</f>
        <v>-475.70977028164782</v>
      </c>
      <c r="E12" s="266">
        <f t="shared" ref="E12:F12" si="0">(E11-D11)/10</f>
        <v>-537.92242306394041</v>
      </c>
      <c r="F12" s="266">
        <f t="shared" si="0"/>
        <v>-2524.2838755399221</v>
      </c>
      <c r="M12" s="112" t="s">
        <v>223</v>
      </c>
      <c r="N12" s="107">
        <f>N11/10</f>
        <v>4053.5027287589774</v>
      </c>
      <c r="O12" s="107">
        <f t="shared" ref="O12:P12" si="1">O11/10</f>
        <v>4011.3434969276423</v>
      </c>
      <c r="P12" s="107">
        <f t="shared" si="1"/>
        <v>3434.974657428359</v>
      </c>
    </row>
    <row r="13" spans="2:20">
      <c r="C13" s="107"/>
      <c r="N13" s="197">
        <f>N12/D11</f>
        <v>4.1418053301897741E-3</v>
      </c>
      <c r="O13" s="197">
        <f t="shared" ref="O13:P13" si="2">O12/E11</f>
        <v>4.1213804735147691E-3</v>
      </c>
      <c r="P13" s="197">
        <f t="shared" si="2"/>
        <v>3.6231689238485449E-3</v>
      </c>
    </row>
    <row r="14" spans="2:20">
      <c r="C14" s="197"/>
      <c r="N14" s="107"/>
      <c r="O14" s="107"/>
      <c r="P14" s="107"/>
    </row>
    <row r="15" spans="2:20">
      <c r="N15" s="107"/>
      <c r="O15" s="107"/>
      <c r="P15" s="107"/>
    </row>
    <row r="16" spans="2:20">
      <c r="C16" s="118"/>
      <c r="D16" s="118"/>
      <c r="E16" s="118"/>
      <c r="F16" s="118"/>
      <c r="G16" s="118"/>
      <c r="N16" s="107"/>
      <c r="O16" s="107"/>
      <c r="P16" s="107"/>
    </row>
    <row r="17" spans="2:16">
      <c r="B17" s="16" t="s">
        <v>59</v>
      </c>
      <c r="C17" s="118"/>
      <c r="D17" s="118"/>
      <c r="E17" s="118"/>
      <c r="F17" s="118"/>
      <c r="G17" s="118"/>
      <c r="H17" s="114" t="s">
        <v>61</v>
      </c>
      <c r="M17" s="16" t="s">
        <v>62</v>
      </c>
      <c r="N17" s="107"/>
      <c r="O17" s="107"/>
      <c r="P17" s="107"/>
    </row>
    <row r="18" spans="2:16">
      <c r="C18" s="118" t="s">
        <v>53</v>
      </c>
      <c r="D18" s="118">
        <v>2030</v>
      </c>
      <c r="E18" s="118">
        <v>2040</v>
      </c>
      <c r="F18" s="118">
        <v>2050</v>
      </c>
      <c r="G18" s="118"/>
      <c r="I18" t="s">
        <v>5</v>
      </c>
      <c r="J18" t="s">
        <v>6</v>
      </c>
      <c r="K18" t="s">
        <v>7</v>
      </c>
      <c r="M18" t="s">
        <v>53</v>
      </c>
      <c r="N18" s="107">
        <v>2030</v>
      </c>
      <c r="O18" s="107">
        <v>2040</v>
      </c>
      <c r="P18" s="107">
        <v>2050</v>
      </c>
    </row>
    <row r="19" spans="2:16">
      <c r="B19" t="s">
        <v>54</v>
      </c>
      <c r="C19" s="278">
        <v>287333.79208712658</v>
      </c>
      <c r="D19" s="119">
        <v>258828.66466211932</v>
      </c>
      <c r="E19" s="119">
        <v>232752.15473715233</v>
      </c>
      <c r="F19" s="119">
        <v>204790.07158910698</v>
      </c>
      <c r="G19" s="118"/>
      <c r="H19" t="s">
        <v>54</v>
      </c>
      <c r="I19" s="113">
        <v>2.16E-3</v>
      </c>
      <c r="J19" s="113">
        <v>2.16E-3</v>
      </c>
      <c r="K19" s="113">
        <v>2.16E-3</v>
      </c>
      <c r="M19" s="111" t="s">
        <v>54</v>
      </c>
      <c r="N19" s="107">
        <f>IF(D19&gt;C19,D19-C19,0)+C19*I19*10</f>
        <v>6206.4099090819345</v>
      </c>
      <c r="O19" s="107">
        <f t="shared" ref="O19:P19" si="3">IF(E19&gt;D19,E19-D19,0)+D19*J19*10</f>
        <v>5590.6991567017767</v>
      </c>
      <c r="P19" s="107">
        <f t="shared" si="3"/>
        <v>5027.4465423224901</v>
      </c>
    </row>
    <row r="20" spans="2:16">
      <c r="B20" t="s">
        <v>39</v>
      </c>
      <c r="C20" s="278">
        <v>67243.869415029592</v>
      </c>
      <c r="D20" s="119">
        <v>67845.668346404927</v>
      </c>
      <c r="E20" s="119">
        <v>68347.127348944588</v>
      </c>
      <c r="F20" s="119">
        <v>67379.41377843167</v>
      </c>
      <c r="G20" s="118"/>
      <c r="H20" t="s">
        <v>39</v>
      </c>
      <c r="I20" s="113">
        <v>2.8800000000000002E-3</v>
      </c>
      <c r="J20" s="113">
        <v>2.8800000000000002E-3</v>
      </c>
      <c r="K20" s="113">
        <v>2.8800000000000002E-3</v>
      </c>
      <c r="M20" s="112" t="s">
        <v>39</v>
      </c>
      <c r="N20" s="107">
        <f t="shared" ref="N20:N25" si="4">IF(D20&gt;C20,D20-C20,0)+C20*I20*10</f>
        <v>2538.4223705281875</v>
      </c>
      <c r="O20" s="107">
        <f t="shared" ref="O20:O25" si="5">IF(E20&gt;D20,E20-D20,0)+D20*J20*10</f>
        <v>2455.4142509161229</v>
      </c>
      <c r="P20" s="107">
        <f t="shared" ref="P20:P25" si="6">IF(F20&gt;E20,F20-E20,0)+E20*K20*10</f>
        <v>1968.3972676496044</v>
      </c>
    </row>
    <row r="21" spans="2:16">
      <c r="B21" t="s">
        <v>3</v>
      </c>
      <c r="C21" s="278">
        <v>184229.64520786435</v>
      </c>
      <c r="D21" s="119">
        <v>183396.52889302961</v>
      </c>
      <c r="E21" s="119">
        <v>182251.82086992491</v>
      </c>
      <c r="F21" s="119">
        <v>177206.5299487029</v>
      </c>
      <c r="G21" s="118"/>
      <c r="H21" t="s">
        <v>3</v>
      </c>
      <c r="I21" s="113">
        <v>4.64E-3</v>
      </c>
      <c r="J21" s="113">
        <v>4.64E-3</v>
      </c>
      <c r="K21" s="113">
        <v>4.64E-3</v>
      </c>
      <c r="M21" s="112" t="s">
        <v>3</v>
      </c>
      <c r="N21" s="107">
        <f t="shared" si="4"/>
        <v>8548.2555376449054</v>
      </c>
      <c r="O21" s="107">
        <f t="shared" si="5"/>
        <v>8509.5989406365734</v>
      </c>
      <c r="P21" s="107">
        <f t="shared" si="6"/>
        <v>8456.4844883645164</v>
      </c>
    </row>
    <row r="22" spans="2:16">
      <c r="B22" t="s">
        <v>55</v>
      </c>
      <c r="C22" s="278">
        <v>167106.71056882737</v>
      </c>
      <c r="D22" s="119">
        <v>164691.46909822503</v>
      </c>
      <c r="E22" s="119">
        <v>161969.06416582453</v>
      </c>
      <c r="F22" s="119">
        <v>155791.88903666596</v>
      </c>
      <c r="G22" s="118"/>
      <c r="H22" t="s">
        <v>55</v>
      </c>
      <c r="I22" s="113">
        <v>2.0122074695686078E-3</v>
      </c>
      <c r="J22" s="113">
        <v>2.0122074695686078E-3</v>
      </c>
      <c r="K22" s="113">
        <v>2.0122074695686078E-3</v>
      </c>
      <c r="M22" s="112" t="s">
        <v>55</v>
      </c>
      <c r="N22" s="107">
        <f t="shared" si="4"/>
        <v>3362.5337122163387</v>
      </c>
      <c r="O22" s="107">
        <f t="shared" si="5"/>
        <v>3313.9340429367594</v>
      </c>
      <c r="P22" s="107">
        <f t="shared" si="6"/>
        <v>3259.1536075350923</v>
      </c>
    </row>
    <row r="23" spans="2:16">
      <c r="B23" t="s">
        <v>56</v>
      </c>
      <c r="C23" s="278">
        <v>179200.208348585</v>
      </c>
      <c r="D23" s="119">
        <v>191341.56894861159</v>
      </c>
      <c r="E23" s="119">
        <v>203371.30121087577</v>
      </c>
      <c r="F23" s="119">
        <v>210956.99797155659</v>
      </c>
      <c r="G23" s="118"/>
      <c r="H23" t="s">
        <v>56</v>
      </c>
      <c r="I23" s="113">
        <v>2.5858544720225763E-3</v>
      </c>
      <c r="J23" s="113">
        <v>2.5858544720225763E-3</v>
      </c>
      <c r="K23" s="113">
        <v>2.5858544720225763E-3</v>
      </c>
      <c r="M23" s="112" t="s">
        <v>56</v>
      </c>
      <c r="N23" s="107">
        <f t="shared" si="4"/>
        <v>16775.217201482246</v>
      </c>
      <c r="O23" s="107">
        <f t="shared" si="5"/>
        <v>16977.546779760014</v>
      </c>
      <c r="P23" s="107">
        <f t="shared" si="6"/>
        <v>12844.582647852752</v>
      </c>
    </row>
    <row r="24" spans="2:16">
      <c r="B24" t="s">
        <v>46</v>
      </c>
      <c r="C24" s="278">
        <v>56508.434021496716</v>
      </c>
      <c r="D24" s="119">
        <v>57014.156186263011</v>
      </c>
      <c r="E24" s="119">
        <v>57435.55761967256</v>
      </c>
      <c r="F24" s="119">
        <v>56622.338824758699</v>
      </c>
      <c r="G24" s="118"/>
      <c r="H24" t="s">
        <v>46</v>
      </c>
      <c r="I24" s="113">
        <v>2.0122074695686078E-3</v>
      </c>
      <c r="J24" s="113">
        <v>2.0122074695686078E-3</v>
      </c>
      <c r="K24" s="113">
        <v>2.0122074695686078E-3</v>
      </c>
      <c r="M24" s="112" t="s">
        <v>46</v>
      </c>
      <c r="N24" s="107">
        <f t="shared" si="4"/>
        <v>1642.7890950831008</v>
      </c>
      <c r="O24" s="107">
        <f t="shared" si="5"/>
        <v>1568.644542901045</v>
      </c>
      <c r="P24" s="107">
        <f t="shared" si="6"/>
        <v>1155.7225806114329</v>
      </c>
    </row>
    <row r="25" spans="2:16">
      <c r="B25" t="s">
        <v>4</v>
      </c>
      <c r="C25" s="278">
        <v>41814.604215450461</v>
      </c>
      <c r="D25" s="119">
        <v>42188.823967401804</v>
      </c>
      <c r="E25" s="119">
        <v>42500.648820788112</v>
      </c>
      <c r="F25" s="119">
        <v>41898.890470221319</v>
      </c>
      <c r="G25" s="118"/>
      <c r="H25" t="s">
        <v>4</v>
      </c>
      <c r="I25" s="113">
        <v>2.5999999999999999E-3</v>
      </c>
      <c r="J25" s="113">
        <v>2.5999999999999999E-3</v>
      </c>
      <c r="K25" s="113">
        <v>2.5999999999999999E-3</v>
      </c>
      <c r="M25" s="112" t="s">
        <v>4</v>
      </c>
      <c r="N25" s="198">
        <f t="shared" si="4"/>
        <v>1461.3994615530548</v>
      </c>
      <c r="O25" s="198">
        <f t="shared" si="5"/>
        <v>1408.7342765387548</v>
      </c>
      <c r="P25" s="198">
        <f t="shared" si="6"/>
        <v>1105.016869340491</v>
      </c>
    </row>
    <row r="26" spans="2:16" ht="29">
      <c r="B26" s="16" t="s">
        <v>57</v>
      </c>
      <c r="C26" s="120">
        <v>983437.26386437996</v>
      </c>
      <c r="D26" s="120">
        <v>965306.88010205526</v>
      </c>
      <c r="E26" s="120">
        <v>948627.67477318272</v>
      </c>
      <c r="F26" s="120">
        <v>914646.13161944412</v>
      </c>
      <c r="G26" s="118"/>
      <c r="H26" s="265" t="s">
        <v>127</v>
      </c>
      <c r="I26" s="108">
        <f>SUMPRODUCT(C19:C25,I19:I25)</f>
        <v>2691.1925839470209</v>
      </c>
      <c r="J26" s="108">
        <f>SUMPRODUCT(D19:D25,J19:J25)</f>
        <v>2656.0154438791351</v>
      </c>
      <c r="K26" s="108">
        <f>SUMPRODUCT(E19:E25,K19:K25)</f>
        <v>2623.1107242995563</v>
      </c>
      <c r="M26" s="117" t="s">
        <v>57</v>
      </c>
      <c r="N26" s="108">
        <f>SUM(N19:N25)</f>
        <v>40535.027287589772</v>
      </c>
      <c r="O26" s="108">
        <f>SUM(O19:O25)</f>
        <v>39824.571990391036</v>
      </c>
      <c r="P26" s="108">
        <f>SUM(P19:P25)</f>
        <v>33816.804003676378</v>
      </c>
    </row>
    <row r="27" spans="2:16">
      <c r="C27" s="118"/>
      <c r="D27" s="266">
        <f>(D26-C26)/10</f>
        <v>-1813.0383762324695</v>
      </c>
      <c r="E27" s="266">
        <f t="shared" ref="E27" si="7">(E26-D26)/10</f>
        <v>-1667.9205328872545</v>
      </c>
      <c r="F27" s="266">
        <f t="shared" ref="F27" si="8">(F26-E26)/10</f>
        <v>-3398.1543153738603</v>
      </c>
      <c r="G27" s="118"/>
      <c r="M27" s="112" t="s">
        <v>222</v>
      </c>
      <c r="N27" s="107">
        <f>N26/10</f>
        <v>4053.5027287589774</v>
      </c>
      <c r="O27" s="107">
        <f t="shared" ref="O27:P27" si="9">O26/10</f>
        <v>3982.4571990391037</v>
      </c>
      <c r="P27" s="107">
        <f t="shared" si="9"/>
        <v>3381.680400367638</v>
      </c>
    </row>
    <row r="28" spans="2:16">
      <c r="C28" s="118"/>
      <c r="G28" s="118"/>
      <c r="N28" s="197">
        <f>N27/D26</f>
        <v>4.1991855774719316E-3</v>
      </c>
      <c r="O28" s="197">
        <f t="shared" ref="O28:P28" si="10">O27/E26</f>
        <v>4.1981246224882815E-3</v>
      </c>
      <c r="P28" s="197">
        <f t="shared" si="10"/>
        <v>3.697255455921668E-3</v>
      </c>
    </row>
    <row r="29" spans="2:16">
      <c r="C29" s="118"/>
      <c r="D29" s="118"/>
      <c r="E29" s="118"/>
      <c r="F29" s="118"/>
      <c r="G29" s="118"/>
    </row>
    <row r="30" spans="2:16">
      <c r="C30" s="118"/>
      <c r="D30" s="118"/>
      <c r="E30" s="118"/>
      <c r="F30" s="118"/>
      <c r="G30" s="118"/>
    </row>
    <row r="33" spans="2:3">
      <c r="B33" t="s">
        <v>124</v>
      </c>
    </row>
    <row r="34" spans="2:3">
      <c r="B34" t="s">
        <v>125</v>
      </c>
    </row>
    <row r="40" spans="2:3">
      <c r="B40" s="16" t="s">
        <v>235</v>
      </c>
      <c r="C40" s="16">
        <v>2020</v>
      </c>
    </row>
    <row r="41" spans="2:3">
      <c r="B41" t="s">
        <v>54</v>
      </c>
      <c r="C41" s="107">
        <v>239113.67300849396</v>
      </c>
    </row>
    <row r="42" spans="2:3">
      <c r="B42" t="s">
        <v>39</v>
      </c>
      <c r="C42" s="107">
        <v>67389.90174661066</v>
      </c>
    </row>
    <row r="43" spans="2:3">
      <c r="B43" t="s">
        <v>3</v>
      </c>
      <c r="C43" s="107">
        <v>215959</v>
      </c>
    </row>
    <row r="44" spans="2:3">
      <c r="B44" t="s">
        <v>55</v>
      </c>
      <c r="C44" s="107">
        <v>190850</v>
      </c>
    </row>
    <row r="45" spans="2:3">
      <c r="B45" t="s">
        <v>234</v>
      </c>
      <c r="C45" s="107">
        <v>72592</v>
      </c>
    </row>
    <row r="46" spans="2:3">
      <c r="B46" t="s">
        <v>56</v>
      </c>
      <c r="C46" s="107">
        <v>118445.13907375958</v>
      </c>
    </row>
    <row r="47" spans="2:3">
      <c r="B47" t="s">
        <v>46</v>
      </c>
      <c r="C47" s="107">
        <v>74481</v>
      </c>
    </row>
    <row r="48" spans="2:3">
      <c r="B48" t="s">
        <v>4</v>
      </c>
      <c r="C48" s="107">
        <v>25839.303197908266</v>
      </c>
    </row>
    <row r="49" spans="3:3">
      <c r="C49" s="266">
        <f>SUM(C41:C48)</f>
        <v>1004670.0170267724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  <pageSetUpPr fitToPage="1"/>
  </sheetPr>
  <dimension ref="A1:GB1589"/>
  <sheetViews>
    <sheetView showGridLines="0" topLeftCell="A52" zoomScale="121" zoomScaleNormal="121" workbookViewId="0">
      <selection activeCell="K73" sqref="K73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64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65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66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 t="shared" ref="H7:K7" si="0">H34</f>
        <v>287333.79208712658</v>
      </c>
      <c r="I7" s="10">
        <f t="shared" si="0"/>
        <v>272201.95072162757</v>
      </c>
      <c r="J7" s="10">
        <f t="shared" si="0"/>
        <v>257425.42189489363</v>
      </c>
      <c r="K7" s="10">
        <f t="shared" si="0"/>
        <v>238202.04314518778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6206.4099090819345</v>
      </c>
      <c r="J8" s="76">
        <f t="shared" ref="J8:K8" si="1">J35</f>
        <v>5879.5621355871563</v>
      </c>
      <c r="K8" s="76">
        <f t="shared" si="1"/>
        <v>5560.3891129297026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2">H36</f>
        <v>287333.79208712658</v>
      </c>
      <c r="I9" s="96">
        <f t="shared" si="2"/>
        <v>265995.54081254563</v>
      </c>
      <c r="J9" s="96">
        <f t="shared" si="2"/>
        <v>251545.85975930648</v>
      </c>
      <c r="K9" s="96">
        <f t="shared" si="2"/>
        <v>232641.65403225808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67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3702.0698483966362</v>
      </c>
      <c r="I13" s="86">
        <f t="shared" ref="I13:K13" si="3">I129+I163</f>
        <v>2440.5612189080857</v>
      </c>
      <c r="J13" s="86">
        <f t="shared" si="3"/>
        <v>1736.2323089222918</v>
      </c>
      <c r="K13" s="86">
        <f t="shared" si="3"/>
        <v>1146.4894804961245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4" si="4">H130+H164</f>
        <v>17499.088072701466</v>
      </c>
      <c r="I14" s="86">
        <f t="shared" si="4"/>
        <v>12546.166688501764</v>
      </c>
      <c r="J14" s="86">
        <f t="shared" si="4"/>
        <v>9856.6318817200736</v>
      </c>
      <c r="K14" s="86">
        <f t="shared" si="4"/>
        <v>7422.1687009352418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ref="H15:K15" si="5">H131+H165</f>
        <v>2777.8770505483162</v>
      </c>
      <c r="I15" s="86">
        <f>I131+I165</f>
        <v>2989.4589555021416</v>
      </c>
      <c r="J15" s="86">
        <f t="shared" si="5"/>
        <v>3303.9055191366506</v>
      </c>
      <c r="K15" s="86">
        <f t="shared" si="5"/>
        <v>3415.1224824941073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ref="H16:K16" si="6">H132+H166</f>
        <v>402.11116718463489</v>
      </c>
      <c r="I16" s="86">
        <f t="shared" si="6"/>
        <v>300.50800857160675</v>
      </c>
      <c r="J16" s="86">
        <f t="shared" si="6"/>
        <v>243.71105793113063</v>
      </c>
      <c r="K16" s="86">
        <f t="shared" si="6"/>
        <v>190.73968440218695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ref="H17:K17" si="7">H133+H167</f>
        <v>427.13840685411856</v>
      </c>
      <c r="I17" s="86">
        <f t="shared" si="7"/>
        <v>416.26304953680039</v>
      </c>
      <c r="J17" s="86">
        <f t="shared" si="7"/>
        <v>430.76656791507679</v>
      </c>
      <c r="K17" s="86">
        <f t="shared" si="7"/>
        <v>425.01325721987786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ref="H18:K18" si="8">H134+H168</f>
        <v>7576.5542005720017</v>
      </c>
      <c r="I18" s="86">
        <f t="shared" si="8"/>
        <v>5656.6822062061274</v>
      </c>
      <c r="J18" s="86">
        <f t="shared" si="8"/>
        <v>4659.8805247402051</v>
      </c>
      <c r="K18" s="86">
        <f t="shared" si="8"/>
        <v>3719.4668377157445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ref="H19:K19" si="9">H135+H169</f>
        <v>1155.9040979074825</v>
      </c>
      <c r="I19" s="86">
        <f t="shared" si="9"/>
        <v>1492.69638476003</v>
      </c>
      <c r="J19" s="86">
        <f t="shared" si="9"/>
        <v>1754.8132208391009</v>
      </c>
      <c r="K19" s="86">
        <f t="shared" si="9"/>
        <v>1869.9618421462437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33540.742844164655</v>
      </c>
      <c r="I20" s="13">
        <f t="shared" ref="I20:K20" si="10">SUM(I13:I19)</f>
        <v>25842.336511986559</v>
      </c>
      <c r="J20" s="13">
        <f t="shared" si="10"/>
        <v>21985.941081204528</v>
      </c>
      <c r="K20" s="13">
        <f t="shared" si="10"/>
        <v>18188.962285409529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-0.44455776214746912</v>
      </c>
      <c r="J23" s="188">
        <f t="shared" ref="J23:K23" si="11">J114/$G114-1</f>
        <v>-0.56227588490004043</v>
      </c>
      <c r="K23" s="188">
        <f t="shared" si="11"/>
        <v>-0.6761374256158279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-0.16726771874196844</v>
      </c>
      <c r="J24" s="188">
        <f t="shared" ref="J24:K24" si="12">J125/$G125-1</f>
        <v>-0.27721195825583655</v>
      </c>
      <c r="K24" s="188">
        <f t="shared" si="12"/>
        <v>-0.38636527719358782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68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69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287333.79208712658</v>
      </c>
      <c r="H34" s="126">
        <f>'Init. parc'!C4</f>
        <v>287333.79208712658</v>
      </c>
      <c r="I34" s="126">
        <f>'Init. parc'!D4</f>
        <v>272201.95072162757</v>
      </c>
      <c r="J34" s="126">
        <f>'Init. parc'!E4</f>
        <v>257425.42189489363</v>
      </c>
      <c r="K34" s="126">
        <f>'Init. parc'!F4</f>
        <v>238202.04314518778</v>
      </c>
      <c r="L34" s="65"/>
      <c r="M34" s="65"/>
      <c r="N34" s="65"/>
      <c r="O34" s="42"/>
    </row>
    <row r="35" spans="1:17" s="17" customFormat="1" ht="21">
      <c r="A35" s="56"/>
      <c r="C35" s="40"/>
      <c r="D35" s="32"/>
      <c r="E35" s="83" t="s">
        <v>123</v>
      </c>
      <c r="F35" s="55"/>
      <c r="G35" s="195"/>
      <c r="H35" s="126">
        <v>0</v>
      </c>
      <c r="I35" s="126">
        <f>'Init. parc'!N4</f>
        <v>6206.4099090819345</v>
      </c>
      <c r="J35" s="126">
        <f>'Init. parc'!O4</f>
        <v>5879.5621355871563</v>
      </c>
      <c r="K35" s="126">
        <f>'Init. parc'!P4</f>
        <v>5560.3891129297026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122</v>
      </c>
      <c r="F36" s="55"/>
      <c r="G36" s="195">
        <f>G34-G35</f>
        <v>287333.79208712658</v>
      </c>
      <c r="H36" s="126">
        <f>H34-H35</f>
        <v>287333.79208712658</v>
      </c>
      <c r="I36" s="126">
        <f>I34-I35</f>
        <v>265995.54081254563</v>
      </c>
      <c r="J36" s="126">
        <f>J34-J35</f>
        <v>251545.85975930648</v>
      </c>
      <c r="K36" s="126">
        <f>K34-K35</f>
        <v>232641.65403225808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8.9924733284390393E-2</v>
      </c>
      <c r="H45" s="55">
        <f>'Init. énergie'!B3</f>
        <v>8.9924733284390393E-2</v>
      </c>
      <c r="I45" s="47">
        <f>H45+((K45-H45)/3)</f>
        <v>7.6616488856260268E-2</v>
      </c>
      <c r="J45" s="47">
        <f>H45+((K45-H45)/3*2)</f>
        <v>6.3308244428130128E-2</v>
      </c>
      <c r="K45" s="47">
        <v>0.05</v>
      </c>
      <c r="L45" s="64"/>
      <c r="M45" s="334"/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13">H46</f>
        <v>0.42450974789018903</v>
      </c>
      <c r="H46" s="55">
        <f>'Init. énergie'!B4</f>
        <v>0.42450974789018903</v>
      </c>
      <c r="I46" s="47">
        <f t="shared" ref="I46:I51" si="14">H46+((K46-H46)/3)</f>
        <v>0.38300649859345937</v>
      </c>
      <c r="J46" s="47">
        <f t="shared" ref="J46:J51" si="15">H46+((K46-H46)/3*2)</f>
        <v>0.34150324929672965</v>
      </c>
      <c r="K46" s="47">
        <v>0.3</v>
      </c>
      <c r="L46" s="64"/>
      <c r="M46" s="335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13"/>
        <v>8.0340172710777702E-2</v>
      </c>
      <c r="H47" s="55">
        <f>'Init. énergie'!B5</f>
        <v>8.0340172710777702E-2</v>
      </c>
      <c r="I47" s="47">
        <f t="shared" si="14"/>
        <v>0.10689344847385181</v>
      </c>
      <c r="J47" s="47">
        <f t="shared" si="15"/>
        <v>0.13344672423692591</v>
      </c>
      <c r="K47" s="47">
        <v>0.16</v>
      </c>
      <c r="L47" s="64"/>
      <c r="M47" s="335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13"/>
        <v>1.3267227564659348E-2</v>
      </c>
      <c r="H48" s="55">
        <f>'Init. énergie'!B6</f>
        <v>1.3267227564659348E-2</v>
      </c>
      <c r="I48" s="47">
        <f t="shared" si="14"/>
        <v>1.2178151709772898E-2</v>
      </c>
      <c r="J48" s="47">
        <f t="shared" si="15"/>
        <v>1.108907585488645E-2</v>
      </c>
      <c r="K48" s="47">
        <v>0.01</v>
      </c>
      <c r="L48" s="64"/>
      <c r="M48" s="335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13"/>
        <v>1.2451501862338604E-2</v>
      </c>
      <c r="H49" s="55">
        <f>'Init. énergie'!B7</f>
        <v>1.2451501862338604E-2</v>
      </c>
      <c r="I49" s="47">
        <f t="shared" si="14"/>
        <v>1.4967667908225736E-2</v>
      </c>
      <c r="J49" s="47">
        <f t="shared" si="15"/>
        <v>1.7483833954112869E-2</v>
      </c>
      <c r="K49" s="47">
        <v>0.02</v>
      </c>
      <c r="L49" s="64"/>
      <c r="M49" s="335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13"/>
        <v>0.30626447562213699</v>
      </c>
      <c r="H50" s="55">
        <f>'Init. énergie'!B8</f>
        <v>0.30626447562213699</v>
      </c>
      <c r="I50" s="47">
        <f t="shared" si="14"/>
        <v>0.29084298374809125</v>
      </c>
      <c r="J50" s="47">
        <f t="shared" si="15"/>
        <v>0.27542149187404558</v>
      </c>
      <c r="K50" s="47">
        <f>1-K45-K46-K47-K48-K49-K51</f>
        <v>0.25999999999999984</v>
      </c>
      <c r="L50" s="64"/>
      <c r="M50" s="335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13"/>
        <v>7.3242141065507804E-2</v>
      </c>
      <c r="H51" s="55">
        <f>'Init. énergie'!B9</f>
        <v>7.3242141065507804E-2</v>
      </c>
      <c r="I51" s="47">
        <f t="shared" si="14"/>
        <v>0.11549476071033854</v>
      </c>
      <c r="J51" s="47">
        <f t="shared" si="15"/>
        <v>0.15774738035516928</v>
      </c>
      <c r="K51" s="124">
        <v>0.2</v>
      </c>
      <c r="L51" s="64"/>
      <c r="M51" s="336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I52" si="16">SUM(G45:G51)</f>
        <v>0.99999999999999978</v>
      </c>
      <c r="H52" s="159">
        <f t="shared" si="16"/>
        <v>0.99999999999999978</v>
      </c>
      <c r="I52" s="165">
        <f t="shared" si="16"/>
        <v>1</v>
      </c>
      <c r="J52" s="165">
        <f t="shared" ref="J52" si="17">SUM(J45:J51)</f>
        <v>1</v>
      </c>
      <c r="K52" s="165">
        <f>SUM(K45:K51)</f>
        <v>0.99999999999999978</v>
      </c>
      <c r="L52" s="63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K55" si="18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-2.9873388779178944E-2</v>
      </c>
      <c r="J55" s="152">
        <f t="shared" si="18"/>
        <v>-3.0793288663204386E-2</v>
      </c>
      <c r="K55" s="152">
        <f t="shared" si="18"/>
        <v>-3.1771642006824488E-2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/>
      <c r="G58" s="4">
        <v>2010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8.9924733284390393E-2</v>
      </c>
      <c r="H59" s="55">
        <f>H45</f>
        <v>8.9924733284390393E-2</v>
      </c>
      <c r="I59" s="47">
        <f>H59+((K59-H59)/3)</f>
        <v>7.6616488856260268E-2</v>
      </c>
      <c r="J59" s="47">
        <f>H59+((K59-H59)/3*2)</f>
        <v>6.3308244428130128E-2</v>
      </c>
      <c r="K59" s="47">
        <v>0.05</v>
      </c>
      <c r="L59" s="64"/>
      <c r="M59" s="334"/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9">H60</f>
        <v>0.42450974789018903</v>
      </c>
      <c r="H60" s="55">
        <f t="shared" ref="H60:H65" si="20">H46</f>
        <v>0.42450974789018903</v>
      </c>
      <c r="I60" s="47">
        <f t="shared" ref="I60:I65" si="21">H60+((K60-H60)/3)</f>
        <v>0.38300649859345937</v>
      </c>
      <c r="J60" s="47">
        <f t="shared" ref="J60:J65" si="22">H60+((K60-H60)/3*2)</f>
        <v>0.34150324929672965</v>
      </c>
      <c r="K60" s="47">
        <v>0.3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9"/>
        <v>8.0340172710777702E-2</v>
      </c>
      <c r="H61" s="55">
        <f t="shared" si="20"/>
        <v>8.0340172710777702E-2</v>
      </c>
      <c r="I61" s="47">
        <f t="shared" si="21"/>
        <v>0.10689344847385181</v>
      </c>
      <c r="J61" s="47">
        <f t="shared" si="22"/>
        <v>0.13344672423692591</v>
      </c>
      <c r="K61" s="47">
        <v>0.16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9"/>
        <v>1.3267227564659348E-2</v>
      </c>
      <c r="H62" s="55">
        <f t="shared" si="20"/>
        <v>1.3267227564659348E-2</v>
      </c>
      <c r="I62" s="47">
        <f t="shared" si="21"/>
        <v>1.2178151709772898E-2</v>
      </c>
      <c r="J62" s="47">
        <f t="shared" si="22"/>
        <v>1.108907585488645E-2</v>
      </c>
      <c r="K62" s="47">
        <v>0.01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9"/>
        <v>1.2451501862338604E-2</v>
      </c>
      <c r="H63" s="55">
        <f t="shared" si="20"/>
        <v>1.2451501862338604E-2</v>
      </c>
      <c r="I63" s="47">
        <f t="shared" si="21"/>
        <v>1.4967667908225736E-2</v>
      </c>
      <c r="J63" s="47">
        <f t="shared" si="22"/>
        <v>1.7483833954112869E-2</v>
      </c>
      <c r="K63" s="47">
        <v>0.02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9"/>
        <v>0.30626447562213699</v>
      </c>
      <c r="H64" s="55">
        <f t="shared" si="20"/>
        <v>0.30626447562213699</v>
      </c>
      <c r="I64" s="47">
        <f t="shared" si="21"/>
        <v>0.29084298374809125</v>
      </c>
      <c r="J64" s="47">
        <f t="shared" si="22"/>
        <v>0.27542149187404558</v>
      </c>
      <c r="K64" s="47">
        <f>1-K59-K60-K61-K62-K63-K65</f>
        <v>0.25999999999999984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9"/>
        <v>7.3242141065507804E-2</v>
      </c>
      <c r="H65" s="55">
        <f t="shared" si="20"/>
        <v>7.3242141065507804E-2</v>
      </c>
      <c r="I65" s="47">
        <f t="shared" si="21"/>
        <v>0.11549476071033854</v>
      </c>
      <c r="J65" s="47">
        <f t="shared" si="22"/>
        <v>0.15774738035516928</v>
      </c>
      <c r="K65" s="124">
        <v>0.2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23">SUM(G59:G65)</f>
        <v>0.99999999999999978</v>
      </c>
      <c r="H66" s="159">
        <v>1</v>
      </c>
      <c r="I66" s="47">
        <f t="shared" ref="I66:J66" si="24">SUM(I59:I65)</f>
        <v>1</v>
      </c>
      <c r="J66" s="47">
        <f t="shared" si="24"/>
        <v>1</v>
      </c>
      <c r="K66" s="47">
        <f>SUM(K59:K65)</f>
        <v>0.99999999999999978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-2.9873388779178944E-2</v>
      </c>
      <c r="J69" s="152">
        <f t="shared" ref="J69:K69" si="25">(I$97*(J59-I59)+I$98*(J60-I60)+I$99*(J61-I61)+I$100*(J62-I62)+I$101*(J63-I63)+I$102*(J64-I64)+I$103*(J65-I65))/(I$97*I59+I$98*I60+I$99*I61+I$100*I62+I$101*I63+I$102*I64+I$103*I65)</f>
        <v>-3.0338637449564762E-2</v>
      </c>
      <c r="K69" s="152">
        <f t="shared" si="25"/>
        <v>-3.080193718243775E-2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21" t="s">
        <v>92</v>
      </c>
      <c r="G72" s="122" t="s">
        <v>91</v>
      </c>
      <c r="H72" s="88" t="s">
        <v>35</v>
      </c>
      <c r="J72" s="307" t="s">
        <v>293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bord'!E12</f>
        <v>0.65</v>
      </c>
      <c r="G73" s="92">
        <f>'Tableau de bord'!E24</f>
        <v>0.47000000000000003</v>
      </c>
      <c r="H73" s="92">
        <f>'Tableau de bord'!E27</f>
        <v>0.30550000000000005</v>
      </c>
      <c r="J73" s="92" t="e">
        <f>'Tableau de bord'!#REF!</f>
        <v>#REF!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4"/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54"/>
      <c r="G77" s="81">
        <f>H77/0.998^10</f>
        <v>146.17507749392706</v>
      </c>
      <c r="H77" s="54">
        <f>'Init. énergie'!D3</f>
        <v>143.27774761989451</v>
      </c>
      <c r="I77" s="81">
        <f>G77*60%/(1+I$55)</f>
        <v>90.405773310338276</v>
      </c>
      <c r="J77" s="81">
        <f>G77*50%/(1+I$55)/(1+J$55)</f>
        <v>77.731760979420415</v>
      </c>
      <c r="K77" s="81">
        <f>G77*40%/(1+I$55)/(1+J$55)/(1+K$55)</f>
        <v>64.225973418529676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54"/>
      <c r="G78" s="81">
        <f t="shared" ref="G78:G83" si="26">H78/0.998^10</f>
        <v>146.36445916822422</v>
      </c>
      <c r="H78" s="54">
        <f>'Init. énergie'!D4</f>
        <v>143.46337556823548</v>
      </c>
      <c r="I78" s="81">
        <f t="shared" ref="I78:I83" si="27">G78*60%/(1+I$55)</f>
        <v>90.52290132565507</v>
      </c>
      <c r="J78" s="81">
        <f t="shared" ref="J78:J83" si="28">G78*50%/(1+I$55)/(1+J$55)</f>
        <v>77.832468783327414</v>
      </c>
      <c r="K78" s="81">
        <f t="shared" ref="K78:K83" si="29">G78*40%/(1+I$55)/(1+J$55)/(1+K$55)</f>
        <v>64.309183378721912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54"/>
      <c r="G79" s="81">
        <f t="shared" si="26"/>
        <v>122.76883692018096</v>
      </c>
      <c r="H79" s="54">
        <f>'Init. énergie'!D5</f>
        <v>120.33544112585447</v>
      </c>
      <c r="I79" s="81">
        <f t="shared" si="27"/>
        <v>75.929575892585959</v>
      </c>
      <c r="J79" s="81">
        <f t="shared" si="28"/>
        <v>65.284985996312685</v>
      </c>
      <c r="K79" s="81">
        <f t="shared" si="29"/>
        <v>53.941808630044562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54"/>
      <c r="G80" s="81">
        <f t="shared" si="26"/>
        <v>107.61525484242637</v>
      </c>
      <c r="H80" s="54">
        <f>'Init. énergie'!D6</f>
        <v>105.48221754152573</v>
      </c>
      <c r="I80" s="81">
        <f t="shared" si="27"/>
        <v>66.557449469612095</v>
      </c>
      <c r="J80" s="81">
        <f t="shared" si="28"/>
        <v>57.226740772539934</v>
      </c>
      <c r="K80" s="81">
        <f t="shared" si="29"/>
        <v>47.283672534568169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54"/>
      <c r="G81" s="81">
        <f t="shared" si="26"/>
        <v>121.80209780605912</v>
      </c>
      <c r="H81" s="54">
        <f>'Init. énergie'!D7</f>
        <v>119.38786370580362</v>
      </c>
      <c r="I81" s="81">
        <f t="shared" si="27"/>
        <v>75.331670978150953</v>
      </c>
      <c r="J81" s="81">
        <f t="shared" si="28"/>
        <v>64.770901550203888</v>
      </c>
      <c r="K81" s="81">
        <f t="shared" si="29"/>
        <v>53.517045656008712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54"/>
      <c r="G82" s="81">
        <f t="shared" si="26"/>
        <v>87.838111951142324</v>
      </c>
      <c r="H82" s="54">
        <f>'Init. énergie'!D8</f>
        <v>86.09707654211212</v>
      </c>
      <c r="I82" s="81">
        <f t="shared" si="27"/>
        <v>54.325761772850818</v>
      </c>
      <c r="J82" s="81">
        <f t="shared" si="28"/>
        <v>46.709817023038227</v>
      </c>
      <c r="K82" s="81">
        <f t="shared" si="29"/>
        <v>38.594049957266343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54"/>
      <c r="G83" s="81">
        <f t="shared" si="26"/>
        <v>56.036197154038852</v>
      </c>
      <c r="H83" s="54">
        <f>'Init. énergie'!D9</f>
        <v>54.925506119527036</v>
      </c>
      <c r="I83" s="81">
        <f t="shared" si="27"/>
        <v>34.657041569154835</v>
      </c>
      <c r="J83" s="81">
        <f t="shared" si="28"/>
        <v>29.798460572421384</v>
      </c>
      <c r="K83" s="81">
        <f t="shared" si="29"/>
        <v>24.621018648273399</v>
      </c>
      <c r="M83" s="339"/>
      <c r="N83" s="33"/>
      <c r="O83" s="42"/>
      <c r="Q83" s="52"/>
      <c r="R83" s="52"/>
      <c r="V83" s="101"/>
    </row>
    <row r="84" spans="1:184" s="17" customFormat="1" ht="28.5" customHeight="1">
      <c r="A84" s="56"/>
      <c r="C84" s="40"/>
      <c r="D84" s="32"/>
      <c r="E84" s="91"/>
      <c r="F84" s="89"/>
      <c r="G84" s="123" t="s">
        <v>74</v>
      </c>
      <c r="H84" s="89"/>
      <c r="M84" s="97"/>
      <c r="N84" s="33"/>
      <c r="O84" s="42"/>
    </row>
    <row r="85" spans="1:184" s="17" customFormat="1" ht="69" customHeight="1">
      <c r="A85" s="56"/>
      <c r="C85" s="40"/>
      <c r="D85" s="32"/>
      <c r="F85" s="333" t="s">
        <v>70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30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30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30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30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30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30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71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>G77</f>
        <v>146.17507749392706</v>
      </c>
      <c r="H97" s="54">
        <f>H77</f>
        <v>143.27774761989451</v>
      </c>
      <c r="I97" s="81">
        <f>$H97*(1+$G87)^(I$96-$H$96)</f>
        <v>132.59230776199439</v>
      </c>
      <c r="J97" s="81">
        <f>$H97*(1+$G87)^(J$96-$H$96)</f>
        <v>122.70377200716339</v>
      </c>
      <c r="K97" s="81">
        <f>$H97*(1+$G87)^(K$96-$H$96)</f>
        <v>113.55270844076506</v>
      </c>
      <c r="L97" s="67"/>
      <c r="M97" s="79">
        <f>(K97-G97)/H97</f>
        <v>-0.22768622200641223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ref="G98:G103" si="31">G78</f>
        <v>146.36445916822422</v>
      </c>
      <c r="H98" s="54">
        <f t="shared" ref="H98:H103" si="32">H78</f>
        <v>143.46337556823548</v>
      </c>
      <c r="I98" s="81">
        <f t="shared" ref="I98:K98" si="33">$H98*(1+$G88)^(I$96-$H$96)</f>
        <v>136.47039272717495</v>
      </c>
      <c r="J98" s="81">
        <f t="shared" si="33"/>
        <v>129.81827603973503</v>
      </c>
      <c r="K98" s="81">
        <f t="shared" si="33"/>
        <v>123.49041031647147</v>
      </c>
      <c r="L98" s="67"/>
      <c r="M98" s="79">
        <f t="shared" ref="M98:M103" si="34">(K98-G98)/H98</f>
        <v>-0.15944173041483445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31"/>
        <v>122.76883692018096</v>
      </c>
      <c r="H99" s="54">
        <f t="shared" si="32"/>
        <v>120.33544112585447</v>
      </c>
      <c r="I99" s="81">
        <f t="shared" ref="I99:K99" si="35">$H99*(1+$G89)^(I$96-$H$96)</f>
        <v>115.6303743661902</v>
      </c>
      <c r="J99" s="81">
        <f t="shared" si="35"/>
        <v>111.10927380140397</v>
      </c>
      <c r="K99" s="81">
        <f t="shared" si="35"/>
        <v>106.76494642816844</v>
      </c>
      <c r="L99" s="67"/>
      <c r="M99" s="79">
        <f t="shared" si="34"/>
        <v>-0.13299399031806952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31"/>
        <v>107.61525484242637</v>
      </c>
      <c r="H100" s="54">
        <f t="shared" si="32"/>
        <v>105.48221754152573</v>
      </c>
      <c r="I100" s="81">
        <f t="shared" ref="I100:K100" si="36">$H100*(1+$G90)^(I$96-$H$96)</f>
        <v>101.35790577728625</v>
      </c>
      <c r="J100" s="81">
        <f t="shared" si="36"/>
        <v>97.3948529240281</v>
      </c>
      <c r="K100" s="81">
        <f t="shared" si="36"/>
        <v>93.586753823980189</v>
      </c>
      <c r="L100" s="67"/>
      <c r="M100" s="79">
        <f t="shared" si="34"/>
        <v>-0.13299399031806955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31"/>
        <v>121.80209780605912</v>
      </c>
      <c r="H101" s="54">
        <f t="shared" si="32"/>
        <v>119.38786370580362</v>
      </c>
      <c r="I101" s="81">
        <f t="shared" ref="I101" si="37">$H101*(1+$G91)^(I$96-$H$96)</f>
        <v>114.71984683750615</v>
      </c>
      <c r="J101" s="81">
        <f>$H101*(1+$G91)^(J$96-$H$96)</f>
        <v>110.23434752841725</v>
      </c>
      <c r="K101" s="81">
        <f>$H101*(1+$G91)^(K$96-$H$96)</f>
        <v>105.92422941627447</v>
      </c>
      <c r="L101" s="67"/>
      <c r="M101" s="79">
        <f t="shared" si="34"/>
        <v>-0.13299399031806952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31"/>
        <v>87.838111951142324</v>
      </c>
      <c r="H102" s="54">
        <f t="shared" si="32"/>
        <v>86.09707654211212</v>
      </c>
      <c r="I102" s="81">
        <f t="shared" ref="I102:K102" si="38">$H102*(1+$G92)^(I$96-$H$96)</f>
        <v>80.619037269821661</v>
      </c>
      <c r="J102" s="81">
        <f t="shared" si="38"/>
        <v>75.489545421834009</v>
      </c>
      <c r="K102" s="81">
        <f t="shared" si="38"/>
        <v>70.686424211720777</v>
      </c>
      <c r="L102" s="67"/>
      <c r="M102" s="79">
        <f t="shared" si="34"/>
        <v>-0.19921335808692936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31"/>
        <v>56.036197154038852</v>
      </c>
      <c r="H103" s="54">
        <f t="shared" si="32"/>
        <v>54.925506119527036</v>
      </c>
      <c r="I103" s="81">
        <f t="shared" ref="I103:K103" si="39">$H103*(1+$G93)^(I$96-$H$96)</f>
        <v>51.430798846556741</v>
      </c>
      <c r="J103" s="81">
        <f t="shared" si="39"/>
        <v>48.158446901495012</v>
      </c>
      <c r="K103" s="81">
        <f t="shared" si="39"/>
        <v>45.094302635343688</v>
      </c>
      <c r="L103" s="67"/>
      <c r="M103" s="79">
        <f t="shared" si="34"/>
        <v>-0.19921335808692928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93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>G$36*G45*$H$73*G77/1000</f>
        <v>1153.85280511356</v>
      </c>
      <c r="H107" s="54">
        <f>H$36*H45*$H$73*H77/1000</f>
        <v>1130.9823386851729</v>
      </c>
      <c r="I107" s="126">
        <f>I$36*I45*$H$73*I77/1000</f>
        <v>562.86465952806691</v>
      </c>
      <c r="J107" s="126">
        <f>J$36*J45*$H$73*J77/1000</f>
        <v>378.17007980476308</v>
      </c>
      <c r="K107" s="126">
        <f>K$36*K45*$H$73*K77/1000</f>
        <v>228.23350040795643</v>
      </c>
      <c r="L107" s="46"/>
      <c r="M107" s="79">
        <f>(K107-G107)/H107</f>
        <v>-0.81842065348401927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ref="G108:G113" si="40">G$36*G46*$H$73*G78/1000</f>
        <v>5454.0764184556629</v>
      </c>
      <c r="H108" s="54">
        <f t="shared" ref="H108:K108" si="41">H$36*H46*$H$73*H78/1000</f>
        <v>5345.9714062102985</v>
      </c>
      <c r="I108" s="126">
        <f t="shared" si="41"/>
        <v>2817.4108223834105</v>
      </c>
      <c r="J108" s="126">
        <f t="shared" si="41"/>
        <v>2042.603324950602</v>
      </c>
      <c r="K108" s="126">
        <f t="shared" si="41"/>
        <v>1371.1751725667082</v>
      </c>
      <c r="L108" s="46"/>
      <c r="M108" s="79">
        <f t="shared" ref="M108:M114" si="42">(K108-G108)/H108</f>
        <v>-0.76373420949201809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40"/>
        <v>865.80247220995932</v>
      </c>
      <c r="H109" s="54">
        <f t="shared" ref="H109:K109" si="43">H$36*H47*$H$73*H79/1000</f>
        <v>848.64143894251072</v>
      </c>
      <c r="I109" s="126">
        <f t="shared" si="43"/>
        <v>659.54986050174648</v>
      </c>
      <c r="J109" s="126">
        <f t="shared" si="43"/>
        <v>669.49851944542468</v>
      </c>
      <c r="K109" s="126">
        <f t="shared" si="43"/>
        <v>613.40057408832797</v>
      </c>
      <c r="L109" s="46"/>
      <c r="M109" s="79">
        <f t="shared" si="42"/>
        <v>-0.29741877610425022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40"/>
        <v>125.32910431833876</v>
      </c>
      <c r="H110" s="54">
        <f t="shared" ref="H110:K110" si="44">H$36*H48*$H$73*H80/1000</f>
        <v>122.84496157490598</v>
      </c>
      <c r="I110" s="126">
        <f t="shared" si="44"/>
        <v>65.866353675146527</v>
      </c>
      <c r="J110" s="126">
        <f t="shared" si="44"/>
        <v>48.766631108021777</v>
      </c>
      <c r="K110" s="126">
        <f t="shared" si="44"/>
        <v>33.605463709778675</v>
      </c>
      <c r="L110" s="46"/>
      <c r="M110" s="79">
        <f t="shared" si="42"/>
        <v>-0.74666180389197856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40"/>
        <v>133.12953809713147</v>
      </c>
      <c r="H111" s="54">
        <f t="shared" ref="H111:K111" si="45">H$36*H49*$H$73*H81/1000</f>
        <v>130.49078329393325</v>
      </c>
      <c r="I111" s="126">
        <f t="shared" si="45"/>
        <v>91.625701012762249</v>
      </c>
      <c r="J111" s="126">
        <f t="shared" si="45"/>
        <v>87.025194685993256</v>
      </c>
      <c r="K111" s="126">
        <f t="shared" si="45"/>
        <v>76.071296464239168</v>
      </c>
      <c r="L111" s="46"/>
      <c r="M111" s="79">
        <f t="shared" si="42"/>
        <v>-0.4372587871157721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40"/>
        <v>2361.443375038205</v>
      </c>
      <c r="H112" s="54">
        <f t="shared" ref="H112:K112" si="46">H$36*H50*$H$73*H82/1000</f>
        <v>2314.6373082747468</v>
      </c>
      <c r="I112" s="126">
        <f t="shared" si="46"/>
        <v>1283.955544234075</v>
      </c>
      <c r="J112" s="126">
        <f t="shared" si="46"/>
        <v>988.63135580073981</v>
      </c>
      <c r="K112" s="126">
        <f t="shared" si="46"/>
        <v>713.16889676678159</v>
      </c>
      <c r="L112" s="46"/>
      <c r="M112" s="79">
        <f t="shared" si="42"/>
        <v>-0.71210918115719479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40"/>
        <v>360.26958983241531</v>
      </c>
      <c r="H113" s="54">
        <f t="shared" ref="H113:K113" si="47">H$36*H51*$H$73*H83/1000</f>
        <v>353.12870191073603</v>
      </c>
      <c r="I113" s="126">
        <f t="shared" si="47"/>
        <v>325.26650361333066</v>
      </c>
      <c r="J113" s="126">
        <f t="shared" si="47"/>
        <v>361.23046687924682</v>
      </c>
      <c r="K113" s="126">
        <f t="shared" si="47"/>
        <v>349.97313209012646</v>
      </c>
      <c r="L113" s="46"/>
      <c r="M113" s="79">
        <f t="shared" si="42"/>
        <v>-2.9157804751004331E-2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10453.903303065272</v>
      </c>
      <c r="H114" s="156">
        <f>SUM(H107:H113)</f>
        <v>10246.696938892306</v>
      </c>
      <c r="I114" s="154">
        <f t="shared" ref="I114:J114" si="48">SUM(I107:I113)</f>
        <v>5806.5394449485384</v>
      </c>
      <c r="J114" s="154">
        <f t="shared" si="48"/>
        <v>4575.9255726747906</v>
      </c>
      <c r="K114" s="154">
        <f>SUM(K107:K113)</f>
        <v>3385.6280360939186</v>
      </c>
      <c r="L114" s="21"/>
      <c r="M114" s="79">
        <f t="shared" si="42"/>
        <v>-0.68981012214219461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94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>G$36*G45*(1-$H$73)*G97/1000</f>
        <v>2623.0794538506289</v>
      </c>
      <c r="H118" s="157">
        <f>H$36*H45*(1-$H$73)*H97/1000</f>
        <v>2571.0875097114636</v>
      </c>
      <c r="I118" s="153">
        <f t="shared" ref="I118:K118" si="49">I$36*I45*(1-$H$73)*I97/1000</f>
        <v>1876.6668441414718</v>
      </c>
      <c r="J118" s="153">
        <f t="shared" si="49"/>
        <v>1357.086741707627</v>
      </c>
      <c r="K118" s="153">
        <f t="shared" si="49"/>
        <v>917.33344717691853</v>
      </c>
      <c r="L118" s="46"/>
      <c r="M118" s="79">
        <f>(K118-G118)/H118</f>
        <v>-0.66343366386044755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ref="G119:G124" si="50">G$36*G46*(1-$H$73)*G98/1000</f>
        <v>12398.874214787094</v>
      </c>
      <c r="H119" s="157">
        <f t="shared" ref="H119:K119" si="51">H$36*H46*(1-$H$73)*H98/1000</f>
        <v>12153.116666491167</v>
      </c>
      <c r="I119" s="153">
        <f t="shared" si="51"/>
        <v>9655.8651150758233</v>
      </c>
      <c r="J119" s="153">
        <f t="shared" si="51"/>
        <v>7744.9764467505947</v>
      </c>
      <c r="K119" s="153">
        <f t="shared" si="51"/>
        <v>5985.6899237939997</v>
      </c>
      <c r="L119" s="46"/>
      <c r="M119" s="79">
        <f t="shared" ref="M119:M125" si="52">(K119-G119)/H119</f>
        <v>-0.5276987349817569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50"/>
        <v>1968.2481733218217</v>
      </c>
      <c r="H120" s="157">
        <f t="shared" ref="H120:K120" si="53">H$36*H47*(1-$H$73)*H99/1000</f>
        <v>1929.2356116058054</v>
      </c>
      <c r="I120" s="153">
        <f t="shared" si="53"/>
        <v>2283.3349586956924</v>
      </c>
      <c r="J120" s="153">
        <f t="shared" si="53"/>
        <v>2590.2855941884891</v>
      </c>
      <c r="K120" s="153">
        <f t="shared" si="53"/>
        <v>2759.9956408458784</v>
      </c>
      <c r="L120" s="46"/>
      <c r="M120" s="79">
        <f t="shared" si="52"/>
        <v>0.41039438768447944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50"/>
        <v>284.91346300846561</v>
      </c>
      <c r="H121" s="157">
        <f t="shared" ref="H121:K121" si="54">H$36*H48*(1-$H$73)*H100/1000</f>
        <v>279.2662056097289</v>
      </c>
      <c r="I121" s="153">
        <f t="shared" si="54"/>
        <v>228.02665416965593</v>
      </c>
      <c r="J121" s="153">
        <f t="shared" si="54"/>
        <v>188.67779146225607</v>
      </c>
      <c r="K121" s="153">
        <f t="shared" si="54"/>
        <v>151.2077706895619</v>
      </c>
      <c r="L121" s="46"/>
      <c r="M121" s="79">
        <f t="shared" si="52"/>
        <v>-0.47877505273858945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50"/>
        <v>302.64636402113837</v>
      </c>
      <c r="H122" s="157">
        <f t="shared" ref="H122:K122" si="55">H$36*H49*(1-$H$73)*H101/1000</f>
        <v>296.64762356018531</v>
      </c>
      <c r="I122" s="153">
        <f t="shared" si="55"/>
        <v>317.20447348481446</v>
      </c>
      <c r="J122" s="153">
        <f t="shared" si="55"/>
        <v>336.69993521912858</v>
      </c>
      <c r="K122" s="153">
        <f t="shared" si="55"/>
        <v>342.28276839623805</v>
      </c>
      <c r="L122" s="46"/>
      <c r="M122" s="79">
        <f t="shared" si="52"/>
        <v>0.13361443418763158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50"/>
        <v>5368.3221733683567</v>
      </c>
      <c r="H123" s="157">
        <f t="shared" ref="H123:K123" si="56">H$36*H50*(1-$H$73)*H102/1000</f>
        <v>5261.9168922972549</v>
      </c>
      <c r="I123" s="153">
        <f t="shared" si="56"/>
        <v>4331.5447468614511</v>
      </c>
      <c r="J123" s="153">
        <f t="shared" si="56"/>
        <v>3632.2360144262675</v>
      </c>
      <c r="K123" s="153">
        <f t="shared" si="56"/>
        <v>2969.4026221116587</v>
      </c>
      <c r="L123" s="46"/>
      <c r="M123" s="79">
        <f t="shared" si="52"/>
        <v>-0.45590221213269189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50"/>
        <v>819.0089366239356</v>
      </c>
      <c r="H124" s="157">
        <f t="shared" ref="H124:K124" si="57">H$36*H51*(1-$H$73)*H103/1000</f>
        <v>802.77539599674662</v>
      </c>
      <c r="I124" s="153">
        <f t="shared" si="57"/>
        <v>1097.3171317210804</v>
      </c>
      <c r="J124" s="153">
        <f t="shared" si="57"/>
        <v>1327.162347833995</v>
      </c>
      <c r="K124" s="153">
        <f t="shared" si="57"/>
        <v>1457.1739468846904</v>
      </c>
      <c r="L124" s="46"/>
      <c r="M124" s="79">
        <f t="shared" si="52"/>
        <v>0.79494839209464396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23765.092778981441</v>
      </c>
      <c r="H125" s="158">
        <f>SUM(H118:H124)</f>
        <v>23294.045905272345</v>
      </c>
      <c r="I125" s="155">
        <f t="shared" ref="I125" si="58">SUM(I118:I124)</f>
        <v>19789.959924149989</v>
      </c>
      <c r="J125" s="155">
        <f t="shared" ref="J125" si="59">SUM(J118:J124)</f>
        <v>17177.124871588356</v>
      </c>
      <c r="K125" s="155">
        <f t="shared" ref="K125" si="60">SUM(K118:K124)</f>
        <v>14583.086119898944</v>
      </c>
      <c r="L125" s="21"/>
      <c r="M125" s="79">
        <f t="shared" si="52"/>
        <v>-0.39417826754622531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72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3702.0698483966362</v>
      </c>
      <c r="I129" s="153">
        <f t="shared" ref="I129:K129" si="61">I107+I118</f>
        <v>2439.5315036695388</v>
      </c>
      <c r="J129" s="153">
        <f t="shared" si="61"/>
        <v>1735.2568215123902</v>
      </c>
      <c r="K129" s="153">
        <f t="shared" si="61"/>
        <v>1145.5669475848749</v>
      </c>
      <c r="L129" s="46"/>
      <c r="M129" s="79">
        <f>(K129-G129)/H129</f>
        <v>0.30943958231393692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0" si="62">H108+H119</f>
        <v>17499.088072701466</v>
      </c>
      <c r="I130" s="153">
        <f t="shared" si="62"/>
        <v>12473.275937459233</v>
      </c>
      <c r="J130" s="153">
        <f t="shared" si="62"/>
        <v>9787.5797717011974</v>
      </c>
      <c r="K130" s="153">
        <f t="shared" si="62"/>
        <v>7356.8650963607079</v>
      </c>
      <c r="L130" s="46"/>
      <c r="M130" s="79">
        <f t="shared" ref="M130:M136" si="63">(K130-G130)/H130</f>
        <v>0.42041419905974409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ref="H131:K131" si="64">H109+H120</f>
        <v>2777.8770505483162</v>
      </c>
      <c r="I131" s="153">
        <f>I109+I120</f>
        <v>2942.8848191974389</v>
      </c>
      <c r="J131" s="153">
        <f t="shared" si="64"/>
        <v>3259.7841136339139</v>
      </c>
      <c r="K131" s="153">
        <f t="shared" si="64"/>
        <v>3373.3962149342065</v>
      </c>
      <c r="L131" s="46"/>
      <c r="M131" s="79">
        <f t="shared" si="63"/>
        <v>1.2143792376514082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ref="H132:K132" si="65">H110+H121</f>
        <v>402.11116718463489</v>
      </c>
      <c r="I132" s="153">
        <f t="shared" si="65"/>
        <v>293.89300784480247</v>
      </c>
      <c r="J132" s="153">
        <f t="shared" si="65"/>
        <v>237.44442257027785</v>
      </c>
      <c r="K132" s="153">
        <f t="shared" si="65"/>
        <v>184.81323439934056</v>
      </c>
      <c r="L132" s="46"/>
      <c r="M132" s="79">
        <f t="shared" si="63"/>
        <v>0.45960731628843576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ref="H133:K133" si="66">H111+H122</f>
        <v>427.13840685411856</v>
      </c>
      <c r="I133" s="153">
        <f t="shared" si="66"/>
        <v>408.83017449757671</v>
      </c>
      <c r="J133" s="153">
        <f t="shared" si="66"/>
        <v>423.72512990512183</v>
      </c>
      <c r="K133" s="153">
        <f t="shared" si="66"/>
        <v>418.35406486047725</v>
      </c>
      <c r="L133" s="46"/>
      <c r="M133" s="79">
        <f t="shared" si="63"/>
        <v>0.97943443658382745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ref="H134:K134" si="67">H112+H123</f>
        <v>7576.5542005720017</v>
      </c>
      <c r="I134" s="153">
        <f t="shared" si="67"/>
        <v>5615.5002910955263</v>
      </c>
      <c r="J134" s="153">
        <f t="shared" si="67"/>
        <v>4620.8673702270071</v>
      </c>
      <c r="K134" s="153">
        <f t="shared" si="67"/>
        <v>3682.5715188784402</v>
      </c>
      <c r="L134" s="46"/>
      <c r="M134" s="79">
        <f t="shared" si="63"/>
        <v>0.48604833033470807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ref="H135:K135" si="68">H113+H124</f>
        <v>1155.9040979074825</v>
      </c>
      <c r="I135" s="153">
        <f t="shared" si="68"/>
        <v>1422.5836353344112</v>
      </c>
      <c r="J135" s="153">
        <f t="shared" si="68"/>
        <v>1688.3928147132419</v>
      </c>
      <c r="K135" s="153">
        <f t="shared" si="68"/>
        <v>1807.1470789748168</v>
      </c>
      <c r="L135" s="46"/>
      <c r="M135" s="79">
        <f t="shared" si="63"/>
        <v>1.5634057204626843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33540.742844164655</v>
      </c>
      <c r="I136" s="155">
        <f t="shared" ref="I136:K136" si="69">SUM(I129:I135)</f>
        <v>25596.499369098528</v>
      </c>
      <c r="J136" s="155">
        <f t="shared" si="69"/>
        <v>21753.05044426315</v>
      </c>
      <c r="K136" s="155">
        <f t="shared" si="69"/>
        <v>17968.714155992864</v>
      </c>
      <c r="L136" s="21"/>
      <c r="M136" s="79">
        <f t="shared" si="63"/>
        <v>0.53572797237909187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76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énergie'!C3</f>
        <v>2.5832473286687414E-3</v>
      </c>
      <c r="I142" s="47">
        <f>H142</f>
        <v>2.5832473286687414E-3</v>
      </c>
      <c r="J142" s="47">
        <f>I142</f>
        <v>2.5832473286687414E-3</v>
      </c>
      <c r="K142" s="47">
        <f>J142</f>
        <v>2.5832473286687414E-3</v>
      </c>
      <c r="M142" s="334" t="s">
        <v>41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énergie'!C4</f>
        <v>0.18262447255667691</v>
      </c>
      <c r="I143" s="47">
        <f t="shared" ref="I143:K143" si="70">H143</f>
        <v>0.18262447255667691</v>
      </c>
      <c r="J143" s="47">
        <f t="shared" si="70"/>
        <v>0.18262447255667691</v>
      </c>
      <c r="K143" s="47">
        <f t="shared" si="70"/>
        <v>0.18262447255667691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énergie'!C5</f>
        <v>0.13911656645249823</v>
      </c>
      <c r="I144" s="47">
        <f t="shared" ref="I144:K144" si="71">H144</f>
        <v>0.13911656645249823</v>
      </c>
      <c r="J144" s="47">
        <f t="shared" si="71"/>
        <v>0.13911656645249823</v>
      </c>
      <c r="K144" s="47">
        <f t="shared" si="71"/>
        <v>0.13911656645249823</v>
      </c>
      <c r="M144" s="335"/>
      <c r="N144" s="33"/>
      <c r="O144" s="42"/>
    </row>
    <row r="145" spans="1:15" s="17" customFormat="1">
      <c r="A145" s="56"/>
      <c r="C145" s="40"/>
      <c r="D145" s="32"/>
      <c r="E145" s="6" t="s">
        <v>22</v>
      </c>
      <c r="F145" s="55"/>
      <c r="G145" s="55"/>
      <c r="H145" s="55">
        <f>'Init. énergie'!C6</f>
        <v>2.2541262662018457E-2</v>
      </c>
      <c r="I145" s="47">
        <f t="shared" ref="I145:K145" si="72">H145</f>
        <v>2.2541262662018457E-2</v>
      </c>
      <c r="J145" s="47">
        <f t="shared" si="72"/>
        <v>2.2541262662018457E-2</v>
      </c>
      <c r="K145" s="47">
        <f t="shared" si="72"/>
        <v>2.2541262662018457E-2</v>
      </c>
      <c r="M145" s="335"/>
      <c r="N145" s="33"/>
      <c r="O145" s="42"/>
    </row>
    <row r="146" spans="1:15" s="17" customFormat="1">
      <c r="A146" s="56"/>
      <c r="C146" s="40"/>
      <c r="D146" s="32"/>
      <c r="E146" s="6" t="s">
        <v>42</v>
      </c>
      <c r="F146" s="55"/>
      <c r="G146" s="55"/>
      <c r="H146" s="55">
        <f>'Init. énergie'!C7</f>
        <v>2.2378153328661055E-2</v>
      </c>
      <c r="I146" s="47">
        <f t="shared" ref="I146:K146" si="73">H146</f>
        <v>2.2378153328661055E-2</v>
      </c>
      <c r="J146" s="47">
        <f t="shared" si="73"/>
        <v>2.2378153328661055E-2</v>
      </c>
      <c r="K146" s="47">
        <f t="shared" si="73"/>
        <v>2.2378153328661055E-2</v>
      </c>
      <c r="M146" s="335"/>
      <c r="N146" s="33"/>
      <c r="O146" s="42"/>
    </row>
    <row r="147" spans="1:15" s="17" customFormat="1">
      <c r="A147" s="56"/>
      <c r="C147" s="40"/>
      <c r="D147" s="32"/>
      <c r="E147" s="6" t="s">
        <v>25</v>
      </c>
      <c r="F147" s="55"/>
      <c r="G147" s="85"/>
      <c r="H147" s="55">
        <f>'Init. énergie'!C8</f>
        <v>0.17192765066376023</v>
      </c>
      <c r="I147" s="47">
        <f t="shared" ref="I147:K147" si="74">H147</f>
        <v>0.17192765066376023</v>
      </c>
      <c r="J147" s="47">
        <f t="shared" si="74"/>
        <v>0.17192765066376023</v>
      </c>
      <c r="K147" s="47">
        <f t="shared" si="74"/>
        <v>0.17192765066376023</v>
      </c>
      <c r="M147" s="335"/>
      <c r="N147" s="33"/>
      <c r="O147" s="42"/>
    </row>
    <row r="148" spans="1:15" s="17" customFormat="1">
      <c r="A148" s="56"/>
      <c r="C148" s="40"/>
      <c r="D148" s="32"/>
      <c r="E148" s="6" t="s">
        <v>26</v>
      </c>
      <c r="F148" s="55"/>
      <c r="G148" s="85"/>
      <c r="H148" s="55">
        <f>'Init. énergie'!C9</f>
        <v>0.45882864700771653</v>
      </c>
      <c r="I148" s="47">
        <f t="shared" ref="I148:K148" si="75">H148</f>
        <v>0.45882864700771653</v>
      </c>
      <c r="J148" s="47">
        <f t="shared" si="75"/>
        <v>0.45882864700771653</v>
      </c>
      <c r="K148" s="47">
        <f t="shared" si="75"/>
        <v>0.45882864700771653</v>
      </c>
      <c r="M148" s="335"/>
      <c r="N148" s="33"/>
      <c r="O148" s="42"/>
    </row>
    <row r="149" spans="1:15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1</v>
      </c>
      <c r="I149" s="15">
        <f t="shared" ref="I149:K149" si="76">SUM(I142:I148)</f>
        <v>1</v>
      </c>
      <c r="J149" s="15">
        <f t="shared" si="76"/>
        <v>1</v>
      </c>
      <c r="K149" s="15">
        <f t="shared" si="76"/>
        <v>1</v>
      </c>
      <c r="M149" s="336"/>
      <c r="N149" s="33"/>
      <c r="O149" s="42"/>
    </row>
    <row r="150" spans="1:15" s="17" customFormat="1">
      <c r="A150" s="56"/>
      <c r="C150" s="40"/>
      <c r="D150" s="32"/>
      <c r="M150" s="65"/>
      <c r="N150" s="33"/>
      <c r="O150" s="42"/>
    </row>
    <row r="151" spans="1:15" s="17" customFormat="1" ht="30.75" customHeight="1">
      <c r="A151" s="56"/>
      <c r="C151" s="40"/>
      <c r="D151" s="32"/>
      <c r="F151" s="333" t="s">
        <v>77</v>
      </c>
      <c r="G151" s="333"/>
      <c r="H151" s="333"/>
      <c r="I151" s="333"/>
      <c r="J151" s="333"/>
      <c r="K151" s="333"/>
      <c r="M151" s="65"/>
      <c r="N151" s="33"/>
      <c r="O151" s="42"/>
    </row>
    <row r="152" spans="1:15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5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64.225973418529676</v>
      </c>
      <c r="J153" s="45">
        <f>K153</f>
        <v>64.225973418529676</v>
      </c>
      <c r="K153" s="45">
        <f t="shared" ref="K153:K159" si="77">K77</f>
        <v>64.225973418529676</v>
      </c>
      <c r="M153" s="334" t="s">
        <v>38</v>
      </c>
      <c r="N153" s="33"/>
      <c r="O153" s="42"/>
    </row>
    <row r="154" spans="1:15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I159" si="78">J154</f>
        <v>64.309183378721912</v>
      </c>
      <c r="J154" s="45">
        <f>K154</f>
        <v>64.309183378721912</v>
      </c>
      <c r="K154" s="45">
        <f t="shared" si="77"/>
        <v>64.309183378721912</v>
      </c>
      <c r="M154" s="335"/>
      <c r="N154" s="33"/>
      <c r="O154" s="42"/>
    </row>
    <row r="155" spans="1:15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78"/>
        <v>53.941808630044562</v>
      </c>
      <c r="J155" s="45">
        <f t="shared" ref="J155:J159" si="79">K155</f>
        <v>53.941808630044562</v>
      </c>
      <c r="K155" s="45">
        <f t="shared" si="77"/>
        <v>53.941808630044562</v>
      </c>
      <c r="M155" s="335"/>
      <c r="N155" s="33"/>
      <c r="O155" s="42"/>
    </row>
    <row r="156" spans="1:15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78"/>
        <v>47.283672534568169</v>
      </c>
      <c r="J156" s="45">
        <f t="shared" si="79"/>
        <v>47.283672534568169</v>
      </c>
      <c r="K156" s="45">
        <f t="shared" si="77"/>
        <v>47.283672534568169</v>
      </c>
      <c r="M156" s="335"/>
      <c r="N156" s="33"/>
      <c r="O156" s="42"/>
    </row>
    <row r="157" spans="1:15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78"/>
        <v>53.517045656008712</v>
      </c>
      <c r="J157" s="45">
        <f t="shared" si="79"/>
        <v>53.517045656008712</v>
      </c>
      <c r="K157" s="45">
        <f t="shared" si="77"/>
        <v>53.517045656008712</v>
      </c>
      <c r="M157" s="335"/>
      <c r="N157" s="33"/>
      <c r="O157" s="42"/>
    </row>
    <row r="158" spans="1:15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78"/>
        <v>38.594049957266343</v>
      </c>
      <c r="J158" s="45">
        <f t="shared" si="79"/>
        <v>38.594049957266343</v>
      </c>
      <c r="K158" s="45">
        <f t="shared" si="77"/>
        <v>38.594049957266343</v>
      </c>
      <c r="M158" s="335"/>
      <c r="N158" s="33"/>
      <c r="O158" s="42"/>
    </row>
    <row r="159" spans="1:15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78"/>
        <v>24.621018648273399</v>
      </c>
      <c r="J159" s="45">
        <f t="shared" si="79"/>
        <v>24.621018648273399</v>
      </c>
      <c r="K159" s="45">
        <f t="shared" si="77"/>
        <v>24.621018648273399</v>
      </c>
      <c r="M159" s="336"/>
      <c r="N159" s="33"/>
      <c r="O159" s="42"/>
    </row>
    <row r="160" spans="1:15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73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80">I$35*I142*I153/1000</f>
        <v>1.0297152385469881</v>
      </c>
      <c r="J163" s="10">
        <f t="shared" si="80"/>
        <v>0.97548740990160099</v>
      </c>
      <c r="K163" s="10">
        <f t="shared" si="80"/>
        <v>0.9225329112497227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4" si="81">H$35*H143*H154/1000</f>
        <v>0</v>
      </c>
      <c r="I164" s="10">
        <f t="shared" si="81"/>
        <v>72.890751042530752</v>
      </c>
      <c r="J164" s="10">
        <f t="shared" si="81"/>
        <v>69.052110018876959</v>
      </c>
      <c r="K164" s="10">
        <f t="shared" si="81"/>
        <v>65.303604574534205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ref="H165:K165" si="82">H$35*H144*H155/1000</f>
        <v>0</v>
      </c>
      <c r="I165" s="10">
        <f t="shared" si="82"/>
        <v>46.574136304702947</v>
      </c>
      <c r="J165" s="10">
        <f t="shared" si="82"/>
        <v>44.121405502736586</v>
      </c>
      <c r="K165" s="10">
        <f t="shared" si="82"/>
        <v>41.726267559901089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ref="H166:K166" si="83">H$35*H145*H156/1000</f>
        <v>0</v>
      </c>
      <c r="I166" s="10">
        <f t="shared" si="83"/>
        <v>6.615000726804265</v>
      </c>
      <c r="J166" s="10">
        <f t="shared" si="83"/>
        <v>6.266635360852769</v>
      </c>
      <c r="K166" s="10">
        <f t="shared" si="83"/>
        <v>5.9264500028463907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ref="H167:K167" si="84">H$35*H146*H157/1000</f>
        <v>0</v>
      </c>
      <c r="I167" s="10">
        <f t="shared" si="84"/>
        <v>7.4328750392237106</v>
      </c>
      <c r="J167" s="10">
        <f t="shared" si="84"/>
        <v>7.0414380099549581</v>
      </c>
      <c r="K167" s="10">
        <f t="shared" si="84"/>
        <v>6.6591923594005786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ref="H168:K168" si="85">H$35*H147*H158/1000</f>
        <v>0</v>
      </c>
      <c r="I168" s="10">
        <f t="shared" si="85"/>
        <v>41.181915110601203</v>
      </c>
      <c r="J168" s="10">
        <f t="shared" si="85"/>
        <v>39.013154513197797</v>
      </c>
      <c r="K168" s="10">
        <f t="shared" si="85"/>
        <v>36.895318837304202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ref="H169:K169" si="86">H$35*H148*H159/1000</f>
        <v>0</v>
      </c>
      <c r="I169" s="10">
        <f t="shared" si="86"/>
        <v>70.112749425618759</v>
      </c>
      <c r="J169" s="10">
        <f t="shared" si="86"/>
        <v>66.420406125859074</v>
      </c>
      <c r="K169" s="10">
        <f t="shared" si="86"/>
        <v>62.814763171426897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87">SUM(I163:I169)</f>
        <v>245.83714288802861</v>
      </c>
      <c r="J170" s="11">
        <f t="shared" si="87"/>
        <v>232.89063694137977</v>
      </c>
      <c r="K170" s="11">
        <f t="shared" si="87"/>
        <v>220.24812941666309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M174" s="65"/>
    </row>
    <row r="175" spans="1:15" s="17" customFormat="1">
      <c r="A175" s="56"/>
      <c r="M175" s="65"/>
    </row>
    <row r="176" spans="1:15" s="17" customFormat="1">
      <c r="A176" s="56"/>
      <c r="M176" s="65"/>
    </row>
    <row r="177" spans="1:13" s="17" customFormat="1">
      <c r="A177" s="56"/>
      <c r="M177" s="65"/>
    </row>
    <row r="178" spans="1:13" s="17" customFormat="1">
      <c r="A178" s="56"/>
      <c r="M178" s="65"/>
    </row>
    <row r="179" spans="1:13" s="17" customFormat="1">
      <c r="A179" s="56"/>
      <c r="M179" s="65"/>
    </row>
    <row r="180" spans="1:13" s="17" customFormat="1">
      <c r="A180" s="56"/>
      <c r="M180" s="65"/>
    </row>
    <row r="181" spans="1:13" s="17" customFormat="1">
      <c r="A181" s="56"/>
      <c r="M181" s="65"/>
    </row>
    <row r="182" spans="1:13" s="17" customFormat="1">
      <c r="A182" s="56"/>
      <c r="M182" s="65"/>
    </row>
    <row r="183" spans="1:13" s="17" customFormat="1">
      <c r="A183" s="56"/>
      <c r="M183" s="65"/>
    </row>
    <row r="184" spans="1:13" s="17" customFormat="1">
      <c r="A184" s="56"/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0">
    <mergeCell ref="F57:K57"/>
    <mergeCell ref="M59:M65"/>
    <mergeCell ref="F54:K54"/>
    <mergeCell ref="C1:O1"/>
    <mergeCell ref="C3:O3"/>
    <mergeCell ref="F5:K5"/>
    <mergeCell ref="F11:K11"/>
    <mergeCell ref="C27:O27"/>
    <mergeCell ref="D29:N29"/>
    <mergeCell ref="E41:M41"/>
    <mergeCell ref="F43:K43"/>
    <mergeCell ref="D39:N39"/>
    <mergeCell ref="F32:K32"/>
    <mergeCell ref="F22:K22"/>
    <mergeCell ref="F68:K68"/>
    <mergeCell ref="F161:K161"/>
    <mergeCell ref="M45:M51"/>
    <mergeCell ref="M142:M149"/>
    <mergeCell ref="M153:M159"/>
    <mergeCell ref="F151:K151"/>
    <mergeCell ref="E138:M138"/>
    <mergeCell ref="F140:K140"/>
    <mergeCell ref="F85:G85"/>
    <mergeCell ref="F95:K95"/>
    <mergeCell ref="F105:K105"/>
    <mergeCell ref="M87:M93"/>
    <mergeCell ref="F75:K75"/>
    <mergeCell ref="M77:M83"/>
    <mergeCell ref="F116:K116"/>
    <mergeCell ref="F127:K127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/>
    <pageSetUpPr fitToPage="1"/>
  </sheetPr>
  <dimension ref="A1:GB1589"/>
  <sheetViews>
    <sheetView showGridLines="0" topLeftCell="E133" zoomScale="115" zoomScaleNormal="115" workbookViewId="0">
      <selection activeCell="K73" sqref="K73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64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65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66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 t="shared" ref="H7:K8" si="0">H34</f>
        <v>67243.869415029592</v>
      </c>
      <c r="I7" s="10">
        <f t="shared" si="0"/>
        <v>67845.668346404927</v>
      </c>
      <c r="J7" s="10">
        <f t="shared" si="0"/>
        <v>68347.127348944588</v>
      </c>
      <c r="K7" s="10">
        <f t="shared" si="0"/>
        <v>67379.41377843167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2538.4223705281875</v>
      </c>
      <c r="J8" s="76">
        <f t="shared" si="0"/>
        <v>2455.4142509161229</v>
      </c>
      <c r="K8" s="76">
        <f t="shared" si="0"/>
        <v>1968.3972676496044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1">H36</f>
        <v>67243.869415029592</v>
      </c>
      <c r="I9" s="96">
        <f t="shared" si="1"/>
        <v>65307.245975876736</v>
      </c>
      <c r="J9" s="96">
        <f t="shared" si="1"/>
        <v>65891.713098028471</v>
      </c>
      <c r="K9" s="96">
        <f t="shared" si="1"/>
        <v>65411.016510782065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67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1140.7847357342439</v>
      </c>
      <c r="I13" s="86">
        <f t="shared" ref="I13:K13" si="2">I129+I163</f>
        <v>818.44901756666127</v>
      </c>
      <c r="J13" s="86">
        <f t="shared" si="2"/>
        <v>648.84560163762512</v>
      </c>
      <c r="K13" s="86">
        <f t="shared" si="2"/>
        <v>488.82636694265318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9" si="3">H130+H164</f>
        <v>3672.1014843777784</v>
      </c>
      <c r="I14" s="86">
        <f t="shared" si="3"/>
        <v>2717.6512530424557</v>
      </c>
      <c r="J14" s="86">
        <f t="shared" si="3"/>
        <v>2161.3732399887404</v>
      </c>
      <c r="K14" s="86">
        <f t="shared" si="3"/>
        <v>1611.7293087560404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si="3"/>
        <v>624.54051287307175</v>
      </c>
      <c r="I15" s="86">
        <f t="shared" si="3"/>
        <v>548.36991651389178</v>
      </c>
      <c r="J15" s="86">
        <f t="shared" si="3"/>
        <v>531.94044128861867</v>
      </c>
      <c r="K15" s="86">
        <f t="shared" si="3"/>
        <v>503.02802191888418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si="3"/>
        <v>126.92767661024016</v>
      </c>
      <c r="I16" s="86">
        <f t="shared" si="3"/>
        <v>98.970444399544022</v>
      </c>
      <c r="J16" s="86">
        <f t="shared" si="3"/>
        <v>84.269942664940075</v>
      </c>
      <c r="K16" s="86">
        <f t="shared" si="3"/>
        <v>68.886659735220249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si="3"/>
        <v>210.53470904103489</v>
      </c>
      <c r="I17" s="86">
        <f t="shared" si="3"/>
        <v>300.28800297009883</v>
      </c>
      <c r="J17" s="86">
        <f t="shared" si="3"/>
        <v>399.13494118443089</v>
      </c>
      <c r="K17" s="86">
        <f t="shared" si="3"/>
        <v>476.61159405594793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si="3"/>
        <v>1500.7713046024307</v>
      </c>
      <c r="I18" s="86">
        <f t="shared" si="3"/>
        <v>1277.9997752844502</v>
      </c>
      <c r="J18" s="86">
        <f t="shared" si="3"/>
        <v>1220.9275830678619</v>
      </c>
      <c r="K18" s="86">
        <f t="shared" si="3"/>
        <v>1138.3349229105036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si="3"/>
        <v>330.32015047808898</v>
      </c>
      <c r="I19" s="86">
        <f t="shared" si="3"/>
        <v>376.18087503974567</v>
      </c>
      <c r="J19" s="86">
        <f t="shared" si="3"/>
        <v>425.48533164572507</v>
      </c>
      <c r="K19" s="86">
        <f t="shared" si="3"/>
        <v>452.45812207529048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7605.9805737168899</v>
      </c>
      <c r="I20" s="13">
        <f t="shared" ref="I20:K20" si="4">SUM(I13:I19)</f>
        <v>6137.9092848168475</v>
      </c>
      <c r="J20" s="13">
        <f t="shared" si="4"/>
        <v>5471.9770814779413</v>
      </c>
      <c r="K20" s="13">
        <f t="shared" si="4"/>
        <v>4739.8749963945402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-0.41728000000000021</v>
      </c>
      <c r="J23" s="188">
        <f t="shared" ref="J23:K23" si="5">J114/$G114-1</f>
        <v>-0.51005412336294642</v>
      </c>
      <c r="K23" s="188">
        <f t="shared" si="5"/>
        <v>-0.61090272121572986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-0.14518635239433197</v>
      </c>
      <c r="J24" s="188">
        <f t="shared" ref="J24:K24" si="6">J125/$G125-1</f>
        <v>-0.22740043685945888</v>
      </c>
      <c r="K24" s="188">
        <f t="shared" si="6"/>
        <v>-0.31478296516126836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68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69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67243.869415029592</v>
      </c>
      <c r="H34" s="126">
        <f>'Init. parc'!C5</f>
        <v>67243.869415029592</v>
      </c>
      <c r="I34" s="126">
        <f>'Init. parc'!D5</f>
        <v>67845.668346404927</v>
      </c>
      <c r="J34" s="126">
        <f>'Init. parc'!E5</f>
        <v>68347.127348944588</v>
      </c>
      <c r="K34" s="126">
        <f>'Init. parc'!F5</f>
        <v>67379.41377843167</v>
      </c>
      <c r="L34" s="65"/>
      <c r="M34" s="65"/>
      <c r="N34" s="65"/>
      <c r="O34" s="42"/>
    </row>
    <row r="35" spans="1:17" s="17" customFormat="1" ht="21">
      <c r="A35" s="56"/>
      <c r="C35" s="40"/>
      <c r="D35" s="32"/>
      <c r="E35" s="83" t="s">
        <v>29</v>
      </c>
      <c r="F35" s="55"/>
      <c r="G35" s="195"/>
      <c r="H35" s="126">
        <v>0</v>
      </c>
      <c r="I35" s="126">
        <f>'Init. parc'!N5</f>
        <v>2538.4223705281875</v>
      </c>
      <c r="J35" s="126">
        <f>'Init. parc'!O5</f>
        <v>2455.4142509161229</v>
      </c>
      <c r="K35" s="126">
        <f>'Init. parc'!P5</f>
        <v>1968.3972676496044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30</v>
      </c>
      <c r="F36" s="55"/>
      <c r="G36" s="195">
        <f>G34-G35</f>
        <v>67243.869415029592</v>
      </c>
      <c r="H36" s="126">
        <f>H34-H35</f>
        <v>67243.869415029592</v>
      </c>
      <c r="I36" s="126">
        <f>I34-I35</f>
        <v>65307.245975876736</v>
      </c>
      <c r="J36" s="126">
        <f>J34-J35</f>
        <v>65891.713098028471</v>
      </c>
      <c r="K36" s="126">
        <f>K34-K35</f>
        <v>65411.016510782065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7.9577911246311389E-2</v>
      </c>
      <c r="H45" s="55">
        <f>'Init. énergie'!B12</f>
        <v>7.9577911246311389E-2</v>
      </c>
      <c r="I45" s="47">
        <f>H45+((K45-H45)/3)</f>
        <v>6.9718607497540927E-2</v>
      </c>
      <c r="J45" s="47">
        <f>H45+((K45-H45)/3*2)</f>
        <v>5.9859303748770465E-2</v>
      </c>
      <c r="K45" s="47">
        <v>0.05</v>
      </c>
      <c r="L45" s="64"/>
      <c r="M45" s="334"/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7">H46</f>
        <v>0.34462030283054329</v>
      </c>
      <c r="H46" s="55">
        <f>'Init. énergie'!B13</f>
        <v>0.34462030283054329</v>
      </c>
      <c r="I46" s="47">
        <f t="shared" ref="I46:I51" si="8">H46+((K46-H46)/3)</f>
        <v>0.29641353522036218</v>
      </c>
      <c r="J46" s="47">
        <f t="shared" ref="J46:J51" si="9">H46+((K46-H46)/3*2)</f>
        <v>0.24820676761018112</v>
      </c>
      <c r="K46" s="47">
        <v>0.2</v>
      </c>
      <c r="L46" s="64"/>
      <c r="M46" s="335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7"/>
        <v>6.6086937326922057E-2</v>
      </c>
      <c r="H47" s="55">
        <f>'Init. énergie'!B14</f>
        <v>6.6086937326922057E-2</v>
      </c>
      <c r="I47" s="47">
        <f t="shared" si="8"/>
        <v>6.7391291551281374E-2</v>
      </c>
      <c r="J47" s="47">
        <f t="shared" si="9"/>
        <v>6.869564577564069E-2</v>
      </c>
      <c r="K47" s="47">
        <v>7.0000000000000007E-2</v>
      </c>
      <c r="L47" s="64"/>
      <c r="M47" s="335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7"/>
        <v>1.4148263803273525E-2</v>
      </c>
      <c r="H48" s="55">
        <f>'Init. énergie'!B15</f>
        <v>1.4148263803273525E-2</v>
      </c>
      <c r="I48" s="47">
        <f t="shared" si="8"/>
        <v>1.276550920218235E-2</v>
      </c>
      <c r="J48" s="47">
        <f t="shared" si="9"/>
        <v>1.1382754601091175E-2</v>
      </c>
      <c r="K48" s="47">
        <v>0.01</v>
      </c>
      <c r="L48" s="64"/>
      <c r="M48" s="335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7"/>
        <v>2.6562983479710957E-2</v>
      </c>
      <c r="H49" s="55">
        <f>'Init. énergie'!B16</f>
        <v>2.6562983479710957E-2</v>
      </c>
      <c r="I49" s="47">
        <f t="shared" si="8"/>
        <v>4.43753223198073E-2</v>
      </c>
      <c r="J49" s="47">
        <f t="shared" si="9"/>
        <v>6.2187661159903651E-2</v>
      </c>
      <c r="K49" s="47">
        <v>0.08</v>
      </c>
      <c r="L49" s="64"/>
      <c r="M49" s="335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7"/>
        <v>0.36221493246354636</v>
      </c>
      <c r="H50" s="55">
        <f>'Init. énergie'!B17</f>
        <v>0.36221493246354636</v>
      </c>
      <c r="I50" s="47">
        <f t="shared" si="8"/>
        <v>0.37147662164236422</v>
      </c>
      <c r="J50" s="47">
        <f t="shared" si="9"/>
        <v>0.38073831082118209</v>
      </c>
      <c r="K50" s="47">
        <f>1-K45-K46-K47-K48-K49-K51</f>
        <v>0.38999999999999996</v>
      </c>
      <c r="L50" s="64"/>
      <c r="M50" s="335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7"/>
        <v>0.10678866884969246</v>
      </c>
      <c r="H51" s="55">
        <f>'Init. énergie'!B18</f>
        <v>0.10678866884969246</v>
      </c>
      <c r="I51" s="47">
        <f t="shared" si="8"/>
        <v>0.13785911256646163</v>
      </c>
      <c r="J51" s="47">
        <f t="shared" si="9"/>
        <v>0.16892955628323084</v>
      </c>
      <c r="K51" s="124">
        <v>0.2</v>
      </c>
      <c r="L51" s="64"/>
      <c r="M51" s="336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J52" si="10">SUM(G45:G51)</f>
        <v>1</v>
      </c>
      <c r="H52" s="159">
        <f t="shared" si="10"/>
        <v>1</v>
      </c>
      <c r="I52" s="165">
        <f t="shared" si="10"/>
        <v>1</v>
      </c>
      <c r="J52" s="165">
        <f t="shared" si="10"/>
        <v>1</v>
      </c>
      <c r="K52" s="165">
        <f>SUM(K45:K51)</f>
        <v>1</v>
      </c>
      <c r="L52" s="63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K55" si="11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-4.9884867516552973E-2</v>
      </c>
      <c r="J55" s="152">
        <f t="shared" si="11"/>
        <v>-5.2504023787266631E-2</v>
      </c>
      <c r="K55" s="152">
        <f t="shared" si="11"/>
        <v>-5.5413453044024778E-2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>
        <v>2006</v>
      </c>
      <c r="G58" s="4">
        <v>2015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7.9577911246311389E-2</v>
      </c>
      <c r="H59" s="55">
        <f>H45</f>
        <v>7.9577911246311389E-2</v>
      </c>
      <c r="I59" s="47">
        <f>H59+((K59-H59)/3)</f>
        <v>6.9718607497540927E-2</v>
      </c>
      <c r="J59" s="47">
        <f>H59+((K59-H59)/3*2)</f>
        <v>5.9859303748770465E-2</v>
      </c>
      <c r="K59" s="47">
        <v>0.05</v>
      </c>
      <c r="L59" s="64"/>
      <c r="M59" s="334"/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2">H60</f>
        <v>0.34462030283054329</v>
      </c>
      <c r="H60" s="55">
        <f t="shared" ref="H60:H65" si="13">H46</f>
        <v>0.34462030283054329</v>
      </c>
      <c r="I60" s="47">
        <f t="shared" ref="I60:I65" si="14">H60+((K60-H60)/3)</f>
        <v>0.29641353522036218</v>
      </c>
      <c r="J60" s="47">
        <f t="shared" ref="J60:J65" si="15">H60+((K60-H60)/3*2)</f>
        <v>0.24820676761018112</v>
      </c>
      <c r="K60" s="47">
        <v>0.2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2"/>
        <v>6.6086937326922057E-2</v>
      </c>
      <c r="H61" s="55">
        <f t="shared" si="13"/>
        <v>6.6086937326922057E-2</v>
      </c>
      <c r="I61" s="47">
        <f t="shared" si="14"/>
        <v>6.7391291551281374E-2</v>
      </c>
      <c r="J61" s="47">
        <f t="shared" si="15"/>
        <v>6.869564577564069E-2</v>
      </c>
      <c r="K61" s="47">
        <v>7.0000000000000007E-2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2"/>
        <v>1.4148263803273525E-2</v>
      </c>
      <c r="H62" s="55">
        <f t="shared" si="13"/>
        <v>1.4148263803273525E-2</v>
      </c>
      <c r="I62" s="47">
        <f t="shared" si="14"/>
        <v>1.276550920218235E-2</v>
      </c>
      <c r="J62" s="47">
        <f t="shared" si="15"/>
        <v>1.1382754601091175E-2</v>
      </c>
      <c r="K62" s="47">
        <v>0.01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2"/>
        <v>2.6562983479710957E-2</v>
      </c>
      <c r="H63" s="55">
        <f t="shared" si="13"/>
        <v>2.6562983479710957E-2</v>
      </c>
      <c r="I63" s="47">
        <f t="shared" si="14"/>
        <v>4.43753223198073E-2</v>
      </c>
      <c r="J63" s="47">
        <f t="shared" si="15"/>
        <v>6.2187661159903651E-2</v>
      </c>
      <c r="K63" s="47">
        <v>0.08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2"/>
        <v>0.36221493246354636</v>
      </c>
      <c r="H64" s="55">
        <f t="shared" si="13"/>
        <v>0.36221493246354636</v>
      </c>
      <c r="I64" s="47">
        <f t="shared" si="14"/>
        <v>0.37147662164236422</v>
      </c>
      <c r="J64" s="47">
        <f t="shared" si="15"/>
        <v>0.38073831082118209</v>
      </c>
      <c r="K64" s="47">
        <f>1-K59-K60-K61-K62-K63-K65</f>
        <v>0.38999999999999996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2"/>
        <v>0.10678866884969246</v>
      </c>
      <c r="H65" s="55">
        <f t="shared" si="13"/>
        <v>0.10678866884969246</v>
      </c>
      <c r="I65" s="47">
        <f t="shared" si="14"/>
        <v>0.13785911256646163</v>
      </c>
      <c r="J65" s="47">
        <f t="shared" si="15"/>
        <v>0.16892955628323084</v>
      </c>
      <c r="K65" s="124">
        <v>0.2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16">SUM(G59:G65)</f>
        <v>1</v>
      </c>
      <c r="H66" s="159">
        <v>1</v>
      </c>
      <c r="I66" s="47">
        <f t="shared" ref="I66:J66" si="17">SUM(I59:I65)</f>
        <v>1</v>
      </c>
      <c r="J66" s="47">
        <f t="shared" si="17"/>
        <v>1</v>
      </c>
      <c r="K66" s="47">
        <f>SUM(K59:K65)</f>
        <v>1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-4.9884867516552973E-2</v>
      </c>
      <c r="J69" s="152">
        <f t="shared" ref="J69:K69" si="18">(I$97*(J59-I59)+I$98*(J60-I60)+I$99*(J61-I61)+I$100*(J62-I62)+I$101*(J63-I63)+I$102*(J64-I64)+I$103*(J65-I65))/(I$97*I59+I$98*I60+I$99*I61+I$100*I62+I$101*I63+I$102*I64+I$103*I65)</f>
        <v>-5.2404772908147296E-2</v>
      </c>
      <c r="K69" s="152">
        <f t="shared" si="18"/>
        <v>-5.5188940019944108E-2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31" t="s">
        <v>92</v>
      </c>
      <c r="G72" s="130" t="s">
        <v>91</v>
      </c>
      <c r="H72" s="130" t="s">
        <v>35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bord'!F12</f>
        <v>0.65</v>
      </c>
      <c r="G73" s="92">
        <f>'Tableau de bord'!F24</f>
        <v>0.45</v>
      </c>
      <c r="H73" s="92">
        <f>'Tableau de bord'!F27</f>
        <v>0.29250000000000004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4"/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54"/>
      <c r="G77" s="81">
        <f>H77/0.998^10</f>
        <v>217.49689276641024</v>
      </c>
      <c r="H77" s="54">
        <f>'Init. énergie'!D12</f>
        <v>213.18589628380153</v>
      </c>
      <c r="I77" s="81">
        <f>G77*60%/(1+I$55)</f>
        <v>137.34981287872463</v>
      </c>
      <c r="J77" s="81">
        <f>G77*50%/(1+I$55)/(1+J$55)</f>
        <v>120.80070023773787</v>
      </c>
      <c r="K77" s="81">
        <f>G77*40%/(1+I$55)/(1+J$55)/(1+K$55)</f>
        <v>102.30990532484735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54"/>
      <c r="G78" s="81">
        <f t="shared" ref="G78:G83" si="19">H78/0.998^10</f>
        <v>161.66488825773737</v>
      </c>
      <c r="H78" s="54">
        <f>'Init. énergie'!D13</f>
        <v>158.46053551606883</v>
      </c>
      <c r="I78" s="81">
        <f t="shared" ref="I78:I83" si="20">G78*60%/(1+I$55)</f>
        <v>102.09176723783246</v>
      </c>
      <c r="J78" s="81">
        <f t="shared" ref="J78:J83" si="21">G78*50%/(1+I$55)/(1+J$55)</f>
        <v>89.790853823206319</v>
      </c>
      <c r="K78" s="81">
        <f t="shared" ref="K78:K83" si="22">G78*40%/(1+I$55)/(1+J$55)/(1+K$55)</f>
        <v>76.046692905010204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54"/>
      <c r="G79" s="81">
        <f t="shared" si="19"/>
        <v>143.37944032379974</v>
      </c>
      <c r="H79" s="54">
        <f>'Init. énergie'!D14</f>
        <v>140.53752265291996</v>
      </c>
      <c r="I79" s="81">
        <f t="shared" si="20"/>
        <v>90.544462721499301</v>
      </c>
      <c r="J79" s="81">
        <f t="shared" si="21"/>
        <v>79.634870045761289</v>
      </c>
      <c r="K79" s="81">
        <f t="shared" si="22"/>
        <v>67.445271417335036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54"/>
      <c r="G80" s="81">
        <f t="shared" si="19"/>
        <v>136.11157911972029</v>
      </c>
      <c r="H80" s="54">
        <f>'Init. énergie'!D15</f>
        <v>133.41371741069062</v>
      </c>
      <c r="I80" s="81">
        <f t="shared" si="20"/>
        <v>85.954790824526711</v>
      </c>
      <c r="J80" s="81">
        <f t="shared" si="21"/>
        <v>75.598202158158827</v>
      </c>
      <c r="K80" s="81">
        <f t="shared" si="22"/>
        <v>64.026490660305583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54"/>
      <c r="G81" s="81">
        <f t="shared" si="19"/>
        <v>120.25101292640954</v>
      </c>
      <c r="H81" s="54">
        <f>'Init. énergie'!D16</f>
        <v>117.86752281231102</v>
      </c>
      <c r="I81" s="81">
        <f t="shared" si="20"/>
        <v>75.938804981724402</v>
      </c>
      <c r="J81" s="81">
        <f t="shared" si="21"/>
        <v>66.789030321498771</v>
      </c>
      <c r="K81" s="81">
        <f t="shared" si="22"/>
        <v>56.565726485716418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54"/>
      <c r="G82" s="81">
        <f t="shared" si="19"/>
        <v>62.862269751376544</v>
      </c>
      <c r="H82" s="54">
        <f>'Init. énergie'!D17</f>
        <v>61.616279427836453</v>
      </c>
      <c r="I82" s="81">
        <f t="shared" si="20"/>
        <v>39.697675114634634</v>
      </c>
      <c r="J82" s="81">
        <f t="shared" si="21"/>
        <v>34.914550308796997</v>
      </c>
      <c r="K82" s="81">
        <f t="shared" si="22"/>
        <v>29.570228728166949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54"/>
      <c r="G83" s="81">
        <f t="shared" si="19"/>
        <v>46.930133085061122</v>
      </c>
      <c r="H83" s="54">
        <f>'Init. énergie'!D18</f>
        <v>45.999932951694888</v>
      </c>
      <c r="I83" s="81">
        <f t="shared" si="20"/>
        <v>29.636492345339256</v>
      </c>
      <c r="J83" s="81">
        <f t="shared" si="21"/>
        <v>26.065627268589427</v>
      </c>
      <c r="K83" s="81">
        <f t="shared" si="22"/>
        <v>22.075798011384791</v>
      </c>
      <c r="M83" s="339"/>
      <c r="N83" s="33"/>
      <c r="O83" s="42"/>
      <c r="Q83" s="52"/>
      <c r="R83" s="52"/>
      <c r="V83" s="101"/>
    </row>
    <row r="84" spans="1:184" s="17" customFormat="1" ht="28.5" customHeight="1">
      <c r="A84" s="56"/>
      <c r="C84" s="40"/>
      <c r="D84" s="32"/>
      <c r="E84" s="91"/>
      <c r="F84" s="89"/>
      <c r="G84" s="123" t="s">
        <v>74</v>
      </c>
      <c r="H84" s="89"/>
      <c r="M84" s="97"/>
      <c r="N84" s="33"/>
      <c r="O84" s="42"/>
    </row>
    <row r="85" spans="1:184" s="17" customFormat="1" ht="69" customHeight="1">
      <c r="A85" s="56"/>
      <c r="C85" s="40"/>
      <c r="D85" s="32"/>
      <c r="F85" s="333" t="s">
        <v>70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23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23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23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23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23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23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71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>G77</f>
        <v>217.49689276641024</v>
      </c>
      <c r="H97" s="54">
        <f>H77</f>
        <v>213.18589628380153</v>
      </c>
      <c r="I97" s="81">
        <f>$H97*(1+$G87)^(I$96-$H$96)</f>
        <v>197.28681138656805</v>
      </c>
      <c r="J97" s="81">
        <f>$H97*(1+$G87)^(J$96-$H$96)</f>
        <v>182.57345643196135</v>
      </c>
      <c r="K97" s="81">
        <f>$H97*(1+$G87)^(K$96-$H$96)</f>
        <v>168.95740145650061</v>
      </c>
      <c r="L97" s="67"/>
      <c r="M97" s="79">
        <f>(K97-G97)/H97</f>
        <v>-0.22768622200641236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ref="G98:H103" si="24">G78</f>
        <v>161.66488825773737</v>
      </c>
      <c r="H98" s="54">
        <f t="shared" si="24"/>
        <v>158.46053551606883</v>
      </c>
      <c r="I98" s="81">
        <f t="shared" ref="I98:K103" si="25">$H98*(1+$G88)^(I$96-$H$96)</f>
        <v>150.73653068584596</v>
      </c>
      <c r="J98" s="81">
        <f t="shared" si="25"/>
        <v>143.38902496578328</v>
      </c>
      <c r="K98" s="81">
        <f t="shared" si="25"/>
        <v>136.39966627259403</v>
      </c>
      <c r="L98" s="67"/>
      <c r="M98" s="79">
        <f t="shared" ref="M98:M103" si="26">(K98-G98)/H98</f>
        <v>-0.15944173041483442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24"/>
        <v>143.37944032379974</v>
      </c>
      <c r="H99" s="54">
        <f t="shared" si="24"/>
        <v>140.53752265291996</v>
      </c>
      <c r="I99" s="81">
        <f t="shared" si="25"/>
        <v>135.042562729781</v>
      </c>
      <c r="J99" s="81">
        <f t="shared" si="25"/>
        <v>129.76245350264776</v>
      </c>
      <c r="K99" s="81">
        <f t="shared" si="25"/>
        <v>124.68879439677183</v>
      </c>
      <c r="L99" s="67"/>
      <c r="M99" s="79">
        <f t="shared" si="26"/>
        <v>-0.13299399031806955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24"/>
        <v>136.11157911972029</v>
      </c>
      <c r="H100" s="54">
        <f t="shared" si="24"/>
        <v>133.41371741069062</v>
      </c>
      <c r="I100" s="81">
        <f t="shared" si="25"/>
        <v>128.19729537243364</v>
      </c>
      <c r="J100" s="81">
        <f t="shared" si="25"/>
        <v>123.1848333122758</v>
      </c>
      <c r="K100" s="81">
        <f t="shared" si="25"/>
        <v>118.36835647810524</v>
      </c>
      <c r="L100" s="67"/>
      <c r="M100" s="79">
        <f t="shared" si="26"/>
        <v>-0.13299399031806949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24"/>
        <v>120.25101292640954</v>
      </c>
      <c r="H101" s="54">
        <f t="shared" si="24"/>
        <v>117.86752281231102</v>
      </c>
      <c r="I101" s="81">
        <f t="shared" si="25"/>
        <v>113.25895065402088</v>
      </c>
      <c r="J101" s="81">
        <f>$H101*(1+$G91)^(J$96-$H$96)</f>
        <v>108.83057179097786</v>
      </c>
      <c r="K101" s="81">
        <f>$H101*(1+$G91)^(K$96-$H$96)</f>
        <v>104.57534073869421</v>
      </c>
      <c r="L101" s="67"/>
      <c r="M101" s="79">
        <f t="shared" si="26"/>
        <v>-0.13299399031806955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24"/>
        <v>62.862269751376544</v>
      </c>
      <c r="H102" s="54">
        <f t="shared" si="24"/>
        <v>61.616279427836453</v>
      </c>
      <c r="I102" s="81">
        <f t="shared" si="25"/>
        <v>57.695862938979083</v>
      </c>
      <c r="J102" s="81">
        <f t="shared" si="25"/>
        <v>54.024888084521365</v>
      </c>
      <c r="K102" s="81">
        <f t="shared" si="25"/>
        <v>50.587483813734664</v>
      </c>
      <c r="L102" s="67"/>
      <c r="M102" s="79">
        <f t="shared" si="26"/>
        <v>-0.19921335808692933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24"/>
        <v>46.930133085061122</v>
      </c>
      <c r="H103" s="54">
        <f t="shared" si="24"/>
        <v>45.999932951694888</v>
      </c>
      <c r="I103" s="81">
        <f t="shared" si="25"/>
        <v>43.073126963005379</v>
      </c>
      <c r="J103" s="81">
        <f t="shared" si="25"/>
        <v>40.332542839126504</v>
      </c>
      <c r="K103" s="81">
        <f t="shared" si="25"/>
        <v>37.766331969980392</v>
      </c>
      <c r="L103" s="67"/>
      <c r="M103" s="79">
        <f t="shared" si="26"/>
        <v>-0.19921335808692925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93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>G$36*G45*$H$73*G77/1000</f>
        <v>340.42712651881629</v>
      </c>
      <c r="H107" s="54">
        <f>H$36*H45*$H$73*H77/1000</f>
        <v>333.67953520226638</v>
      </c>
      <c r="I107" s="126">
        <f>I$36*I45*$H$73*I77/1000</f>
        <v>182.92118940342817</v>
      </c>
      <c r="J107" s="126">
        <f>J$36*J45*$H$73*J77/1000</f>
        <v>139.36630377695155</v>
      </c>
      <c r="K107" s="126">
        <f>K$36*K45*$H$73*K77/1000</f>
        <v>97.873350506394559</v>
      </c>
      <c r="L107" s="46"/>
      <c r="M107" s="79">
        <f>(K107-G107)/H107</f>
        <v>-0.72690635901717204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ref="G108:K113" si="27">G$36*G46*$H$73*G78/1000</f>
        <v>1095.8096803492163</v>
      </c>
      <c r="H108" s="54">
        <f t="shared" si="27"/>
        <v>1074.0896841805002</v>
      </c>
      <c r="I108" s="126">
        <f t="shared" si="27"/>
        <v>578.06409216624809</v>
      </c>
      <c r="J108" s="126">
        <f t="shared" si="27"/>
        <v>429.53878989404689</v>
      </c>
      <c r="K108" s="126">
        <f t="shared" si="27"/>
        <v>290.9960518841998</v>
      </c>
      <c r="L108" s="46"/>
      <c r="M108" s="79">
        <f t="shared" ref="M108:M114" si="28">(K108-G108)/H108</f>
        <v>-0.74929835033195236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27"/>
        <v>186.37217481273967</v>
      </c>
      <c r="H109" s="54">
        <f t="shared" si="27"/>
        <v>182.6781000153735</v>
      </c>
      <c r="I109" s="126">
        <f t="shared" si="27"/>
        <v>116.56090640935844</v>
      </c>
      <c r="J109" s="126">
        <f t="shared" si="27"/>
        <v>105.43605679547049</v>
      </c>
      <c r="K109" s="126">
        <f t="shared" si="27"/>
        <v>90.328815532140013</v>
      </c>
      <c r="L109" s="46"/>
      <c r="M109" s="79">
        <f t="shared" si="28"/>
        <v>-0.52575190607148314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27"/>
        <v>37.877105882138736</v>
      </c>
      <c r="H110" s="54">
        <f t="shared" si="27"/>
        <v>37.126345408495247</v>
      </c>
      <c r="I110" s="126">
        <f t="shared" si="27"/>
        <v>20.960202351493553</v>
      </c>
      <c r="J110" s="126">
        <f t="shared" si="27"/>
        <v>16.585001292428245</v>
      </c>
      <c r="K110" s="126">
        <f t="shared" si="27"/>
        <v>12.250010675297897</v>
      </c>
      <c r="L110" s="46"/>
      <c r="M110" s="79">
        <f t="shared" si="28"/>
        <v>-0.69026711153144771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27"/>
        <v>62.826687442643966</v>
      </c>
      <c r="H111" s="54">
        <f t="shared" si="27"/>
        <v>61.58140239450271</v>
      </c>
      <c r="I111" s="126">
        <f t="shared" si="27"/>
        <v>64.371335486902169</v>
      </c>
      <c r="J111" s="126">
        <f t="shared" si="27"/>
        <v>80.050865342030093</v>
      </c>
      <c r="K111" s="126">
        <f t="shared" si="27"/>
        <v>86.580507056976955</v>
      </c>
      <c r="L111" s="46"/>
      <c r="M111" s="79">
        <f t="shared" si="28"/>
        <v>0.38573041033007494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27"/>
        <v>447.85247100879877</v>
      </c>
      <c r="H112" s="54">
        <f t="shared" si="27"/>
        <v>438.97560659621104</v>
      </c>
      <c r="I112" s="126">
        <f t="shared" si="27"/>
        <v>281.69802403402446</v>
      </c>
      <c r="J112" s="126">
        <f t="shared" si="27"/>
        <v>256.20623872830146</v>
      </c>
      <c r="K112" s="126">
        <f t="shared" si="27"/>
        <v>220.64600043446069</v>
      </c>
      <c r="L112" s="46"/>
      <c r="M112" s="79">
        <f t="shared" si="28"/>
        <v>-0.51758336262937843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27"/>
        <v>98.57244415717274</v>
      </c>
      <c r="H113" s="54">
        <f t="shared" si="27"/>
        <v>96.618644014841038</v>
      </c>
      <c r="I113" s="126">
        <f t="shared" si="27"/>
        <v>78.045796965296674</v>
      </c>
      <c r="J113" s="126">
        <f t="shared" si="27"/>
        <v>84.865366518020977</v>
      </c>
      <c r="K113" s="126">
        <f t="shared" si="27"/>
        <v>84.474022710365773</v>
      </c>
      <c r="L113" s="46"/>
      <c r="M113" s="79">
        <f t="shared" si="28"/>
        <v>-0.14591822924612136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2269.7376901715265</v>
      </c>
      <c r="H114" s="156">
        <f>SUM(H107:H113)</f>
        <v>2224.7493178121904</v>
      </c>
      <c r="I114" s="154">
        <f t="shared" ref="I114:J114" si="29">SUM(I107:I113)</f>
        <v>1322.6215468167516</v>
      </c>
      <c r="J114" s="154">
        <f t="shared" si="29"/>
        <v>1112.0486223472496</v>
      </c>
      <c r="K114" s="154">
        <f>SUM(K107:K113)</f>
        <v>883.14875879983583</v>
      </c>
      <c r="L114" s="21"/>
      <c r="M114" s="79">
        <f t="shared" si="28"/>
        <v>-0.62325625645556182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94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>G$36*G45*(1-$H$73)*G97/1000</f>
        <v>823.42629747713659</v>
      </c>
      <c r="H118" s="157">
        <f>H$36*H45*(1-$H$73)*H97/1000</f>
        <v>807.10520053197763</v>
      </c>
      <c r="I118" s="153">
        <f t="shared" ref="I118:K118" si="30">I$36*I45*(1-$H$73)*I97/1000</f>
        <v>635.52782816323315</v>
      </c>
      <c r="J118" s="153">
        <f t="shared" si="30"/>
        <v>509.47929786067357</v>
      </c>
      <c r="K118" s="153">
        <f t="shared" si="30"/>
        <v>390.95301643625862</v>
      </c>
      <c r="L118" s="46"/>
      <c r="M118" s="79">
        <f>(K118-G118)/H118</f>
        <v>-0.5358326036752421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ref="G119:K124" si="31">G$36*G46*(1-$H$73)*G98/1000</f>
        <v>2650.5482011865652</v>
      </c>
      <c r="H119" s="157">
        <f t="shared" si="31"/>
        <v>2598.0118001972783</v>
      </c>
      <c r="I119" s="153">
        <f t="shared" si="31"/>
        <v>2064.4499601367347</v>
      </c>
      <c r="J119" s="153">
        <f t="shared" si="31"/>
        <v>1659.1542863789684</v>
      </c>
      <c r="K119" s="153">
        <f t="shared" si="31"/>
        <v>1262.4687764009864</v>
      </c>
      <c r="L119" s="46"/>
      <c r="M119" s="79">
        <f t="shared" ref="M119:M125" si="32">(K119-G119)/H119</f>
        <v>-0.53428526563281042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31"/>
        <v>450.79765360688316</v>
      </c>
      <c r="H120" s="157">
        <f t="shared" si="31"/>
        <v>441.86241285769825</v>
      </c>
      <c r="I120" s="153">
        <f t="shared" si="31"/>
        <v>420.4963832963162</v>
      </c>
      <c r="J120" s="153">
        <f t="shared" si="31"/>
        <v>415.56168819378797</v>
      </c>
      <c r="K120" s="153">
        <f t="shared" si="31"/>
        <v>403.92692957506415</v>
      </c>
      <c r="L120" s="46"/>
      <c r="M120" s="79">
        <f t="shared" si="32"/>
        <v>-0.10607538153944251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31"/>
        <v>91.617273202096243</v>
      </c>
      <c r="H121" s="157">
        <f t="shared" si="31"/>
        <v>89.801331201744901</v>
      </c>
      <c r="I121" s="153">
        <f t="shared" si="31"/>
        <v>75.614453880519491</v>
      </c>
      <c r="J121" s="153">
        <f t="shared" si="31"/>
        <v>65.36749709017684</v>
      </c>
      <c r="K121" s="153">
        <f t="shared" si="31"/>
        <v>54.778856228600119</v>
      </c>
      <c r="L121" s="46"/>
      <c r="M121" s="79">
        <f t="shared" si="32"/>
        <v>-0.41022127935649499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31"/>
        <v>151.96540637836105</v>
      </c>
      <c r="H122" s="157">
        <f t="shared" si="31"/>
        <v>148.95330664653218</v>
      </c>
      <c r="I122" s="153">
        <f t="shared" si="31"/>
        <v>232.22120172208051</v>
      </c>
      <c r="J122" s="153">
        <f t="shared" si="31"/>
        <v>315.50945429833951</v>
      </c>
      <c r="K122" s="153">
        <f t="shared" si="31"/>
        <v>387.16547062585335</v>
      </c>
      <c r="L122" s="46"/>
      <c r="M122" s="79">
        <f t="shared" si="32"/>
        <v>1.5790187511957998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31"/>
        <v>1083.2670879956411</v>
      </c>
      <c r="H123" s="157">
        <f t="shared" si="31"/>
        <v>1061.7956980062197</v>
      </c>
      <c r="I123" s="153">
        <f t="shared" si="31"/>
        <v>990.29360521172919</v>
      </c>
      <c r="J123" s="153">
        <f t="shared" si="31"/>
        <v>958.90966871919022</v>
      </c>
      <c r="K123" s="153">
        <f t="shared" si="31"/>
        <v>913.02995855281313</v>
      </c>
      <c r="L123" s="46"/>
      <c r="M123" s="79">
        <f t="shared" si="32"/>
        <v>-0.16032945863548861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31"/>
        <v>238.42736492717847</v>
      </c>
      <c r="H124" s="157">
        <f t="shared" si="31"/>
        <v>233.70150646324797</v>
      </c>
      <c r="I124" s="153">
        <f t="shared" si="31"/>
        <v>274.36562224182012</v>
      </c>
      <c r="J124" s="153">
        <f t="shared" si="31"/>
        <v>317.62778649518827</v>
      </c>
      <c r="K124" s="153">
        <f t="shared" si="31"/>
        <v>349.55228421166908</v>
      </c>
      <c r="L124" s="46"/>
      <c r="M124" s="79">
        <f t="shared" si="32"/>
        <v>0.47549937082654692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5490.0492847738615</v>
      </c>
      <c r="H125" s="158">
        <f>SUM(H118:H124)</f>
        <v>5381.2312559046986</v>
      </c>
      <c r="I125" s="155">
        <f t="shared" ref="I125:K125" si="33">SUM(I118:I124)</f>
        <v>4692.9690546524334</v>
      </c>
      <c r="J125" s="155">
        <f t="shared" si="33"/>
        <v>4241.6096790363254</v>
      </c>
      <c r="K125" s="155">
        <f t="shared" si="33"/>
        <v>3761.8752920312445</v>
      </c>
      <c r="L125" s="21"/>
      <c r="M125" s="79">
        <f t="shared" si="32"/>
        <v>-0.32114843435623258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72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1140.7847357342439</v>
      </c>
      <c r="I129" s="153">
        <f t="shared" ref="I129:K129" si="34">I107+I118</f>
        <v>818.44901756666127</v>
      </c>
      <c r="J129" s="153">
        <f t="shared" si="34"/>
        <v>648.84560163762512</v>
      </c>
      <c r="K129" s="153">
        <f t="shared" si="34"/>
        <v>488.82636694265318</v>
      </c>
      <c r="L129" s="46"/>
      <c r="M129" s="79">
        <f>(K129-G129)/H129</f>
        <v>0.42850009439162912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5" si="35">H108+H119</f>
        <v>3672.1014843777784</v>
      </c>
      <c r="I130" s="153">
        <f t="shared" si="35"/>
        <v>2642.5140523029827</v>
      </c>
      <c r="J130" s="153">
        <f t="shared" si="35"/>
        <v>2088.6930762730153</v>
      </c>
      <c r="K130" s="153">
        <f t="shared" si="35"/>
        <v>1553.4648282851863</v>
      </c>
      <c r="L130" s="46"/>
      <c r="M130" s="79">
        <f t="shared" ref="M130:M136" si="36">(K130-G130)/H130</f>
        <v>0.4230451785970763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si="35"/>
        <v>624.54051287307175</v>
      </c>
      <c r="I131" s="153">
        <f t="shared" si="35"/>
        <v>537.05728970567463</v>
      </c>
      <c r="J131" s="153">
        <f t="shared" si="35"/>
        <v>520.99774498925842</v>
      </c>
      <c r="K131" s="153">
        <f t="shared" si="35"/>
        <v>494.25574510720418</v>
      </c>
      <c r="L131" s="46"/>
      <c r="M131" s="79">
        <f t="shared" si="36"/>
        <v>0.79139100653932126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si="35"/>
        <v>126.92767661024016</v>
      </c>
      <c r="I132" s="153">
        <f t="shared" si="35"/>
        <v>96.574656232013041</v>
      </c>
      <c r="J132" s="153">
        <f t="shared" si="35"/>
        <v>81.952498382605086</v>
      </c>
      <c r="K132" s="153">
        <f t="shared" si="35"/>
        <v>67.02886690389802</v>
      </c>
      <c r="L132" s="46"/>
      <c r="M132" s="79">
        <f t="shared" si="36"/>
        <v>0.52808708623671696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si="35"/>
        <v>210.53470904103489</v>
      </c>
      <c r="I133" s="153">
        <f t="shared" si="35"/>
        <v>296.59253720898266</v>
      </c>
      <c r="J133" s="153">
        <f t="shared" si="35"/>
        <v>395.56031964036958</v>
      </c>
      <c r="K133" s="153">
        <f t="shared" si="35"/>
        <v>473.7459776828303</v>
      </c>
      <c r="L133" s="46"/>
      <c r="M133" s="79">
        <f t="shared" si="36"/>
        <v>2.2502036829969612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si="35"/>
        <v>1500.7713046024307</v>
      </c>
      <c r="I134" s="153">
        <f t="shared" si="35"/>
        <v>1271.9916292457538</v>
      </c>
      <c r="J134" s="153">
        <f t="shared" si="35"/>
        <v>1215.1159074474917</v>
      </c>
      <c r="K134" s="153">
        <f t="shared" si="35"/>
        <v>1133.6759589872738</v>
      </c>
      <c r="L134" s="46"/>
      <c r="M134" s="79">
        <f t="shared" si="36"/>
        <v>0.75539554595068426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si="35"/>
        <v>330.32015047808898</v>
      </c>
      <c r="I135" s="153">
        <f t="shared" si="35"/>
        <v>352.41141920711681</v>
      </c>
      <c r="J135" s="153">
        <f t="shared" si="35"/>
        <v>402.49315301320928</v>
      </c>
      <c r="K135" s="153">
        <f t="shared" si="35"/>
        <v>434.02630692203485</v>
      </c>
      <c r="L135" s="46"/>
      <c r="M135" s="79">
        <f t="shared" si="36"/>
        <v>1.3139564943096773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7605.9805737168899</v>
      </c>
      <c r="I136" s="155">
        <f t="shared" ref="I136:K136" si="37">SUM(I129:I135)</f>
        <v>6015.5906014691845</v>
      </c>
      <c r="J136" s="155">
        <f t="shared" si="37"/>
        <v>5353.6583013835734</v>
      </c>
      <c r="K136" s="155">
        <f t="shared" si="37"/>
        <v>4645.0240508310808</v>
      </c>
      <c r="L136" s="21"/>
      <c r="M136" s="79">
        <f t="shared" si="36"/>
        <v>0.61070679918409931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76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énergie'!C12</f>
        <v>0</v>
      </c>
      <c r="I142" s="47">
        <f>H142</f>
        <v>0</v>
      </c>
      <c r="J142" s="47">
        <f>I142</f>
        <v>0</v>
      </c>
      <c r="K142" s="47">
        <f>J142</f>
        <v>0</v>
      </c>
      <c r="M142" s="334" t="s">
        <v>41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énergie'!C13</f>
        <v>0.38923402073260943</v>
      </c>
      <c r="I143" s="47">
        <f t="shared" ref="I143:K143" si="38">H143</f>
        <v>0.38923402073260943</v>
      </c>
      <c r="J143" s="47">
        <f t="shared" si="38"/>
        <v>0.38923402073260943</v>
      </c>
      <c r="K143" s="47">
        <f t="shared" si="38"/>
        <v>0.38923402073260943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énergie'!C14</f>
        <v>6.6076657693018501E-2</v>
      </c>
      <c r="I144" s="47">
        <f t="shared" ref="I144:K144" si="39">H144</f>
        <v>6.6076657693018501E-2</v>
      </c>
      <c r="J144" s="47">
        <f t="shared" si="39"/>
        <v>6.6076657693018501E-2</v>
      </c>
      <c r="K144" s="47">
        <f t="shared" si="39"/>
        <v>6.6076657693018501E-2</v>
      </c>
      <c r="M144" s="335"/>
      <c r="N144" s="33"/>
      <c r="O144" s="42"/>
    </row>
    <row r="145" spans="1:15" s="17" customFormat="1">
      <c r="A145" s="56"/>
      <c r="C145" s="40"/>
      <c r="D145" s="32"/>
      <c r="E145" s="6" t="s">
        <v>22</v>
      </c>
      <c r="F145" s="55"/>
      <c r="G145" s="55"/>
      <c r="H145" s="55">
        <f>'Init. énergie'!C15</f>
        <v>1.4740928196769911E-2</v>
      </c>
      <c r="I145" s="47">
        <f t="shared" ref="I145:K145" si="40">H145</f>
        <v>1.4740928196769911E-2</v>
      </c>
      <c r="J145" s="47">
        <f t="shared" si="40"/>
        <v>1.4740928196769911E-2</v>
      </c>
      <c r="K145" s="47">
        <f t="shared" si="40"/>
        <v>1.4740928196769911E-2</v>
      </c>
      <c r="M145" s="335"/>
      <c r="N145" s="33"/>
      <c r="O145" s="42"/>
    </row>
    <row r="146" spans="1:15" s="17" customFormat="1">
      <c r="A146" s="56"/>
      <c r="C146" s="40"/>
      <c r="D146" s="32"/>
      <c r="E146" s="6" t="s">
        <v>42</v>
      </c>
      <c r="F146" s="55"/>
      <c r="G146" s="55"/>
      <c r="H146" s="55">
        <f>'Init. énergie'!C16</f>
        <v>2.5736644706610589E-2</v>
      </c>
      <c r="I146" s="47">
        <f t="shared" ref="I146:K146" si="41">H146</f>
        <v>2.5736644706610589E-2</v>
      </c>
      <c r="J146" s="47">
        <f t="shared" si="41"/>
        <v>2.5736644706610589E-2</v>
      </c>
      <c r="K146" s="47">
        <f t="shared" si="41"/>
        <v>2.5736644706610589E-2</v>
      </c>
      <c r="M146" s="335"/>
      <c r="N146" s="33"/>
      <c r="O146" s="42"/>
    </row>
    <row r="147" spans="1:15" s="17" customFormat="1">
      <c r="A147" s="56"/>
      <c r="C147" s="40"/>
      <c r="D147" s="32"/>
      <c r="E147" s="6" t="s">
        <v>25</v>
      </c>
      <c r="F147" s="55"/>
      <c r="G147" s="85"/>
      <c r="H147" s="55">
        <f>'Init. énergie'!C17</f>
        <v>8.0042733231366181E-2</v>
      </c>
      <c r="I147" s="47">
        <f t="shared" ref="I147:K147" si="42">H147</f>
        <v>8.0042733231366181E-2</v>
      </c>
      <c r="J147" s="47">
        <f t="shared" si="42"/>
        <v>8.0042733231366181E-2</v>
      </c>
      <c r="K147" s="47">
        <f t="shared" si="42"/>
        <v>8.0042733231366181E-2</v>
      </c>
      <c r="M147" s="335"/>
      <c r="N147" s="33"/>
      <c r="O147" s="42"/>
    </row>
    <row r="148" spans="1:15" s="17" customFormat="1">
      <c r="A148" s="56"/>
      <c r="C148" s="40"/>
      <c r="D148" s="32"/>
      <c r="E148" s="6" t="s">
        <v>26</v>
      </c>
      <c r="F148" s="55"/>
      <c r="G148" s="85"/>
      <c r="H148" s="55">
        <f>'Init. énergie'!C18</f>
        <v>0.42416901543962537</v>
      </c>
      <c r="I148" s="47">
        <f t="shared" ref="I148:K148" si="43">H148</f>
        <v>0.42416901543962537</v>
      </c>
      <c r="J148" s="47">
        <f t="shared" si="43"/>
        <v>0.42416901543962537</v>
      </c>
      <c r="K148" s="47">
        <f t="shared" si="43"/>
        <v>0.42416901543962537</v>
      </c>
      <c r="M148" s="335"/>
      <c r="N148" s="33"/>
      <c r="O148" s="42"/>
    </row>
    <row r="149" spans="1:15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1</v>
      </c>
      <c r="I149" s="15">
        <f t="shared" ref="I149:K149" si="44">SUM(I142:I148)</f>
        <v>1</v>
      </c>
      <c r="J149" s="15">
        <f t="shared" si="44"/>
        <v>1</v>
      </c>
      <c r="K149" s="15">
        <f t="shared" si="44"/>
        <v>1</v>
      </c>
      <c r="M149" s="336"/>
      <c r="N149" s="33"/>
      <c r="O149" s="42"/>
    </row>
    <row r="150" spans="1:15" s="17" customFormat="1">
      <c r="A150" s="56"/>
      <c r="C150" s="40"/>
      <c r="D150" s="32"/>
      <c r="M150" s="65"/>
      <c r="N150" s="33"/>
      <c r="O150" s="42"/>
    </row>
    <row r="151" spans="1:15" s="17" customFormat="1" ht="30.75" customHeight="1">
      <c r="A151" s="56"/>
      <c r="C151" s="40"/>
      <c r="D151" s="32"/>
      <c r="F151" s="333" t="s">
        <v>77</v>
      </c>
      <c r="G151" s="333"/>
      <c r="H151" s="333"/>
      <c r="I151" s="333"/>
      <c r="J151" s="333"/>
      <c r="K151" s="333"/>
      <c r="M151" s="65"/>
      <c r="N151" s="33"/>
      <c r="O151" s="42"/>
    </row>
    <row r="152" spans="1:15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5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102.30990532484735</v>
      </c>
      <c r="J153" s="45">
        <f>K153</f>
        <v>102.30990532484735</v>
      </c>
      <c r="K153" s="45">
        <f t="shared" ref="K153:K159" si="45">K77</f>
        <v>102.30990532484735</v>
      </c>
      <c r="M153" s="334" t="s">
        <v>38</v>
      </c>
      <c r="N153" s="33"/>
      <c r="O153" s="42"/>
    </row>
    <row r="154" spans="1:15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J159" si="46">J154</f>
        <v>76.046692905010204</v>
      </c>
      <c r="J154" s="45">
        <f t="shared" si="46"/>
        <v>76.046692905010204</v>
      </c>
      <c r="K154" s="45">
        <f t="shared" si="45"/>
        <v>76.046692905010204</v>
      </c>
      <c r="M154" s="335"/>
      <c r="N154" s="33"/>
      <c r="O154" s="42"/>
    </row>
    <row r="155" spans="1:15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46"/>
        <v>67.445271417335036</v>
      </c>
      <c r="J155" s="45">
        <f t="shared" si="46"/>
        <v>67.445271417335036</v>
      </c>
      <c r="K155" s="45">
        <f t="shared" si="45"/>
        <v>67.445271417335036</v>
      </c>
      <c r="M155" s="335"/>
      <c r="N155" s="33"/>
      <c r="O155" s="42"/>
    </row>
    <row r="156" spans="1:15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46"/>
        <v>64.026490660305583</v>
      </c>
      <c r="J156" s="45">
        <f t="shared" si="46"/>
        <v>64.026490660305583</v>
      </c>
      <c r="K156" s="45">
        <f t="shared" si="45"/>
        <v>64.026490660305583</v>
      </c>
      <c r="M156" s="335"/>
      <c r="N156" s="33"/>
      <c r="O156" s="42"/>
    </row>
    <row r="157" spans="1:15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46"/>
        <v>56.565726485716418</v>
      </c>
      <c r="J157" s="45">
        <f t="shared" si="46"/>
        <v>56.565726485716418</v>
      </c>
      <c r="K157" s="45">
        <f t="shared" si="45"/>
        <v>56.565726485716418</v>
      </c>
      <c r="M157" s="335"/>
      <c r="N157" s="33"/>
      <c r="O157" s="42"/>
    </row>
    <row r="158" spans="1:15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46"/>
        <v>29.570228728166949</v>
      </c>
      <c r="J158" s="45">
        <f t="shared" si="46"/>
        <v>29.570228728166949</v>
      </c>
      <c r="K158" s="45">
        <f t="shared" si="45"/>
        <v>29.570228728166949</v>
      </c>
      <c r="M158" s="335"/>
      <c r="N158" s="33"/>
      <c r="O158" s="42"/>
    </row>
    <row r="159" spans="1:15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46"/>
        <v>22.075798011384791</v>
      </c>
      <c r="J159" s="45">
        <f t="shared" si="46"/>
        <v>22.075798011384791</v>
      </c>
      <c r="K159" s="45">
        <f t="shared" si="45"/>
        <v>22.075798011384791</v>
      </c>
      <c r="M159" s="336"/>
      <c r="N159" s="33"/>
      <c r="O159" s="42"/>
    </row>
    <row r="160" spans="1:15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73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47">I$35*I142*I153/1000</f>
        <v>0</v>
      </c>
      <c r="J163" s="10">
        <f t="shared" si="47"/>
        <v>0</v>
      </c>
      <c r="K163" s="10">
        <f t="shared" si="47"/>
        <v>0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9" si="48">H$35*H143*H154/1000</f>
        <v>0</v>
      </c>
      <c r="I164" s="10">
        <f t="shared" si="48"/>
        <v>75.137200739473158</v>
      </c>
      <c r="J164" s="10">
        <f t="shared" si="48"/>
        <v>72.680163715725186</v>
      </c>
      <c r="K164" s="10">
        <f t="shared" si="48"/>
        <v>58.264480470854124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si="48"/>
        <v>0</v>
      </c>
      <c r="I165" s="10">
        <f t="shared" si="48"/>
        <v>11.312626808217113</v>
      </c>
      <c r="J165" s="10">
        <f t="shared" si="48"/>
        <v>10.94269629936025</v>
      </c>
      <c r="K165" s="10">
        <f t="shared" si="48"/>
        <v>8.7722768116800118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si="48"/>
        <v>0</v>
      </c>
      <c r="I166" s="10">
        <f t="shared" si="48"/>
        <v>2.3957881675309811</v>
      </c>
      <c r="J166" s="10">
        <f t="shared" si="48"/>
        <v>2.3174442823349959</v>
      </c>
      <c r="K166" s="10">
        <f t="shared" si="48"/>
        <v>1.8577928313222249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si="48"/>
        <v>0</v>
      </c>
      <c r="I167" s="10">
        <f t="shared" si="48"/>
        <v>3.6954657611161399</v>
      </c>
      <c r="J167" s="10">
        <f t="shared" si="48"/>
        <v>3.5746215440612801</v>
      </c>
      <c r="K167" s="10">
        <f t="shared" si="48"/>
        <v>2.8656163731176432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si="48"/>
        <v>0</v>
      </c>
      <c r="I168" s="10">
        <f t="shared" si="48"/>
        <v>6.0081460386964727</v>
      </c>
      <c r="J168" s="10">
        <f t="shared" si="48"/>
        <v>5.8116756203700319</v>
      </c>
      <c r="K168" s="10">
        <f t="shared" si="48"/>
        <v>4.6589639232296571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si="48"/>
        <v>0</v>
      </c>
      <c r="I169" s="10">
        <f t="shared" si="48"/>
        <v>23.769455832628854</v>
      </c>
      <c r="J169" s="10">
        <f t="shared" si="48"/>
        <v>22.992178632515774</v>
      </c>
      <c r="K169" s="10">
        <f t="shared" si="48"/>
        <v>18.431815153255652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49">SUM(I163:I169)</f>
        <v>122.31868334766271</v>
      </c>
      <c r="J170" s="11">
        <f t="shared" si="49"/>
        <v>118.31878009436751</v>
      </c>
      <c r="K170" s="11">
        <f t="shared" si="49"/>
        <v>94.850945563459334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M174" s="65"/>
    </row>
    <row r="175" spans="1:15" s="17" customFormat="1">
      <c r="A175" s="56"/>
      <c r="M175" s="65"/>
    </row>
    <row r="176" spans="1:15" s="17" customFormat="1">
      <c r="A176" s="56"/>
      <c r="M176" s="65"/>
    </row>
    <row r="177" spans="1:13" s="17" customFormat="1">
      <c r="A177" s="56"/>
      <c r="M177" s="65"/>
    </row>
    <row r="178" spans="1:13" s="17" customFormat="1">
      <c r="A178" s="56"/>
      <c r="M178" s="65"/>
    </row>
    <row r="179" spans="1:13" s="17" customFormat="1">
      <c r="A179" s="56"/>
      <c r="M179" s="65"/>
    </row>
    <row r="180" spans="1:13" s="17" customFormat="1">
      <c r="A180" s="56"/>
      <c r="M180" s="65"/>
    </row>
    <row r="181" spans="1:13" s="17" customFormat="1">
      <c r="A181" s="56"/>
      <c r="M181" s="65"/>
    </row>
    <row r="182" spans="1:13" s="17" customFormat="1">
      <c r="A182" s="56"/>
      <c r="M182" s="65"/>
    </row>
    <row r="183" spans="1:13" s="17" customFormat="1">
      <c r="A183" s="56"/>
      <c r="M183" s="65"/>
    </row>
    <row r="184" spans="1:13" s="17" customFormat="1">
      <c r="A184" s="56"/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0">
    <mergeCell ref="F161:K161"/>
    <mergeCell ref="F85:G85"/>
    <mergeCell ref="M87:M93"/>
    <mergeCell ref="F95:K95"/>
    <mergeCell ref="F105:K105"/>
    <mergeCell ref="F116:K116"/>
    <mergeCell ref="F127:K127"/>
    <mergeCell ref="E138:M138"/>
    <mergeCell ref="F140:K140"/>
    <mergeCell ref="M142:M149"/>
    <mergeCell ref="F151:K151"/>
    <mergeCell ref="M153:M159"/>
    <mergeCell ref="M77:M83"/>
    <mergeCell ref="D29:N29"/>
    <mergeCell ref="F32:K32"/>
    <mergeCell ref="D39:N39"/>
    <mergeCell ref="E41:M41"/>
    <mergeCell ref="F43:K43"/>
    <mergeCell ref="M45:M51"/>
    <mergeCell ref="F54:K54"/>
    <mergeCell ref="F57:K57"/>
    <mergeCell ref="M59:M65"/>
    <mergeCell ref="F68:K68"/>
    <mergeCell ref="F75:K75"/>
    <mergeCell ref="C27:O27"/>
    <mergeCell ref="C1:O1"/>
    <mergeCell ref="C3:O3"/>
    <mergeCell ref="F5:K5"/>
    <mergeCell ref="F11:K11"/>
    <mergeCell ref="F22:K22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  <pageSetUpPr fitToPage="1"/>
  </sheetPr>
  <dimension ref="A1:GB1589"/>
  <sheetViews>
    <sheetView showGridLines="0" topLeftCell="A117" zoomScaleNormal="100" workbookViewId="0">
      <selection activeCell="K73" sqref="K73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64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65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66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 t="shared" ref="H7:K8" si="0">H34</f>
        <v>184229.64520786435</v>
      </c>
      <c r="I7" s="10">
        <f t="shared" si="0"/>
        <v>183396.52889302961</v>
      </c>
      <c r="J7" s="10">
        <f t="shared" si="0"/>
        <v>182251.82086992491</v>
      </c>
      <c r="K7" s="10">
        <f t="shared" si="0"/>
        <v>177206.5299487029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8548.2555376449054</v>
      </c>
      <c r="J8" s="76">
        <f t="shared" si="0"/>
        <v>8509.5989406365734</v>
      </c>
      <c r="K8" s="76">
        <f t="shared" si="0"/>
        <v>8456.4844883645164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1">H36</f>
        <v>184229.64520786435</v>
      </c>
      <c r="I9" s="96">
        <f t="shared" si="1"/>
        <v>174848.27335538471</v>
      </c>
      <c r="J9" s="96">
        <f t="shared" si="1"/>
        <v>173742.22192928832</v>
      </c>
      <c r="K9" s="96">
        <f t="shared" si="1"/>
        <v>168750.04546033838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67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3424.0581411789453</v>
      </c>
      <c r="I13" s="86">
        <f t="shared" ref="I13:K13" si="2">I129+I163</f>
        <v>2100.7806860138726</v>
      </c>
      <c r="J13" s="86">
        <f t="shared" si="2"/>
        <v>1297.4248611204637</v>
      </c>
      <c r="K13" s="86">
        <f t="shared" si="2"/>
        <v>605.86091646950672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9" si="3">H130+H164</f>
        <v>7860.7872905325057</v>
      </c>
      <c r="I14" s="86">
        <f t="shared" si="3"/>
        <v>6102.4654467810205</v>
      </c>
      <c r="J14" s="86">
        <f t="shared" si="3"/>
        <v>5203.8589008673116</v>
      </c>
      <c r="K14" s="86">
        <f t="shared" si="3"/>
        <v>4284.870394615672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si="3"/>
        <v>389.32830220965593</v>
      </c>
      <c r="I15" s="86">
        <f t="shared" si="3"/>
        <v>354.68877880165178</v>
      </c>
      <c r="J15" s="86">
        <f t="shared" si="3"/>
        <v>353.50985567271886</v>
      </c>
      <c r="K15" s="86">
        <f t="shared" si="3"/>
        <v>341.9355995447674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si="3"/>
        <v>160.79190512601076</v>
      </c>
      <c r="I16" s="86">
        <f t="shared" si="3"/>
        <v>141.53527563335228</v>
      </c>
      <c r="J16" s="86">
        <f t="shared" si="3"/>
        <v>137.07514350092876</v>
      </c>
      <c r="K16" s="86">
        <f t="shared" si="3"/>
        <v>129.15416724718196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si="3"/>
        <v>140.34318919677133</v>
      </c>
      <c r="I17" s="86">
        <f t="shared" si="3"/>
        <v>108.93187761454791</v>
      </c>
      <c r="J17" s="86">
        <f t="shared" si="3"/>
        <v>92.184860909026767</v>
      </c>
      <c r="K17" s="86">
        <f t="shared" si="3"/>
        <v>75.106415351497233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si="3"/>
        <v>3469.5160374453076</v>
      </c>
      <c r="I18" s="86">
        <f t="shared" si="3"/>
        <v>3404.1386133194069</v>
      </c>
      <c r="J18" s="86">
        <f t="shared" si="3"/>
        <v>3555.0214759129708</v>
      </c>
      <c r="K18" s="86">
        <f t="shared" si="3"/>
        <v>3559.8280669761089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si="3"/>
        <v>818.64485552683095</v>
      </c>
      <c r="I19" s="86">
        <f t="shared" si="3"/>
        <v>967.40861317059239</v>
      </c>
      <c r="J19" s="86">
        <f t="shared" si="3"/>
        <v>1108.5043859303726</v>
      </c>
      <c r="K19" s="86">
        <f t="shared" si="3"/>
        <v>1187.9321725609425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16263.46972121603</v>
      </c>
      <c r="I20" s="13">
        <f t="shared" ref="I20:K20" si="4">SUM(I13:I19)</f>
        <v>13179.949291334444</v>
      </c>
      <c r="J20" s="13">
        <f t="shared" si="4"/>
        <v>11747.579483913794</v>
      </c>
      <c r="K20" s="13">
        <f t="shared" si="4"/>
        <v>10184.687732765678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-0.43055329724560276</v>
      </c>
      <c r="J23" s="188">
        <f t="shared" ref="J23:K23" si="5">J114/$G114-1</f>
        <v>-0.52846290906857907</v>
      </c>
      <c r="K23" s="188">
        <f t="shared" si="5"/>
        <v>-0.63360935690900444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-0.15446224246413653</v>
      </c>
      <c r="J24" s="188">
        <f t="shared" ref="J24:K24" si="6">J125/$G125-1</f>
        <v>-0.23687690201114231</v>
      </c>
      <c r="K24" s="188">
        <f t="shared" si="6"/>
        <v>-0.32732651036007387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68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69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184229.64520786435</v>
      </c>
      <c r="H34" s="126">
        <f>'Init. parc'!C6</f>
        <v>184229.64520786435</v>
      </c>
      <c r="I34" s="126">
        <f>'Init. parc'!D6</f>
        <v>183396.52889302961</v>
      </c>
      <c r="J34" s="126">
        <f>'Init. parc'!E6</f>
        <v>182251.82086992491</v>
      </c>
      <c r="K34" s="126">
        <f>'Init. parc'!F6</f>
        <v>177206.5299487029</v>
      </c>
      <c r="L34" s="65"/>
      <c r="M34" s="65"/>
      <c r="N34" s="65"/>
      <c r="O34" s="42"/>
    </row>
    <row r="35" spans="1:17" s="17" customFormat="1" ht="21">
      <c r="A35" s="56"/>
      <c r="C35" s="40"/>
      <c r="D35" s="32"/>
      <c r="E35" s="83" t="s">
        <v>29</v>
      </c>
      <c r="F35" s="55"/>
      <c r="G35" s="195"/>
      <c r="H35" s="126">
        <v>0</v>
      </c>
      <c r="I35" s="126">
        <f>'Init. parc'!N6</f>
        <v>8548.2555376449054</v>
      </c>
      <c r="J35" s="126">
        <f>'Init. parc'!O6</f>
        <v>8509.5989406365734</v>
      </c>
      <c r="K35" s="126">
        <f>'Init. parc'!P6</f>
        <v>8456.4844883645164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30</v>
      </c>
      <c r="F36" s="55"/>
      <c r="G36" s="195">
        <f>G34-G35</f>
        <v>184229.64520786435</v>
      </c>
      <c r="H36" s="126">
        <f>H34-H35</f>
        <v>184229.64520786435</v>
      </c>
      <c r="I36" s="126">
        <f>I34-I35</f>
        <v>174848.27335538471</v>
      </c>
      <c r="J36" s="126">
        <f>J34-J35</f>
        <v>173742.22192928832</v>
      </c>
      <c r="K36" s="126">
        <f>K34-K35</f>
        <v>168750.04546033838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0.1836452867363588</v>
      </c>
      <c r="H45" s="55">
        <f>'Init. énergie'!B21</f>
        <v>0.1836452867363588</v>
      </c>
      <c r="I45" s="47">
        <f>H45+((K45-H45)/3)</f>
        <v>0.1390968578242392</v>
      </c>
      <c r="J45" s="47">
        <f>H45+((K45-H45)/3*2)</f>
        <v>9.4548428912119606E-2</v>
      </c>
      <c r="K45" s="47">
        <v>0.05</v>
      </c>
      <c r="L45" s="64"/>
      <c r="M45" s="334"/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7">H46</f>
        <v>0.39294128743187395</v>
      </c>
      <c r="H46" s="55">
        <f>'Init. énergie'!B22</f>
        <v>0.39294128743187395</v>
      </c>
      <c r="I46" s="47">
        <f t="shared" ref="I46:I51" si="8">H46+((K46-H46)/3)</f>
        <v>0.36196085828791597</v>
      </c>
      <c r="J46" s="47">
        <f t="shared" ref="J46:J51" si="9">H46+((K46-H46)/3*2)</f>
        <v>0.33098042914395798</v>
      </c>
      <c r="K46" s="47">
        <v>0.3</v>
      </c>
      <c r="L46" s="64"/>
      <c r="M46" s="335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7"/>
        <v>4.1639881083029275E-2</v>
      </c>
      <c r="H47" s="55">
        <f>'Init. énergie'!B23</f>
        <v>4.1639881083029275E-2</v>
      </c>
      <c r="I47" s="47">
        <f t="shared" si="8"/>
        <v>4.4426587388686184E-2</v>
      </c>
      <c r="J47" s="47">
        <f t="shared" si="9"/>
        <v>4.7213293694343093E-2</v>
      </c>
      <c r="K47" s="47">
        <v>0.05</v>
      </c>
      <c r="L47" s="64"/>
      <c r="M47" s="335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7"/>
        <v>1.8191868324415598E-2</v>
      </c>
      <c r="H48" s="55">
        <f>'Init. énergie'!B24</f>
        <v>1.8191868324415598E-2</v>
      </c>
      <c r="I48" s="47">
        <f t="shared" si="8"/>
        <v>1.8794578882943731E-2</v>
      </c>
      <c r="J48" s="47">
        <f t="shared" si="9"/>
        <v>1.9397289441471868E-2</v>
      </c>
      <c r="K48" s="47">
        <v>0.02</v>
      </c>
      <c r="L48" s="64"/>
      <c r="M48" s="335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7"/>
        <v>1.3815793734488184E-2</v>
      </c>
      <c r="H49" s="55">
        <f>'Init. énergie'!B25</f>
        <v>1.3815793734488184E-2</v>
      </c>
      <c r="I49" s="47">
        <f t="shared" si="8"/>
        <v>1.2543862489658789E-2</v>
      </c>
      <c r="J49" s="47">
        <f t="shared" si="9"/>
        <v>1.1271931244829395E-2</v>
      </c>
      <c r="K49" s="47">
        <v>0.01</v>
      </c>
      <c r="L49" s="64"/>
      <c r="M49" s="335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7"/>
        <v>0.26215626418619603</v>
      </c>
      <c r="H50" s="55">
        <f>'Init. énergie'!B26</f>
        <v>0.26215626418619603</v>
      </c>
      <c r="I50" s="47">
        <f t="shared" si="8"/>
        <v>0.3047708427907973</v>
      </c>
      <c r="J50" s="47">
        <f t="shared" si="9"/>
        <v>0.34738542139539857</v>
      </c>
      <c r="K50" s="47">
        <f>1-K45-K46-K47-K48-K49-K51</f>
        <v>0.38999999999999985</v>
      </c>
      <c r="L50" s="64"/>
      <c r="M50" s="335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7"/>
        <v>8.7609618503638187E-2</v>
      </c>
      <c r="H51" s="55">
        <f>'Init. énergie'!B27</f>
        <v>8.7609618503638187E-2</v>
      </c>
      <c r="I51" s="47">
        <f t="shared" si="8"/>
        <v>0.11840641233575878</v>
      </c>
      <c r="J51" s="47">
        <f t="shared" si="9"/>
        <v>0.14920320616787938</v>
      </c>
      <c r="K51" s="124">
        <v>0.18</v>
      </c>
      <c r="L51" s="64"/>
      <c r="M51" s="336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J52" si="10">SUM(G45:G51)</f>
        <v>1</v>
      </c>
      <c r="H52" s="159">
        <f t="shared" si="10"/>
        <v>1</v>
      </c>
      <c r="I52" s="165">
        <f t="shared" si="10"/>
        <v>1.0000000000000002</v>
      </c>
      <c r="J52" s="165">
        <f t="shared" si="10"/>
        <v>1</v>
      </c>
      <c r="K52" s="165">
        <f>SUM(K45:K51)</f>
        <v>0.99999999999999978</v>
      </c>
      <c r="L52" s="63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K55" si="11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-3.5671850564829362E-2</v>
      </c>
      <c r="J55" s="152">
        <f t="shared" si="11"/>
        <v>-3.699140234133285E-2</v>
      </c>
      <c r="K55" s="152">
        <f t="shared" si="11"/>
        <v>-3.8412328229746752E-2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>
        <v>2006</v>
      </c>
      <c r="G58" s="4">
        <v>2015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0.1836452867363588</v>
      </c>
      <c r="H59" s="55">
        <f>H45</f>
        <v>0.1836452867363588</v>
      </c>
      <c r="I59" s="47">
        <f>H59+((K59-H59)/3)</f>
        <v>0.1390968578242392</v>
      </c>
      <c r="J59" s="47">
        <f>H59+((K59-H59)/3*2)</f>
        <v>9.4548428912119606E-2</v>
      </c>
      <c r="K59" s="47">
        <v>0.05</v>
      </c>
      <c r="L59" s="64"/>
      <c r="M59" s="334"/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2">H60</f>
        <v>0.39294128743187395</v>
      </c>
      <c r="H60" s="55">
        <f t="shared" ref="H60:H65" si="13">H46</f>
        <v>0.39294128743187395</v>
      </c>
      <c r="I60" s="47">
        <f t="shared" ref="I60:I65" si="14">H60+((K60-H60)/3)</f>
        <v>0.36196085828791597</v>
      </c>
      <c r="J60" s="47">
        <f t="shared" ref="J60:J65" si="15">H60+((K60-H60)/3*2)</f>
        <v>0.33098042914395798</v>
      </c>
      <c r="K60" s="47">
        <v>0.3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2"/>
        <v>4.1639881083029275E-2</v>
      </c>
      <c r="H61" s="55">
        <f t="shared" si="13"/>
        <v>4.1639881083029275E-2</v>
      </c>
      <c r="I61" s="47">
        <f t="shared" si="14"/>
        <v>4.4426587388686184E-2</v>
      </c>
      <c r="J61" s="47">
        <f t="shared" si="15"/>
        <v>4.7213293694343093E-2</v>
      </c>
      <c r="K61" s="47">
        <v>0.05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2"/>
        <v>1.8191868324415598E-2</v>
      </c>
      <c r="H62" s="55">
        <f t="shared" si="13"/>
        <v>1.8191868324415598E-2</v>
      </c>
      <c r="I62" s="47">
        <f t="shared" si="14"/>
        <v>1.8794578882943731E-2</v>
      </c>
      <c r="J62" s="47">
        <f t="shared" si="15"/>
        <v>1.9397289441471868E-2</v>
      </c>
      <c r="K62" s="47">
        <v>0.02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2"/>
        <v>1.3815793734488184E-2</v>
      </c>
      <c r="H63" s="55">
        <f t="shared" si="13"/>
        <v>1.3815793734488184E-2</v>
      </c>
      <c r="I63" s="47">
        <f t="shared" si="14"/>
        <v>1.2543862489658789E-2</v>
      </c>
      <c r="J63" s="47">
        <f t="shared" si="15"/>
        <v>1.1271931244829395E-2</v>
      </c>
      <c r="K63" s="47">
        <v>0.01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2"/>
        <v>0.26215626418619603</v>
      </c>
      <c r="H64" s="55">
        <f t="shared" si="13"/>
        <v>0.26215626418619603</v>
      </c>
      <c r="I64" s="47">
        <f t="shared" si="14"/>
        <v>0.3047708427907973</v>
      </c>
      <c r="J64" s="47">
        <f t="shared" si="15"/>
        <v>0.34738542139539857</v>
      </c>
      <c r="K64" s="47">
        <f>1-K59-K60-K61-K62-K63-K65</f>
        <v>0.38999999999999985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2"/>
        <v>8.7609618503638187E-2</v>
      </c>
      <c r="H65" s="55">
        <f t="shared" si="13"/>
        <v>8.7609618503638187E-2</v>
      </c>
      <c r="I65" s="47">
        <f t="shared" si="14"/>
        <v>0.11840641233575878</v>
      </c>
      <c r="J65" s="47">
        <f t="shared" si="15"/>
        <v>0.14920320616787938</v>
      </c>
      <c r="K65" s="124">
        <v>0.18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16">SUM(G59:G65)</f>
        <v>1</v>
      </c>
      <c r="H66" s="159">
        <v>1</v>
      </c>
      <c r="I66" s="47">
        <f t="shared" ref="I66:J66" si="17">SUM(I59:I65)</f>
        <v>1.0000000000000002</v>
      </c>
      <c r="J66" s="47">
        <f t="shared" si="17"/>
        <v>1</v>
      </c>
      <c r="K66" s="47">
        <f>SUM(K59:K65)</f>
        <v>0.99999999999999978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-3.5671850564829362E-2</v>
      </c>
      <c r="J69" s="152">
        <f t="shared" ref="J69:K69" si="18">(I$97*(J59-I59)+I$98*(J60-I60)+I$99*(J61-I61)+I$100*(J62-I62)+I$101*(J63-I63)+I$102*(J64-I64)+I$103*(J65-I65))/(I$97*I59+I$98*I60+I$99*I61+I$100*I62+I$101*I63+I$102*I64+I$103*I65)</f>
        <v>-3.6727230318399466E-2</v>
      </c>
      <c r="K69" s="152">
        <f t="shared" si="18"/>
        <v>-3.7857481350457238E-2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31" t="s">
        <v>92</v>
      </c>
      <c r="G72" s="130" t="s">
        <v>91</v>
      </c>
      <c r="H72" s="130" t="s">
        <v>35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bord'!G12</f>
        <v>0.55000000000000004</v>
      </c>
      <c r="G73" s="92">
        <f>'Tableau de bord'!G24</f>
        <v>0.45</v>
      </c>
      <c r="H73" s="92">
        <f>'Tableau de bord'!G27</f>
        <v>0.24750000000000003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4"/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54"/>
      <c r="G77" s="81">
        <f>H77/0.998^10</f>
        <v>103.25151083712665</v>
      </c>
      <c r="H77" s="54">
        <f>'Init. énergie'!D21</f>
        <v>101.20496711697824</v>
      </c>
      <c r="I77" s="81">
        <f>G77*60%/(1+I$55)</f>
        <v>64.242557410111971</v>
      </c>
      <c r="J77" s="81">
        <f>G77*50%/(1+I$55)/(1+J$55)</f>
        <v>55.591886343056281</v>
      </c>
      <c r="K77" s="81">
        <f>G77*40%/(1+I$55)/(1+J$55)/(1+K$55)</f>
        <v>46.250082421055453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54"/>
      <c r="G78" s="81">
        <f t="shared" ref="G78:G83" si="19">H78/0.998^10</f>
        <v>110.78308433796674</v>
      </c>
      <c r="H78" s="54">
        <f>'Init. énergie'!D22</f>
        <v>108.58725762596659</v>
      </c>
      <c r="I78" s="81">
        <f t="shared" ref="I78:I83" si="20">G78*60%/(1+I$55)</f>
        <v>68.928663589995764</v>
      </c>
      <c r="J78" s="81">
        <f t="shared" ref="J78:J83" si="21">G78*50%/(1+I$55)/(1+J$55)</f>
        <v>59.646978366877065</v>
      </c>
      <c r="K78" s="81">
        <f t="shared" ref="K78:K83" si="22">G78*40%/(1+I$55)/(1+J$55)/(1+K$55)</f>
        <v>49.623746325340313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54"/>
      <c r="G79" s="81">
        <f t="shared" si="19"/>
        <v>51.777558345312215</v>
      </c>
      <c r="H79" s="54">
        <f>'Init. énergie'!D23</f>
        <v>50.751277606007875</v>
      </c>
      <c r="I79" s="81">
        <f t="shared" si="20"/>
        <v>32.215729702989293</v>
      </c>
      <c r="J79" s="81">
        <f t="shared" si="21"/>
        <v>27.877675738751105</v>
      </c>
      <c r="K79" s="81">
        <f t="shared" si="22"/>
        <v>23.193039226411184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54"/>
      <c r="G80" s="81">
        <f t="shared" si="19"/>
        <v>48.946534504727495</v>
      </c>
      <c r="H80" s="54">
        <f>'Init. énergie'!D24</f>
        <v>47.976367366236985</v>
      </c>
      <c r="I80" s="81">
        <f t="shared" si="20"/>
        <v>30.454281273483481</v>
      </c>
      <c r="J80" s="81">
        <f t="shared" si="21"/>
        <v>26.353417601467964</v>
      </c>
      <c r="K80" s="81">
        <f t="shared" si="22"/>
        <v>21.924921356740889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54"/>
      <c r="G81" s="81">
        <f t="shared" si="19"/>
        <v>56.253632545159441</v>
      </c>
      <c r="H81" s="54">
        <f>'Init. énergie'!D25</f>
        <v>55.138631733186472</v>
      </c>
      <c r="I81" s="81">
        <f t="shared" si="20"/>
        <v>35.000719979879356</v>
      </c>
      <c r="J81" s="81">
        <f t="shared" si="21"/>
        <v>30.287649270019948</v>
      </c>
      <c r="K81" s="81">
        <f t="shared" si="22"/>
        <v>25.198034591488735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54"/>
      <c r="G82" s="81">
        <f t="shared" si="19"/>
        <v>73.289832835335829</v>
      </c>
      <c r="H82" s="54">
        <f>'Init. énergie'!D26</f>
        <v>71.83715823596377</v>
      </c>
      <c r="I82" s="81">
        <f t="shared" si="20"/>
        <v>45.600555917566055</v>
      </c>
      <c r="J82" s="81">
        <f t="shared" si="21"/>
        <v>39.460149532442102</v>
      </c>
      <c r="K82" s="81">
        <f t="shared" si="22"/>
        <v>32.829164258977812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54"/>
      <c r="G83" s="81">
        <f t="shared" si="19"/>
        <v>51.746242472374128</v>
      </c>
      <c r="H83" s="54">
        <f>'Init. énergie'!D27</f>
        <v>50.720582443629688</v>
      </c>
      <c r="I83" s="81">
        <f t="shared" si="20"/>
        <v>32.19624512839313</v>
      </c>
      <c r="J83" s="81">
        <f t="shared" si="21"/>
        <v>27.860814886691958</v>
      </c>
      <c r="K83" s="81">
        <f t="shared" si="22"/>
        <v>23.179011715406922</v>
      </c>
      <c r="M83" s="339"/>
      <c r="N83" s="33"/>
      <c r="O83" s="42"/>
      <c r="Q83" s="52"/>
      <c r="R83" s="52"/>
      <c r="V83" s="101"/>
    </row>
    <row r="84" spans="1:184" s="17" customFormat="1" ht="28.5" customHeight="1">
      <c r="A84" s="56"/>
      <c r="C84" s="40"/>
      <c r="D84" s="32"/>
      <c r="E84" s="91"/>
      <c r="F84" s="89"/>
      <c r="G84" s="123" t="s">
        <v>74</v>
      </c>
      <c r="H84" s="89"/>
      <c r="M84" s="97"/>
      <c r="N84" s="33"/>
      <c r="O84" s="42"/>
    </row>
    <row r="85" spans="1:184" s="17" customFormat="1" ht="69" customHeight="1">
      <c r="A85" s="56"/>
      <c r="C85" s="40"/>
      <c r="D85" s="32"/>
      <c r="F85" s="333" t="s">
        <v>70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23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23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23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23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23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23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71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>G77</f>
        <v>103.25151083712665</v>
      </c>
      <c r="H97" s="54">
        <f>H77</f>
        <v>101.20496711697824</v>
      </c>
      <c r="I97" s="81">
        <f>$H97*(1+$G87)^(I$96-$H$96)</f>
        <v>93.65725222465484</v>
      </c>
      <c r="J97" s="81">
        <f>$H97*(1+$G87)^(J$96-$H$96)</f>
        <v>86.672434606236521</v>
      </c>
      <c r="K97" s="81">
        <f>$H97*(1+$G87)^(K$96-$H$96)</f>
        <v>80.208534225978681</v>
      </c>
      <c r="L97" s="67"/>
      <c r="M97" s="79">
        <f>(K97-G97)/H97</f>
        <v>-0.22768622200641231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ref="G98:H103" si="24">G78</f>
        <v>110.78308433796674</v>
      </c>
      <c r="H98" s="54">
        <f t="shared" si="24"/>
        <v>108.58725762596659</v>
      </c>
      <c r="I98" s="81">
        <f t="shared" ref="I98:K103" si="25">$H98*(1+$G88)^(I$96-$H$96)</f>
        <v>103.2942772654492</v>
      </c>
      <c r="J98" s="81">
        <f t="shared" si="25"/>
        <v>98.259298089502863</v>
      </c>
      <c r="K98" s="81">
        <f t="shared" si="25"/>
        <v>93.469744081081217</v>
      </c>
      <c r="L98" s="67"/>
      <c r="M98" s="79">
        <f t="shared" ref="M98:M103" si="26">(K98-G98)/H98</f>
        <v>-0.15944173041483431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24"/>
        <v>51.777558345312215</v>
      </c>
      <c r="H99" s="54">
        <f t="shared" si="24"/>
        <v>50.751277606007875</v>
      </c>
      <c r="I99" s="81">
        <f t="shared" si="25"/>
        <v>48.766923312373116</v>
      </c>
      <c r="J99" s="81">
        <f t="shared" si="25"/>
        <v>46.860156463792165</v>
      </c>
      <c r="K99" s="81">
        <f t="shared" si="25"/>
        <v>45.027943422749146</v>
      </c>
      <c r="L99" s="67"/>
      <c r="M99" s="79">
        <f t="shared" si="26"/>
        <v>-0.13299399031806949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24"/>
        <v>48.946534504727495</v>
      </c>
      <c r="H100" s="54">
        <f t="shared" si="24"/>
        <v>47.976367366236985</v>
      </c>
      <c r="I100" s="81">
        <f t="shared" si="25"/>
        <v>46.10051093331596</v>
      </c>
      <c r="J100" s="81">
        <f t="shared" si="25"/>
        <v>44.297999723264127</v>
      </c>
      <c r="K100" s="81">
        <f t="shared" si="25"/>
        <v>42.565965967726029</v>
      </c>
      <c r="L100" s="67"/>
      <c r="M100" s="79">
        <f t="shared" si="26"/>
        <v>-0.13299399031806947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24"/>
        <v>56.253632545159441</v>
      </c>
      <c r="H101" s="54">
        <f t="shared" si="24"/>
        <v>55.138631733186472</v>
      </c>
      <c r="I101" s="81">
        <f t="shared" si="25"/>
        <v>52.982733679263553</v>
      </c>
      <c r="J101" s="81">
        <f>$H101*(1+$G91)^(J$96-$H$96)</f>
        <v>50.91113036158653</v>
      </c>
      <c r="K101" s="81">
        <f>$H101*(1+$G91)^(K$96-$H$96)</f>
        <v>48.920525890284438</v>
      </c>
      <c r="L101" s="67"/>
      <c r="M101" s="79">
        <f t="shared" si="26"/>
        <v>-0.13299399031806952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24"/>
        <v>73.289832835335829</v>
      </c>
      <c r="H102" s="54">
        <f t="shared" si="24"/>
        <v>71.83715823596377</v>
      </c>
      <c r="I102" s="81">
        <f t="shared" si="25"/>
        <v>67.266424944759962</v>
      </c>
      <c r="J102" s="81">
        <f t="shared" si="25"/>
        <v>62.986510546345542</v>
      </c>
      <c r="K102" s="81">
        <f t="shared" si="25"/>
        <v>58.97891130772738</v>
      </c>
      <c r="L102" s="67"/>
      <c r="M102" s="79">
        <f t="shared" si="26"/>
        <v>-0.19921335808692925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24"/>
        <v>51.746242472374128</v>
      </c>
      <c r="H103" s="54">
        <f t="shared" si="24"/>
        <v>50.720582443629688</v>
      </c>
      <c r="I103" s="81">
        <f t="shared" si="25"/>
        <v>47.49341894750625</v>
      </c>
      <c r="J103" s="81">
        <f t="shared" si="25"/>
        <v>44.47158795603783</v>
      </c>
      <c r="K103" s="81">
        <f t="shared" si="25"/>
        <v>41.642024919653707</v>
      </c>
      <c r="L103" s="67"/>
      <c r="M103" s="79">
        <f t="shared" si="26"/>
        <v>-0.1992133580869293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93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>G$36*G45*$H$73*G77/1000</f>
        <v>864.59141897558061</v>
      </c>
      <c r="H107" s="54">
        <f>H$36*H45*$H$73*H77/1000</f>
        <v>847.45438994178915</v>
      </c>
      <c r="I107" s="126">
        <f>I$36*I45*$H$73*I77/1000</f>
        <v>386.70224376447993</v>
      </c>
      <c r="J107" s="126">
        <f>J$36*J45*$H$73*J77/1000</f>
        <v>226.01970407141661</v>
      </c>
      <c r="K107" s="126">
        <f>K$36*K45*$H$73*K77/1000</f>
        <v>96.583205949831651</v>
      </c>
      <c r="L107" s="46"/>
      <c r="M107" s="79">
        <f>(K107-G107)/H107</f>
        <v>-0.90625315313842758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ref="G108:K113" si="27">G$36*G46*$H$73*G78/1000</f>
        <v>1984.8872179041427</v>
      </c>
      <c r="H108" s="54">
        <f t="shared" si="27"/>
        <v>1945.5448544067954</v>
      </c>
      <c r="I108" s="126">
        <f t="shared" si="27"/>
        <v>1079.6873645932192</v>
      </c>
      <c r="J108" s="126">
        <f t="shared" si="27"/>
        <v>848.92893631908225</v>
      </c>
      <c r="K108" s="126">
        <f t="shared" si="27"/>
        <v>621.77020153727585</v>
      </c>
      <c r="L108" s="46"/>
      <c r="M108" s="79">
        <f t="shared" ref="M108:M114" si="28">(K108-G108)/H108</f>
        <v>-0.70063510141095509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27"/>
        <v>98.307299518839699</v>
      </c>
      <c r="H109" s="54">
        <f t="shared" si="27"/>
        <v>96.358754796889855</v>
      </c>
      <c r="I109" s="126">
        <f t="shared" si="27"/>
        <v>61.936616719097501</v>
      </c>
      <c r="J109" s="126">
        <f t="shared" si="27"/>
        <v>56.598045704125546</v>
      </c>
      <c r="K109" s="126">
        <f t="shared" si="27"/>
        <v>48.433601994776211</v>
      </c>
      <c r="L109" s="46"/>
      <c r="M109" s="79">
        <f t="shared" si="28"/>
        <v>-0.51758345808006689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27"/>
        <v>40.600742067077896</v>
      </c>
      <c r="H110" s="54">
        <f t="shared" si="27"/>
        <v>39.795996518687666</v>
      </c>
      <c r="I110" s="126">
        <f t="shared" si="27"/>
        <v>24.76951511586169</v>
      </c>
      <c r="J110" s="126">
        <f t="shared" si="27"/>
        <v>21.981562751250397</v>
      </c>
      <c r="K110" s="126">
        <f t="shared" si="27"/>
        <v>18.314165804538625</v>
      </c>
      <c r="L110" s="46"/>
      <c r="M110" s="79">
        <f t="shared" si="28"/>
        <v>-0.5600205601604622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27"/>
        <v>35.437341332474048</v>
      </c>
      <c r="H111" s="54">
        <f t="shared" si="27"/>
        <v>34.734939326200902</v>
      </c>
      <c r="I111" s="126">
        <f t="shared" si="27"/>
        <v>18.999615572576033</v>
      </c>
      <c r="J111" s="126">
        <f t="shared" si="27"/>
        <v>14.680622561592656</v>
      </c>
      <c r="K111" s="126">
        <f t="shared" si="27"/>
        <v>10.524119469991636</v>
      </c>
      <c r="L111" s="46"/>
      <c r="M111" s="79">
        <f t="shared" si="28"/>
        <v>-0.71723809932467997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27"/>
        <v>876.06976000136899</v>
      </c>
      <c r="H112" s="54">
        <f t="shared" si="27"/>
        <v>858.7052192677138</v>
      </c>
      <c r="I112" s="126">
        <f t="shared" si="27"/>
        <v>601.4230994165606</v>
      </c>
      <c r="J112" s="126">
        <f t="shared" si="27"/>
        <v>589.45531743004358</v>
      </c>
      <c r="K112" s="126">
        <f t="shared" si="27"/>
        <v>534.74106382282423</v>
      </c>
      <c r="L112" s="46"/>
      <c r="M112" s="79">
        <f t="shared" si="28"/>
        <v>-0.39749228084303817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27"/>
        <v>206.71182792278751</v>
      </c>
      <c r="H113" s="54">
        <f t="shared" si="27"/>
        <v>202.61460174289067</v>
      </c>
      <c r="I113" s="126">
        <f t="shared" si="27"/>
        <v>164.97456764837054</v>
      </c>
      <c r="J113" s="126">
        <f t="shared" si="27"/>
        <v>178.75267303050902</v>
      </c>
      <c r="K113" s="126">
        <f t="shared" si="27"/>
        <v>174.25551095521325</v>
      </c>
      <c r="L113" s="46"/>
      <c r="M113" s="79">
        <f t="shared" si="28"/>
        <v>-0.1601874528705485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4106.6056077222711</v>
      </c>
      <c r="H114" s="156">
        <f>SUM(H107:H113)</f>
        <v>4025.2087560009672</v>
      </c>
      <c r="I114" s="154">
        <f t="shared" ref="I114:J114" si="29">SUM(I107:I113)</f>
        <v>2338.493022830165</v>
      </c>
      <c r="J114" s="154">
        <f t="shared" si="29"/>
        <v>1936.4168618680199</v>
      </c>
      <c r="K114" s="154">
        <f>SUM(K107:K113)</f>
        <v>1504.6218695344514</v>
      </c>
      <c r="L114" s="21"/>
      <c r="M114" s="79">
        <f t="shared" si="28"/>
        <v>-0.6464220605474591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94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>G$36*G45*(1-$H$73)*G97/1000</f>
        <v>2628.7072435520176</v>
      </c>
      <c r="H118" s="157">
        <f>H$36*H45*(1-$H$73)*H97/1000</f>
        <v>2576.6037512371563</v>
      </c>
      <c r="I118" s="153">
        <f t="shared" ref="I118:K118" si="30">I$36*I45*(1-$H$73)*I97/1000</f>
        <v>1714.0622242286863</v>
      </c>
      <c r="J118" s="153">
        <f t="shared" si="30"/>
        <v>1071.3890123688593</v>
      </c>
      <c r="K118" s="153">
        <f t="shared" si="30"/>
        <v>509.26166660990549</v>
      </c>
      <c r="L118" s="46"/>
      <c r="M118" s="79">
        <f>(K118-G118)/H118</f>
        <v>-0.82257334909353452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ref="G119:K124" si="31">G$36*G46*(1-$H$73)*G98/1000</f>
        <v>6034.8591170620903</v>
      </c>
      <c r="H119" s="157">
        <f t="shared" si="31"/>
        <v>5915.2424361257099</v>
      </c>
      <c r="I119" s="153">
        <f t="shared" si="31"/>
        <v>4919.3273479135523</v>
      </c>
      <c r="J119" s="153">
        <f t="shared" si="31"/>
        <v>4251.9470512612506</v>
      </c>
      <c r="K119" s="153">
        <f t="shared" si="31"/>
        <v>3560.7600693130826</v>
      </c>
      <c r="L119" s="46"/>
      <c r="M119" s="79">
        <f t="shared" ref="M119:M125" si="32">(K119-G119)/H119</f>
        <v>-0.41825826658247023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31"/>
        <v>298.89391065829034</v>
      </c>
      <c r="H120" s="157">
        <f t="shared" si="31"/>
        <v>292.96954741276608</v>
      </c>
      <c r="I120" s="153">
        <f t="shared" si="31"/>
        <v>285.05992304528161</v>
      </c>
      <c r="J120" s="153">
        <f t="shared" si="31"/>
        <v>289.25435648297463</v>
      </c>
      <c r="K120" s="153">
        <f t="shared" si="31"/>
        <v>285.8923396714892</v>
      </c>
      <c r="L120" s="46"/>
      <c r="M120" s="79">
        <f t="shared" si="32"/>
        <v>-4.4378574843764125E-2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31"/>
        <v>123.44266022414591</v>
      </c>
      <c r="H121" s="157">
        <f t="shared" si="31"/>
        <v>120.99590860732309</v>
      </c>
      <c r="I121" s="153">
        <f t="shared" si="31"/>
        <v>114.0003514370095</v>
      </c>
      <c r="J121" s="153">
        <f t="shared" si="31"/>
        <v>112.34067729726566</v>
      </c>
      <c r="K121" s="153">
        <f t="shared" si="31"/>
        <v>108.1042808163606</v>
      </c>
      <c r="L121" s="46"/>
      <c r="M121" s="79">
        <f t="shared" si="32"/>
        <v>-0.12676775259867737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31"/>
        <v>107.74383576843117</v>
      </c>
      <c r="H122" s="157">
        <f t="shared" si="31"/>
        <v>105.60824987057042</v>
      </c>
      <c r="I122" s="153">
        <f t="shared" si="31"/>
        <v>87.44470137224144</v>
      </c>
      <c r="J122" s="153">
        <f t="shared" si="31"/>
        <v>75.027926830226079</v>
      </c>
      <c r="K122" s="153">
        <f t="shared" si="31"/>
        <v>62.12144078366692</v>
      </c>
      <c r="L122" s="46"/>
      <c r="M122" s="79">
        <f t="shared" si="32"/>
        <v>-0.43199650633996278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31"/>
        <v>2663.6060379839596</v>
      </c>
      <c r="H123" s="157">
        <f t="shared" si="31"/>
        <v>2610.8108181775938</v>
      </c>
      <c r="I123" s="153">
        <f t="shared" si="31"/>
        <v>2697.3643591952286</v>
      </c>
      <c r="J123" s="153">
        <f t="shared" si="31"/>
        <v>2860.6914187717912</v>
      </c>
      <c r="K123" s="153">
        <f t="shared" si="31"/>
        <v>2920.8668611964954</v>
      </c>
      <c r="L123" s="46"/>
      <c r="M123" s="79">
        <f t="shared" si="32"/>
        <v>9.8536753954508963E-2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31"/>
        <v>628.48747681574787</v>
      </c>
      <c r="H124" s="157">
        <f t="shared" si="31"/>
        <v>616.03025378394022</v>
      </c>
      <c r="I124" s="153">
        <f t="shared" si="31"/>
        <v>739.9059320801731</v>
      </c>
      <c r="J124" s="153">
        <f t="shared" si="31"/>
        <v>867.50636172110649</v>
      </c>
      <c r="K124" s="153">
        <f t="shared" si="31"/>
        <v>951.81982788324774</v>
      </c>
      <c r="L124" s="46"/>
      <c r="M124" s="79">
        <f t="shared" si="32"/>
        <v>0.52486440248907318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12485.740282064684</v>
      </c>
      <c r="H125" s="158">
        <f>SUM(H118:H124)</f>
        <v>12238.260965215059</v>
      </c>
      <c r="I125" s="155">
        <f t="shared" ref="I125:K125" si="33">SUM(I118:I124)</f>
        <v>10557.164839272173</v>
      </c>
      <c r="J125" s="155">
        <f t="shared" si="33"/>
        <v>9528.1568047334749</v>
      </c>
      <c r="K125" s="155">
        <f t="shared" si="33"/>
        <v>8398.8264862742471</v>
      </c>
      <c r="L125" s="21"/>
      <c r="M125" s="79">
        <f t="shared" si="32"/>
        <v>-0.33394563225990326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72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3424.0581411789453</v>
      </c>
      <c r="I129" s="153">
        <f t="shared" ref="I129:K129" si="34">I107+I118</f>
        <v>2100.7644679931664</v>
      </c>
      <c r="J129" s="153">
        <f t="shared" si="34"/>
        <v>1297.4087164402758</v>
      </c>
      <c r="K129" s="153">
        <f t="shared" si="34"/>
        <v>605.84487255973715</v>
      </c>
      <c r="L129" s="46"/>
      <c r="M129" s="79">
        <f>(K129-G129)/H129</f>
        <v>0.17693767090974025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5" si="35">H108+H119</f>
        <v>7860.7872905325057</v>
      </c>
      <c r="I130" s="153">
        <f t="shared" si="35"/>
        <v>5999.0147125067715</v>
      </c>
      <c r="J130" s="153">
        <f t="shared" si="35"/>
        <v>5100.8759875803325</v>
      </c>
      <c r="K130" s="153">
        <f t="shared" si="35"/>
        <v>4182.5302708503586</v>
      </c>
      <c r="L130" s="46"/>
      <c r="M130" s="79">
        <f t="shared" ref="M130:M136" si="36">(K130-G130)/H130</f>
        <v>0.53207523830186554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si="35"/>
        <v>389.32830220965593</v>
      </c>
      <c r="I131" s="153">
        <f t="shared" si="35"/>
        <v>346.99653976437912</v>
      </c>
      <c r="J131" s="153">
        <f t="shared" si="35"/>
        <v>345.85240218710015</v>
      </c>
      <c r="K131" s="153">
        <f t="shared" si="35"/>
        <v>334.32594166626541</v>
      </c>
      <c r="L131" s="46"/>
      <c r="M131" s="79">
        <f t="shared" si="36"/>
        <v>0.85872498805963671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si="35"/>
        <v>160.79190512601076</v>
      </c>
      <c r="I132" s="153">
        <f t="shared" si="35"/>
        <v>138.76986655287118</v>
      </c>
      <c r="J132" s="153">
        <f t="shared" si="35"/>
        <v>134.32224004851605</v>
      </c>
      <c r="K132" s="153">
        <f t="shared" si="35"/>
        <v>126.41844662089923</v>
      </c>
      <c r="L132" s="46"/>
      <c r="M132" s="79">
        <f t="shared" si="36"/>
        <v>0.78622394903416659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si="35"/>
        <v>140.34318919677133</v>
      </c>
      <c r="I133" s="153">
        <f t="shared" si="35"/>
        <v>106.44431694481747</v>
      </c>
      <c r="J133" s="153">
        <f t="shared" si="35"/>
        <v>89.708549391818735</v>
      </c>
      <c r="K133" s="153">
        <f t="shared" si="35"/>
        <v>72.645560253658559</v>
      </c>
      <c r="L133" s="46"/>
      <c r="M133" s="79">
        <f t="shared" si="36"/>
        <v>0.51762797090070545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si="35"/>
        <v>3469.5160374453076</v>
      </c>
      <c r="I134" s="153">
        <f t="shared" si="35"/>
        <v>3298.7874586117891</v>
      </c>
      <c r="J134" s="153">
        <f t="shared" si="35"/>
        <v>3450.1467362018348</v>
      </c>
      <c r="K134" s="153">
        <f t="shared" si="35"/>
        <v>3455.6079250193197</v>
      </c>
      <c r="L134" s="46"/>
      <c r="M134" s="79">
        <f t="shared" si="36"/>
        <v>0.99599133934650186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si="35"/>
        <v>818.64485552683095</v>
      </c>
      <c r="I135" s="153">
        <f t="shared" si="35"/>
        <v>904.88049972854367</v>
      </c>
      <c r="J135" s="153">
        <f t="shared" si="35"/>
        <v>1046.2590347516154</v>
      </c>
      <c r="K135" s="153">
        <f t="shared" si="35"/>
        <v>1126.075338838461</v>
      </c>
      <c r="L135" s="46"/>
      <c r="M135" s="79">
        <f t="shared" si="36"/>
        <v>1.3755358397919524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16263.46972121603</v>
      </c>
      <c r="I136" s="155">
        <f t="shared" ref="I136:K136" si="37">SUM(I129:I135)</f>
        <v>12895.657862102338</v>
      </c>
      <c r="J136" s="155">
        <f t="shared" si="37"/>
        <v>11464.573666601493</v>
      </c>
      <c r="K136" s="155">
        <f t="shared" si="37"/>
        <v>9903.4483558087013</v>
      </c>
      <c r="L136" s="21"/>
      <c r="M136" s="79">
        <f t="shared" si="36"/>
        <v>0.60893822324331259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76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énergie'!C21</f>
        <v>4.1021151124009851E-5</v>
      </c>
      <c r="I142" s="47">
        <f>H142</f>
        <v>4.1021151124009851E-5</v>
      </c>
      <c r="J142" s="47">
        <f>I142</f>
        <v>4.1021151124009851E-5</v>
      </c>
      <c r="K142" s="47">
        <f>J142</f>
        <v>4.1021151124009851E-5</v>
      </c>
      <c r="M142" s="334" t="s">
        <v>41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énergie'!C22</f>
        <v>0.24387457929202933</v>
      </c>
      <c r="I143" s="47">
        <f t="shared" ref="I143:K143" si="38">H143</f>
        <v>0.24387457929202933</v>
      </c>
      <c r="J143" s="47">
        <f t="shared" si="38"/>
        <v>0.24387457929202933</v>
      </c>
      <c r="K143" s="47">
        <f t="shared" si="38"/>
        <v>0.24387457929202933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énergie'!C23</f>
        <v>3.8798739172946649E-2</v>
      </c>
      <c r="I144" s="47">
        <f t="shared" ref="I144:K144" si="39">H144</f>
        <v>3.8798739172946649E-2</v>
      </c>
      <c r="J144" s="47">
        <f t="shared" si="39"/>
        <v>3.8798739172946649E-2</v>
      </c>
      <c r="K144" s="47">
        <f t="shared" si="39"/>
        <v>3.8798739172946649E-2</v>
      </c>
      <c r="M144" s="335"/>
      <c r="N144" s="33"/>
      <c r="O144" s="42"/>
    </row>
    <row r="145" spans="1:15" s="17" customFormat="1">
      <c r="A145" s="56"/>
      <c r="C145" s="40"/>
      <c r="D145" s="32"/>
      <c r="E145" s="6" t="s">
        <v>22</v>
      </c>
      <c r="F145" s="55"/>
      <c r="G145" s="55"/>
      <c r="H145" s="55">
        <f>'Init. énergie'!C24</f>
        <v>1.4755157309534661E-2</v>
      </c>
      <c r="I145" s="47">
        <f t="shared" ref="I145:K145" si="40">H145</f>
        <v>1.4755157309534661E-2</v>
      </c>
      <c r="J145" s="47">
        <f t="shared" si="40"/>
        <v>1.4755157309534661E-2</v>
      </c>
      <c r="K145" s="47">
        <f t="shared" si="40"/>
        <v>1.4755157309534661E-2</v>
      </c>
      <c r="M145" s="335"/>
      <c r="N145" s="33"/>
      <c r="O145" s="42"/>
    </row>
    <row r="146" spans="1:15" s="17" customFormat="1">
      <c r="A146" s="56"/>
      <c r="C146" s="40"/>
      <c r="D146" s="32"/>
      <c r="E146" s="6" t="s">
        <v>42</v>
      </c>
      <c r="F146" s="55"/>
      <c r="G146" s="55"/>
      <c r="H146" s="55">
        <f>'Init. énergie'!C25</f>
        <v>1.1548604741342878E-2</v>
      </c>
      <c r="I146" s="47">
        <f t="shared" ref="I146:K146" si="41">H146</f>
        <v>1.1548604741342878E-2</v>
      </c>
      <c r="J146" s="47">
        <f t="shared" si="41"/>
        <v>1.1548604741342878E-2</v>
      </c>
      <c r="K146" s="47">
        <f t="shared" si="41"/>
        <v>1.1548604741342878E-2</v>
      </c>
      <c r="M146" s="335"/>
      <c r="N146" s="33"/>
      <c r="O146" s="42"/>
    </row>
    <row r="147" spans="1:15" s="17" customFormat="1">
      <c r="A147" s="56"/>
      <c r="C147" s="40"/>
      <c r="D147" s="32"/>
      <c r="E147" s="6" t="s">
        <v>25</v>
      </c>
      <c r="F147" s="55"/>
      <c r="G147" s="85"/>
      <c r="H147" s="55">
        <f>'Init. énergie'!C26</f>
        <v>0.37540666329243721</v>
      </c>
      <c r="I147" s="47">
        <f t="shared" ref="I147:K147" si="42">H147</f>
        <v>0.37540666329243721</v>
      </c>
      <c r="J147" s="47">
        <f t="shared" si="42"/>
        <v>0.37540666329243721</v>
      </c>
      <c r="K147" s="47">
        <f t="shared" si="42"/>
        <v>0.37540666329243721</v>
      </c>
      <c r="M147" s="335"/>
      <c r="N147" s="33"/>
      <c r="O147" s="42"/>
    </row>
    <row r="148" spans="1:15" s="17" customFormat="1">
      <c r="A148" s="56"/>
      <c r="C148" s="40"/>
      <c r="D148" s="32"/>
      <c r="E148" s="6" t="s">
        <v>26</v>
      </c>
      <c r="F148" s="55"/>
      <c r="G148" s="85"/>
      <c r="H148" s="55">
        <f>'Init. énergie'!C27</f>
        <v>0.31557523504058516</v>
      </c>
      <c r="I148" s="47">
        <f t="shared" ref="I148:K148" si="43">H148</f>
        <v>0.31557523504058516</v>
      </c>
      <c r="J148" s="47">
        <f t="shared" si="43"/>
        <v>0.31557523504058516</v>
      </c>
      <c r="K148" s="47">
        <f t="shared" si="43"/>
        <v>0.31557523504058516</v>
      </c>
      <c r="M148" s="335"/>
      <c r="N148" s="33"/>
      <c r="O148" s="42"/>
    </row>
    <row r="149" spans="1:15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0.99999999999999989</v>
      </c>
      <c r="I149" s="15">
        <f t="shared" ref="I149:K149" si="44">SUM(I142:I148)</f>
        <v>0.99999999999999989</v>
      </c>
      <c r="J149" s="15">
        <f t="shared" si="44"/>
        <v>0.99999999999999989</v>
      </c>
      <c r="K149" s="15">
        <f t="shared" si="44"/>
        <v>0.99999999999999989</v>
      </c>
      <c r="M149" s="336"/>
      <c r="N149" s="33"/>
      <c r="O149" s="42"/>
    </row>
    <row r="150" spans="1:15" s="17" customFormat="1">
      <c r="A150" s="56"/>
      <c r="C150" s="40"/>
      <c r="D150" s="32"/>
      <c r="M150" s="65"/>
      <c r="N150" s="33"/>
      <c r="O150" s="42"/>
    </row>
    <row r="151" spans="1:15" s="17" customFormat="1" ht="30.75" customHeight="1">
      <c r="A151" s="56"/>
      <c r="C151" s="40"/>
      <c r="D151" s="32"/>
      <c r="F151" s="333" t="s">
        <v>77</v>
      </c>
      <c r="G151" s="333"/>
      <c r="H151" s="333"/>
      <c r="I151" s="333"/>
      <c r="J151" s="333"/>
      <c r="K151" s="333"/>
      <c r="M151" s="65"/>
      <c r="N151" s="33"/>
      <c r="O151" s="42"/>
    </row>
    <row r="152" spans="1:15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5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46.250082421055453</v>
      </c>
      <c r="J153" s="45">
        <f>K153</f>
        <v>46.250082421055453</v>
      </c>
      <c r="K153" s="45">
        <f t="shared" ref="K153:K159" si="45">K77</f>
        <v>46.250082421055453</v>
      </c>
      <c r="M153" s="334" t="s">
        <v>38</v>
      </c>
      <c r="N153" s="33"/>
      <c r="O153" s="42"/>
    </row>
    <row r="154" spans="1:15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J159" si="46">J154</f>
        <v>49.623746325340313</v>
      </c>
      <c r="J154" s="45">
        <f t="shared" si="46"/>
        <v>49.623746325340313</v>
      </c>
      <c r="K154" s="45">
        <f t="shared" si="45"/>
        <v>49.623746325340313</v>
      </c>
      <c r="M154" s="335"/>
      <c r="N154" s="33"/>
      <c r="O154" s="42"/>
    </row>
    <row r="155" spans="1:15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46"/>
        <v>23.193039226411184</v>
      </c>
      <c r="J155" s="45">
        <f t="shared" si="46"/>
        <v>23.193039226411184</v>
      </c>
      <c r="K155" s="45">
        <f t="shared" si="45"/>
        <v>23.193039226411184</v>
      </c>
      <c r="M155" s="335"/>
      <c r="N155" s="33"/>
      <c r="O155" s="42"/>
    </row>
    <row r="156" spans="1:15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46"/>
        <v>21.924921356740889</v>
      </c>
      <c r="J156" s="45">
        <f t="shared" si="46"/>
        <v>21.924921356740889</v>
      </c>
      <c r="K156" s="45">
        <f t="shared" si="45"/>
        <v>21.924921356740889</v>
      </c>
      <c r="M156" s="335"/>
      <c r="N156" s="33"/>
      <c r="O156" s="42"/>
    </row>
    <row r="157" spans="1:15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46"/>
        <v>25.198034591488735</v>
      </c>
      <c r="J157" s="45">
        <f t="shared" si="46"/>
        <v>25.198034591488735</v>
      </c>
      <c r="K157" s="45">
        <f t="shared" si="45"/>
        <v>25.198034591488735</v>
      </c>
      <c r="M157" s="335"/>
      <c r="N157" s="33"/>
      <c r="O157" s="42"/>
    </row>
    <row r="158" spans="1:15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46"/>
        <v>32.829164258977812</v>
      </c>
      <c r="J158" s="45">
        <f t="shared" si="46"/>
        <v>32.829164258977812</v>
      </c>
      <c r="K158" s="45">
        <f t="shared" si="45"/>
        <v>32.829164258977812</v>
      </c>
      <c r="M158" s="335"/>
      <c r="N158" s="33"/>
      <c r="O158" s="42"/>
    </row>
    <row r="159" spans="1:15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46"/>
        <v>23.179011715406922</v>
      </c>
      <c r="J159" s="45">
        <f t="shared" si="46"/>
        <v>23.179011715406922</v>
      </c>
      <c r="K159" s="45">
        <f t="shared" si="45"/>
        <v>23.179011715406922</v>
      </c>
      <c r="M159" s="336"/>
      <c r="N159" s="33"/>
      <c r="O159" s="42"/>
    </row>
    <row r="160" spans="1:15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73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47">I$35*I142*I153/1000</f>
        <v>1.621802070606599E-2</v>
      </c>
      <c r="J163" s="10">
        <f t="shared" si="47"/>
        <v>1.6144680187881164E-2</v>
      </c>
      <c r="K163" s="10">
        <f t="shared" si="47"/>
        <v>1.6043909769525501E-2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9" si="48">H$35*H143*H154/1000</f>
        <v>0</v>
      </c>
      <c r="I164" s="10">
        <f t="shared" si="48"/>
        <v>103.45073427424923</v>
      </c>
      <c r="J164" s="10">
        <f t="shared" si="48"/>
        <v>102.9829132869794</v>
      </c>
      <c r="K164" s="10">
        <f t="shared" si="48"/>
        <v>102.34012376531372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si="48"/>
        <v>0</v>
      </c>
      <c r="I165" s="10">
        <f t="shared" si="48"/>
        <v>7.6922390372726328</v>
      </c>
      <c r="J165" s="10">
        <f t="shared" si="48"/>
        <v>7.657453485618718</v>
      </c>
      <c r="K165" s="10">
        <f t="shared" si="48"/>
        <v>7.6096578785020146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si="48"/>
        <v>0</v>
      </c>
      <c r="I166" s="10">
        <f t="shared" si="48"/>
        <v>2.7654090804811005</v>
      </c>
      <c r="J166" s="10">
        <f t="shared" si="48"/>
        <v>2.7529034524127112</v>
      </c>
      <c r="K166" s="10">
        <f t="shared" si="48"/>
        <v>2.7357206262827387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si="48"/>
        <v>0</v>
      </c>
      <c r="I167" s="10">
        <f t="shared" si="48"/>
        <v>2.4875606697304478</v>
      </c>
      <c r="J167" s="10">
        <f t="shared" si="48"/>
        <v>2.4763115172080328</v>
      </c>
      <c r="K167" s="10">
        <f t="shared" si="48"/>
        <v>2.460855097838679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si="48"/>
        <v>0</v>
      </c>
      <c r="I168" s="10">
        <f t="shared" si="48"/>
        <v>105.35115470761797</v>
      </c>
      <c r="J168" s="10">
        <f t="shared" si="48"/>
        <v>104.87473971113593</v>
      </c>
      <c r="K168" s="10">
        <f t="shared" si="48"/>
        <v>104.22014195678926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si="48"/>
        <v>0</v>
      </c>
      <c r="I169" s="10">
        <f t="shared" si="48"/>
        <v>62.52811344204877</v>
      </c>
      <c r="J169" s="10">
        <f t="shared" si="48"/>
        <v>62.245351178757041</v>
      </c>
      <c r="K169" s="10">
        <f t="shared" si="48"/>
        <v>61.856833722481461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49">SUM(I163:I169)</f>
        <v>284.29142923210622</v>
      </c>
      <c r="J170" s="11">
        <f t="shared" si="49"/>
        <v>283.00581731229971</v>
      </c>
      <c r="K170" s="11">
        <f t="shared" si="49"/>
        <v>281.23937695697737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M174" s="65"/>
    </row>
    <row r="175" spans="1:15" s="17" customFormat="1">
      <c r="A175" s="56"/>
      <c r="M175" s="65"/>
    </row>
    <row r="176" spans="1:15" s="17" customFormat="1">
      <c r="A176" s="56"/>
      <c r="M176" s="65"/>
    </row>
    <row r="177" spans="1:13" s="17" customFormat="1">
      <c r="A177" s="56"/>
      <c r="M177" s="65"/>
    </row>
    <row r="178" spans="1:13" s="17" customFormat="1">
      <c r="A178" s="56"/>
      <c r="M178" s="65"/>
    </row>
    <row r="179" spans="1:13" s="17" customFormat="1">
      <c r="A179" s="56"/>
      <c r="M179" s="65"/>
    </row>
    <row r="180" spans="1:13" s="17" customFormat="1">
      <c r="A180" s="56"/>
      <c r="M180" s="65"/>
    </row>
    <row r="181" spans="1:13" s="17" customFormat="1">
      <c r="A181" s="56"/>
      <c r="M181" s="65"/>
    </row>
    <row r="182" spans="1:13" s="17" customFormat="1">
      <c r="A182" s="56"/>
      <c r="M182" s="65"/>
    </row>
    <row r="183" spans="1:13" s="17" customFormat="1">
      <c r="A183" s="56"/>
      <c r="M183" s="65"/>
    </row>
    <row r="184" spans="1:13" s="17" customFormat="1">
      <c r="A184" s="56"/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0">
    <mergeCell ref="F161:K161"/>
    <mergeCell ref="F85:G85"/>
    <mergeCell ref="M87:M93"/>
    <mergeCell ref="F95:K95"/>
    <mergeCell ref="F105:K105"/>
    <mergeCell ref="F116:K116"/>
    <mergeCell ref="F127:K127"/>
    <mergeCell ref="E138:M138"/>
    <mergeCell ref="F140:K140"/>
    <mergeCell ref="M142:M149"/>
    <mergeCell ref="F151:K151"/>
    <mergeCell ref="M153:M159"/>
    <mergeCell ref="M77:M83"/>
    <mergeCell ref="D29:N29"/>
    <mergeCell ref="F32:K32"/>
    <mergeCell ref="D39:N39"/>
    <mergeCell ref="E41:M41"/>
    <mergeCell ref="F43:K43"/>
    <mergeCell ref="M45:M51"/>
    <mergeCell ref="F54:K54"/>
    <mergeCell ref="F57:K57"/>
    <mergeCell ref="M59:M65"/>
    <mergeCell ref="F68:K68"/>
    <mergeCell ref="F75:K75"/>
    <mergeCell ref="C27:O27"/>
    <mergeCell ref="C1:O1"/>
    <mergeCell ref="C3:O3"/>
    <mergeCell ref="F5:K5"/>
    <mergeCell ref="F11:K11"/>
    <mergeCell ref="F22:K22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  <pageSetUpPr fitToPage="1"/>
  </sheetPr>
  <dimension ref="A1:GB1589"/>
  <sheetViews>
    <sheetView showGridLines="0" topLeftCell="A130" zoomScaleNormal="100" workbookViewId="0">
      <selection activeCell="K73" sqref="K73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64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65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66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 t="shared" ref="H7:K8" si="0">H34</f>
        <v>167106.71056882737</v>
      </c>
      <c r="I7" s="10">
        <f t="shared" si="0"/>
        <v>164691.46909822503</v>
      </c>
      <c r="J7" s="10">
        <f t="shared" si="0"/>
        <v>161969.06416582453</v>
      </c>
      <c r="K7" s="10">
        <f t="shared" si="0"/>
        <v>155791.88903666596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3362.5337122163387</v>
      </c>
      <c r="J8" s="76">
        <f t="shared" si="0"/>
        <v>3313.9340429367594</v>
      </c>
      <c r="K8" s="76">
        <f t="shared" si="0"/>
        <v>3259.1536075350923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1">H36</f>
        <v>167106.71056882737</v>
      </c>
      <c r="I9" s="96">
        <f t="shared" si="1"/>
        <v>161328.9353860087</v>
      </c>
      <c r="J9" s="96">
        <f t="shared" si="1"/>
        <v>158655.13012288776</v>
      </c>
      <c r="K9" s="96">
        <f t="shared" si="1"/>
        <v>152532.73542913087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67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3589.0688094094057</v>
      </c>
      <c r="I13" s="86">
        <f t="shared" ref="I13:K13" si="2">I129+I163</f>
        <v>2406.1440794726918</v>
      </c>
      <c r="J13" s="86">
        <f t="shared" si="2"/>
        <v>1803.2148651874963</v>
      </c>
      <c r="K13" s="86">
        <f t="shared" si="2"/>
        <v>1263.1322187381795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9" si="3">H130+H164</f>
        <v>8980.3737607899948</v>
      </c>
      <c r="I14" s="86">
        <f t="shared" si="3"/>
        <v>6795.0042490632813</v>
      </c>
      <c r="J14" s="86">
        <f t="shared" si="3"/>
        <v>5838.036150148263</v>
      </c>
      <c r="K14" s="86">
        <f t="shared" si="3"/>
        <v>4849.3408209189565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si="3"/>
        <v>1357.4109413495639</v>
      </c>
      <c r="I15" s="86">
        <f t="shared" si="3"/>
        <v>1070.1936637064136</v>
      </c>
      <c r="J15" s="86">
        <f t="shared" si="3"/>
        <v>961.15944671988416</v>
      </c>
      <c r="K15" s="86">
        <f t="shared" si="3"/>
        <v>837.27199612993002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si="3"/>
        <v>219.64717145626702</v>
      </c>
      <c r="I16" s="86">
        <f t="shared" si="3"/>
        <v>161.4678623583689</v>
      </c>
      <c r="J16" s="86">
        <f t="shared" si="3"/>
        <v>134.19189816715604</v>
      </c>
      <c r="K16" s="86">
        <f t="shared" si="3"/>
        <v>107.18415174668466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si="3"/>
        <v>147.47400699665445</v>
      </c>
      <c r="I17" s="86">
        <f t="shared" si="3"/>
        <v>120.79055369229518</v>
      </c>
      <c r="J17" s="86">
        <f t="shared" si="3"/>
        <v>112.65912555406861</v>
      </c>
      <c r="K17" s="86">
        <f t="shared" si="3"/>
        <v>101.88373610081695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si="3"/>
        <v>870.55026304738203</v>
      </c>
      <c r="I18" s="86">
        <f t="shared" si="3"/>
        <v>1032.3737224466242</v>
      </c>
      <c r="J18" s="86">
        <f t="shared" si="3"/>
        <v>1239.8958671753658</v>
      </c>
      <c r="K18" s="86">
        <f t="shared" si="3"/>
        <v>1348.1495669843496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si="3"/>
        <v>116.79726704018628</v>
      </c>
      <c r="I19" s="86">
        <f t="shared" si="3"/>
        <v>195.17423488197457</v>
      </c>
      <c r="J19" s="86">
        <f t="shared" si="3"/>
        <v>253.12998991413434</v>
      </c>
      <c r="K19" s="86">
        <f t="shared" si="3"/>
        <v>287.9901187515988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15281.322220089454</v>
      </c>
      <c r="I20" s="13">
        <f t="shared" ref="I20:K20" si="4">SUM(I13:I19)</f>
        <v>11781.148365621651</v>
      </c>
      <c r="J20" s="13">
        <f t="shared" si="4"/>
        <v>10342.287342866368</v>
      </c>
      <c r="K20" s="13">
        <f t="shared" si="4"/>
        <v>8794.9526093705153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-0.42074521781854701</v>
      </c>
      <c r="J23" s="188">
        <f t="shared" ref="J23:K23" si="5">J114/$G114-1</f>
        <v>-0.52528797442415875</v>
      </c>
      <c r="K23" s="188">
        <f t="shared" si="5"/>
        <v>-0.63488543360128868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-0.12930581886302228</v>
      </c>
      <c r="J24" s="188">
        <f t="shared" ref="J24:K24" si="6">J125/$G125-1</f>
        <v>-0.21245299584208011</v>
      </c>
      <c r="K24" s="188">
        <f t="shared" si="6"/>
        <v>-0.30392214357560365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68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69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167106.71056882737</v>
      </c>
      <c r="H34" s="126">
        <f>'Init. parc'!C7</f>
        <v>167106.71056882737</v>
      </c>
      <c r="I34" s="126">
        <f>'Init. parc'!D7</f>
        <v>164691.46909822503</v>
      </c>
      <c r="J34" s="126">
        <f>'Init. parc'!E7</f>
        <v>161969.06416582453</v>
      </c>
      <c r="K34" s="126">
        <f>'Init. parc'!F7</f>
        <v>155791.88903666596</v>
      </c>
      <c r="L34" s="65"/>
      <c r="M34" s="65"/>
      <c r="N34" s="65"/>
      <c r="O34" s="42"/>
    </row>
    <row r="35" spans="1:17" s="17" customFormat="1" ht="21">
      <c r="A35" s="56"/>
      <c r="C35" s="40"/>
      <c r="D35" s="32"/>
      <c r="E35" s="83" t="s">
        <v>29</v>
      </c>
      <c r="F35" s="55"/>
      <c r="G35" s="195"/>
      <c r="H35" s="126">
        <v>0</v>
      </c>
      <c r="I35" s="126">
        <f>'Init. parc'!N7</f>
        <v>3362.5337122163387</v>
      </c>
      <c r="J35" s="126">
        <f>'Init. parc'!O7</f>
        <v>3313.9340429367594</v>
      </c>
      <c r="K35" s="126">
        <f>'Init. parc'!P7</f>
        <v>3259.1536075350923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30</v>
      </c>
      <c r="F36" s="55"/>
      <c r="G36" s="195">
        <f>G34-G35</f>
        <v>167106.71056882737</v>
      </c>
      <c r="H36" s="126">
        <f>H34-H35</f>
        <v>167106.71056882737</v>
      </c>
      <c r="I36" s="126">
        <f>I34-I35</f>
        <v>161328.9353860087</v>
      </c>
      <c r="J36" s="126">
        <f>J34-J35</f>
        <v>158655.13012288776</v>
      </c>
      <c r="K36" s="126">
        <f>K34-K35</f>
        <v>152532.73542913087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0.20223518285214698</v>
      </c>
      <c r="H45" s="55">
        <f>'Init. énergie'!B30</f>
        <v>0.20223518285214698</v>
      </c>
      <c r="I45" s="47">
        <f>H45+((K45-H45)/3)</f>
        <v>0.17482345523476464</v>
      </c>
      <c r="J45" s="47">
        <f>H45+((K45-H45)/3*2)</f>
        <v>0.14741172761738233</v>
      </c>
      <c r="K45" s="47">
        <v>0.12</v>
      </c>
      <c r="L45" s="64"/>
      <c r="M45" s="334"/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7">H46</f>
        <v>0.58817685192014335</v>
      </c>
      <c r="H46" s="55">
        <f>'Init. énergie'!B31</f>
        <v>0.58817685192014335</v>
      </c>
      <c r="I46" s="47">
        <f t="shared" ref="I46:I51" si="8">H46+((K46-H46)/3)</f>
        <v>0.55878456794676223</v>
      </c>
      <c r="J46" s="47">
        <f t="shared" ref="J46:J51" si="9">H46+((K46-H46)/3*2)</f>
        <v>0.52939228397338112</v>
      </c>
      <c r="K46" s="47">
        <v>0.5</v>
      </c>
      <c r="L46" s="64"/>
      <c r="M46" s="335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7"/>
        <v>8.4009548274215404E-2</v>
      </c>
      <c r="H47" s="55">
        <f>'Init. énergie'!B32</f>
        <v>8.4009548274215404E-2</v>
      </c>
      <c r="I47" s="47">
        <f t="shared" si="8"/>
        <v>8.2673032182810274E-2</v>
      </c>
      <c r="J47" s="47">
        <f t="shared" si="9"/>
        <v>8.1336516091405131E-2</v>
      </c>
      <c r="K47" s="47">
        <v>0.08</v>
      </c>
      <c r="L47" s="64"/>
      <c r="M47" s="335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7"/>
        <v>1.3320407248410885E-2</v>
      </c>
      <c r="H48" s="55">
        <f>'Init. énergie'!B33</f>
        <v>1.3320407248410885E-2</v>
      </c>
      <c r="I48" s="47">
        <f t="shared" si="8"/>
        <v>1.2213604832273923E-2</v>
      </c>
      <c r="J48" s="47">
        <f t="shared" si="9"/>
        <v>1.1106802416136962E-2</v>
      </c>
      <c r="K48" s="47">
        <v>0.01</v>
      </c>
      <c r="L48" s="64"/>
      <c r="M48" s="335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7"/>
        <v>9.3630592275931179E-3</v>
      </c>
      <c r="H49" s="55">
        <f>'Init. énergie'!B34</f>
        <v>9.3630592275931179E-3</v>
      </c>
      <c r="I49" s="47">
        <f t="shared" si="8"/>
        <v>9.5753728183954126E-3</v>
      </c>
      <c r="J49" s="47">
        <f t="shared" si="9"/>
        <v>9.7876864091977055E-3</v>
      </c>
      <c r="K49" s="47">
        <v>0.01</v>
      </c>
      <c r="L49" s="64"/>
      <c r="M49" s="335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7"/>
        <v>8.9833717887786435E-2</v>
      </c>
      <c r="H50" s="55">
        <f>'Init. énergie'!B35</f>
        <v>8.9833717887786435E-2</v>
      </c>
      <c r="I50" s="47">
        <f t="shared" si="8"/>
        <v>0.13655581192519095</v>
      </c>
      <c r="J50" s="47">
        <f t="shared" si="9"/>
        <v>0.18327790596259547</v>
      </c>
      <c r="K50" s="47">
        <f>1-K45-K46-K47-K48-K49-K51</f>
        <v>0.22999999999999998</v>
      </c>
      <c r="L50" s="64"/>
      <c r="M50" s="335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7"/>
        <v>1.3061232589703731E-2</v>
      </c>
      <c r="H51" s="55">
        <f>'Init. énergie'!B36</f>
        <v>1.3061232589703731E-2</v>
      </c>
      <c r="I51" s="47">
        <f t="shared" si="8"/>
        <v>2.5374155059802488E-2</v>
      </c>
      <c r="J51" s="47">
        <f t="shared" si="9"/>
        <v>3.7687077529901247E-2</v>
      </c>
      <c r="K51" s="124">
        <v>0.05</v>
      </c>
      <c r="L51" s="64"/>
      <c r="M51" s="336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J52" si="10">SUM(G45:G51)</f>
        <v>0.99999999999999978</v>
      </c>
      <c r="H52" s="159">
        <f t="shared" si="10"/>
        <v>0.99999999999999978</v>
      </c>
      <c r="I52" s="165">
        <f t="shared" si="10"/>
        <v>0.99999999999999989</v>
      </c>
      <c r="J52" s="165">
        <f t="shared" si="10"/>
        <v>0.99999999999999978</v>
      </c>
      <c r="K52" s="165">
        <f>SUM(K45:K51)</f>
        <v>1</v>
      </c>
      <c r="L52" s="63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K55" si="11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-2.6756122710982433E-2</v>
      </c>
      <c r="J55" s="152">
        <f t="shared" si="11"/>
        <v>-2.7491693845032888E-2</v>
      </c>
      <c r="K55" s="152">
        <f t="shared" si="11"/>
        <v>-2.8268852482841559E-2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>
        <v>2006</v>
      </c>
      <c r="G58" s="4">
        <v>2015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0.20223518285214698</v>
      </c>
      <c r="H59" s="55">
        <f>H45</f>
        <v>0.20223518285214698</v>
      </c>
      <c r="I59" s="47">
        <f>H59+((K59-H59)/3)</f>
        <v>0.17482345523476464</v>
      </c>
      <c r="J59" s="47">
        <f>H59+((K59-H59)/3*2)</f>
        <v>0.14741172761738233</v>
      </c>
      <c r="K59" s="47">
        <v>0.12</v>
      </c>
      <c r="L59" s="64"/>
      <c r="M59" s="334"/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2">H60</f>
        <v>0.58817685192014335</v>
      </c>
      <c r="H60" s="55">
        <f t="shared" ref="H60:H65" si="13">H46</f>
        <v>0.58817685192014335</v>
      </c>
      <c r="I60" s="47">
        <f t="shared" ref="I60:I65" si="14">H60+((K60-H60)/3)</f>
        <v>0.55878456794676223</v>
      </c>
      <c r="J60" s="47">
        <f t="shared" ref="J60:J65" si="15">H60+((K60-H60)/3*2)</f>
        <v>0.52939228397338112</v>
      </c>
      <c r="K60" s="47">
        <v>0.5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2"/>
        <v>8.4009548274215404E-2</v>
      </c>
      <c r="H61" s="55">
        <f t="shared" si="13"/>
        <v>8.4009548274215404E-2</v>
      </c>
      <c r="I61" s="47">
        <f t="shared" si="14"/>
        <v>8.2673032182810274E-2</v>
      </c>
      <c r="J61" s="47">
        <f t="shared" si="15"/>
        <v>8.1336516091405131E-2</v>
      </c>
      <c r="K61" s="47">
        <v>0.08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2"/>
        <v>1.3320407248410885E-2</v>
      </c>
      <c r="H62" s="55">
        <f t="shared" si="13"/>
        <v>1.3320407248410885E-2</v>
      </c>
      <c r="I62" s="47">
        <f t="shared" si="14"/>
        <v>1.2213604832273923E-2</v>
      </c>
      <c r="J62" s="47">
        <f t="shared" si="15"/>
        <v>1.1106802416136962E-2</v>
      </c>
      <c r="K62" s="47">
        <v>0.01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2"/>
        <v>9.3630592275931179E-3</v>
      </c>
      <c r="H63" s="55">
        <f t="shared" si="13"/>
        <v>9.3630592275931179E-3</v>
      </c>
      <c r="I63" s="47">
        <f t="shared" si="14"/>
        <v>9.5753728183954126E-3</v>
      </c>
      <c r="J63" s="47">
        <f t="shared" si="15"/>
        <v>9.7876864091977055E-3</v>
      </c>
      <c r="K63" s="47">
        <v>0.01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2"/>
        <v>8.9833717887786435E-2</v>
      </c>
      <c r="H64" s="55">
        <f t="shared" si="13"/>
        <v>8.9833717887786435E-2</v>
      </c>
      <c r="I64" s="47">
        <f t="shared" si="14"/>
        <v>0.13655581192519095</v>
      </c>
      <c r="J64" s="47">
        <f t="shared" si="15"/>
        <v>0.18327790596259547</v>
      </c>
      <c r="K64" s="47">
        <f>1-K59-K60-K61-K62-K63-K65</f>
        <v>0.22999999999999998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2"/>
        <v>1.3061232589703731E-2</v>
      </c>
      <c r="H65" s="55">
        <f t="shared" si="13"/>
        <v>1.3061232589703731E-2</v>
      </c>
      <c r="I65" s="47">
        <f t="shared" si="14"/>
        <v>2.5374155059802488E-2</v>
      </c>
      <c r="J65" s="47">
        <f t="shared" si="15"/>
        <v>3.7687077529901247E-2</v>
      </c>
      <c r="K65" s="124">
        <v>0.05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16">SUM(G59:G65)</f>
        <v>0.99999999999999978</v>
      </c>
      <c r="H66" s="159">
        <v>1</v>
      </c>
      <c r="I66" s="47">
        <f t="shared" ref="I66:J66" si="17">SUM(I59:I65)</f>
        <v>0.99999999999999989</v>
      </c>
      <c r="J66" s="47">
        <f t="shared" si="17"/>
        <v>0.99999999999999978</v>
      </c>
      <c r="K66" s="47">
        <f>SUM(K59:K65)</f>
        <v>1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-2.6756122710982433E-2</v>
      </c>
      <c r="J69" s="152">
        <f t="shared" ref="J69:K69" si="18">(I$97*(J59-I59)+I$98*(J60-I60)+I$99*(J61-I61)+I$100*(J62-I62)+I$101*(J63-I63)+I$102*(J64-I64)+I$103*(J65-I65))/(I$97*I59+I$98*I60+I$99*I61+I$100*I62+I$101*I63+I$102*I64+I$103*I65)</f>
        <v>-2.7388661027361476E-2</v>
      </c>
      <c r="K69" s="152">
        <f t="shared" si="18"/>
        <v>-2.8060256467635401E-2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31" t="s">
        <v>92</v>
      </c>
      <c r="G72" s="130" t="s">
        <v>91</v>
      </c>
      <c r="H72" s="130" t="s">
        <v>35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bord'!H12</f>
        <v>0.85</v>
      </c>
      <c r="G73" s="92">
        <f>'Tableau de bord'!H24</f>
        <v>0.49649999999999994</v>
      </c>
      <c r="H73" s="92">
        <f>'Tableau de bord'!H27</f>
        <v>0.42202499999999993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4"/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54"/>
      <c r="G77" s="81">
        <f>H77/0.998^10</f>
        <v>108.34921505852287</v>
      </c>
      <c r="H77" s="54">
        <f>'Init. énergie'!D30</f>
        <v>106.20162996399759</v>
      </c>
      <c r="I77" s="81">
        <f>G77*60%/(1+I$55)</f>
        <v>66.796751104356844</v>
      </c>
      <c r="J77" s="81">
        <f>G77*50%/(1+I$55)/(1+J$55)</f>
        <v>57.237515506382501</v>
      </c>
      <c r="K77" s="81">
        <f>G77*40%/(1+I$55)/(1+J$55)/(1+K$55)</f>
        <v>47.122100101558665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54"/>
      <c r="G78" s="81">
        <f t="shared" ref="G78:G83" si="19">H78/0.998^10</f>
        <v>93.215295454480156</v>
      </c>
      <c r="H78" s="54">
        <f>'Init. énergie'!D31</f>
        <v>91.367679124341691</v>
      </c>
      <c r="I78" s="81">
        <f t="shared" ref="I78:I83" si="20">G78*60%/(1+I$55)</f>
        <v>57.466765091273409</v>
      </c>
      <c r="J78" s="81">
        <f t="shared" ref="J78:J83" si="21">G78*50%/(1+I$55)/(1+J$55)</f>
        <v>49.242737163587272</v>
      </c>
      <c r="K78" s="81">
        <f t="shared" ref="K78:K83" si="22">G78*40%/(1+I$55)/(1+J$55)/(1+K$55)</f>
        <v>40.540215090897057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54"/>
      <c r="G79" s="81">
        <f t="shared" si="19"/>
        <v>98.646888812351946</v>
      </c>
      <c r="H79" s="54">
        <f>'Init. énergie'!D32</f>
        <v>96.691613105737261</v>
      </c>
      <c r="I79" s="81">
        <f t="shared" si="20"/>
        <v>60.815315327007674</v>
      </c>
      <c r="J79" s="81">
        <f t="shared" si="21"/>
        <v>52.112078753903624</v>
      </c>
      <c r="K79" s="81">
        <f t="shared" si="22"/>
        <v>42.902466499754524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54"/>
      <c r="G80" s="81">
        <f t="shared" si="19"/>
        <v>100.67202601803508</v>
      </c>
      <c r="H80" s="54">
        <f>'Init. énergie'!D33</f>
        <v>98.676610154660196</v>
      </c>
      <c r="I80" s="81">
        <f t="shared" si="20"/>
        <v>62.063802321649256</v>
      </c>
      <c r="J80" s="81">
        <f t="shared" si="21"/>
        <v>53.181895661670168</v>
      </c>
      <c r="K80" s="81">
        <f t="shared" si="22"/>
        <v>43.783217856135344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54"/>
      <c r="G81" s="81">
        <f t="shared" si="19"/>
        <v>96.16087505642119</v>
      </c>
      <c r="H81" s="54">
        <f>'Init. énergie'!D34</f>
        <v>94.25487452068927</v>
      </c>
      <c r="I81" s="81">
        <f t="shared" si="20"/>
        <v>59.282700236005667</v>
      </c>
      <c r="J81" s="81">
        <f t="shared" si="21"/>
        <v>50.798795119801532</v>
      </c>
      <c r="K81" s="81">
        <f t="shared" si="22"/>
        <v>41.821275565445063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54"/>
      <c r="G82" s="81">
        <f t="shared" si="19"/>
        <v>59.163679251152168</v>
      </c>
      <c r="H82" s="54">
        <f>'Init. énergie'!D35</f>
        <v>57.990998529575918</v>
      </c>
      <c r="I82" s="81">
        <f t="shared" si="20"/>
        <v>36.474113404722338</v>
      </c>
      <c r="J82" s="81">
        <f t="shared" si="21"/>
        <v>31.254328946669062</v>
      </c>
      <c r="K82" s="81">
        <f t="shared" si="22"/>
        <v>25.730844607812422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54"/>
      <c r="G83" s="81">
        <f t="shared" si="19"/>
        <v>54.594540395456711</v>
      </c>
      <c r="H83" s="54">
        <f>'Init. énergie'!D36</f>
        <v>53.512424377058124</v>
      </c>
      <c r="I83" s="81">
        <f t="shared" si="20"/>
        <v>33.657262071371335</v>
      </c>
      <c r="J83" s="81">
        <f t="shared" si="21"/>
        <v>28.840595206536062</v>
      </c>
      <c r="K83" s="81">
        <f t="shared" si="22"/>
        <v>23.743682832623666</v>
      </c>
      <c r="M83" s="339"/>
      <c r="N83" s="33"/>
      <c r="O83" s="42"/>
      <c r="Q83" s="52"/>
      <c r="R83" s="52"/>
      <c r="V83" s="101"/>
    </row>
    <row r="84" spans="1:184" s="17" customFormat="1" ht="28.5" customHeight="1">
      <c r="A84" s="56"/>
      <c r="C84" s="40"/>
      <c r="D84" s="32"/>
      <c r="E84" s="91"/>
      <c r="F84" s="89"/>
      <c r="G84" s="123" t="s">
        <v>74</v>
      </c>
      <c r="H84" s="89"/>
      <c r="M84" s="97"/>
      <c r="N84" s="33"/>
      <c r="O84" s="42"/>
    </row>
    <row r="85" spans="1:184" s="17" customFormat="1" ht="69" customHeight="1">
      <c r="A85" s="56"/>
      <c r="C85" s="40"/>
      <c r="D85" s="32"/>
      <c r="F85" s="333" t="s">
        <v>70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23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23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23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23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23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23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71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>G77</f>
        <v>108.34921505852287</v>
      </c>
      <c r="H97" s="54">
        <f>H77</f>
        <v>106.20162996399759</v>
      </c>
      <c r="I97" s="81">
        <f>$H97*(1+$G87)^(I$96-$H$96)</f>
        <v>98.281271439086709</v>
      </c>
      <c r="J97" s="81">
        <f>$H97*(1+$G87)^(J$96-$H$96)</f>
        <v>90.951601392162416</v>
      </c>
      <c r="K97" s="81">
        <f>$H97*(1+$G87)^(K$96-$H$96)</f>
        <v>84.168567161097272</v>
      </c>
      <c r="L97" s="67"/>
      <c r="M97" s="79">
        <f>(K97-G97)/H97</f>
        <v>-0.22768622200641228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ref="G98:H103" si="24">G78</f>
        <v>93.215295454480156</v>
      </c>
      <c r="H98" s="54">
        <f t="shared" si="24"/>
        <v>91.367679124341691</v>
      </c>
      <c r="I98" s="81">
        <f t="shared" ref="I98:K103" si="25">$H98*(1+$G88)^(I$96-$H$96)</f>
        <v>86.914050385903508</v>
      </c>
      <c r="J98" s="81">
        <f t="shared" si="25"/>
        <v>82.677509452802369</v>
      </c>
      <c r="K98" s="81">
        <f t="shared" si="25"/>
        <v>78.647474590907777</v>
      </c>
      <c r="L98" s="67"/>
      <c r="M98" s="79">
        <f t="shared" ref="M98:M103" si="26">(K98-G98)/H98</f>
        <v>-0.15944173041483439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24"/>
        <v>98.646888812351946</v>
      </c>
      <c r="H99" s="54">
        <f t="shared" si="24"/>
        <v>96.691613105737261</v>
      </c>
      <c r="I99" s="81">
        <f t="shared" si="25"/>
        <v>92.91101039629676</v>
      </c>
      <c r="J99" s="81">
        <f t="shared" si="25"/>
        <v>89.278227713718337</v>
      </c>
      <c r="K99" s="81">
        <f t="shared" si="25"/>
        <v>85.787485355129007</v>
      </c>
      <c r="L99" s="67"/>
      <c r="M99" s="79">
        <f t="shared" si="26"/>
        <v>-0.13299399031806947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24"/>
        <v>100.67202601803508</v>
      </c>
      <c r="H100" s="54">
        <f t="shared" si="24"/>
        <v>98.676610154660196</v>
      </c>
      <c r="I100" s="81">
        <f t="shared" si="25"/>
        <v>94.818394868695776</v>
      </c>
      <c r="J100" s="81">
        <f t="shared" si="25"/>
        <v>91.111034229739587</v>
      </c>
      <c r="K100" s="81">
        <f t="shared" si="25"/>
        <v>87.548629882506276</v>
      </c>
      <c r="L100" s="67"/>
      <c r="M100" s="79">
        <f t="shared" si="26"/>
        <v>-0.1329939903180696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24"/>
        <v>96.16087505642119</v>
      </c>
      <c r="H101" s="54">
        <f t="shared" si="24"/>
        <v>94.25487452068927</v>
      </c>
      <c r="I101" s="81">
        <f t="shared" si="25"/>
        <v>90.569547297931948</v>
      </c>
      <c r="J101" s="81">
        <f>$H101*(1+$G91)^(J$96-$H$96)</f>
        <v>87.028314869293879</v>
      </c>
      <c r="K101" s="81">
        <f>$H101*(1+$G91)^(K$96-$H$96)</f>
        <v>83.625543186985794</v>
      </c>
      <c r="L101" s="67"/>
      <c r="M101" s="79">
        <f t="shared" si="26"/>
        <v>-0.13299399031806941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24"/>
        <v>59.163679251152168</v>
      </c>
      <c r="H102" s="54">
        <f t="shared" si="24"/>
        <v>57.990998529575918</v>
      </c>
      <c r="I102" s="81">
        <f t="shared" si="25"/>
        <v>54.301245286572687</v>
      </c>
      <c r="J102" s="81">
        <f t="shared" si="25"/>
        <v>50.846257426809224</v>
      </c>
      <c r="K102" s="81">
        <f t="shared" si="25"/>
        <v>47.611097695261172</v>
      </c>
      <c r="L102" s="67"/>
      <c r="M102" s="79">
        <f t="shared" si="26"/>
        <v>-0.19921335808692925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24"/>
        <v>54.594540395456711</v>
      </c>
      <c r="H103" s="54">
        <f t="shared" si="24"/>
        <v>53.512424377058124</v>
      </c>
      <c r="I103" s="81">
        <f t="shared" si="25"/>
        <v>50.107626280927477</v>
      </c>
      <c r="J103" s="81">
        <f t="shared" si="25"/>
        <v>46.919462923558257</v>
      </c>
      <c r="K103" s="81">
        <f t="shared" si="25"/>
        <v>43.934150635930109</v>
      </c>
      <c r="L103" s="67"/>
      <c r="M103" s="79">
        <f t="shared" si="26"/>
        <v>-0.19921335808692925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93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>G$36*G45*$H$73*G77/1000</f>
        <v>1545.3062117214988</v>
      </c>
      <c r="H107" s="54">
        <f>H$36*H45*$H$73*H77/1000</f>
        <v>1514.6767642910038</v>
      </c>
      <c r="I107" s="126">
        <f>I$36*I45*$H$73*I77/1000</f>
        <v>795.07021728143116</v>
      </c>
      <c r="J107" s="126">
        <f>J$36*J45*$H$73*J77/1000</f>
        <v>564.94361987275943</v>
      </c>
      <c r="K107" s="126">
        <f>K$36*K45*$H$73*K77/1000</f>
        <v>364.00480858098621</v>
      </c>
      <c r="L107" s="46"/>
      <c r="M107" s="79">
        <f>(K107-G107)/H107</f>
        <v>-0.77990329751540155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ref="G108:K113" si="27">G$36*G46*$H$73*G78/1000</f>
        <v>3866.5815823166454</v>
      </c>
      <c r="H108" s="54">
        <f t="shared" si="27"/>
        <v>3789.9422363973968</v>
      </c>
      <c r="I108" s="126">
        <f t="shared" si="27"/>
        <v>2186.3092924154789</v>
      </c>
      <c r="J108" s="126">
        <f t="shared" si="27"/>
        <v>1745.4688007199966</v>
      </c>
      <c r="K108" s="126">
        <f t="shared" si="27"/>
        <v>1304.8400858434538</v>
      </c>
      <c r="L108" s="46"/>
      <c r="M108" s="79">
        <f t="shared" ref="M108:M114" si="28">(K108-G108)/H108</f>
        <v>-0.67593154108551923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27"/>
        <v>584.44562389746397</v>
      </c>
      <c r="H109" s="54">
        <f t="shared" si="27"/>
        <v>572.86135252304962</v>
      </c>
      <c r="I109" s="126">
        <f t="shared" si="27"/>
        <v>342.31606074394188</v>
      </c>
      <c r="J109" s="126">
        <f t="shared" si="27"/>
        <v>283.80252946796548</v>
      </c>
      <c r="K109" s="126">
        <f t="shared" si="27"/>
        <v>220.93956016727932</v>
      </c>
      <c r="L109" s="46"/>
      <c r="M109" s="79">
        <f t="shared" si="28"/>
        <v>-0.63454457545302578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27"/>
        <v>94.571086948394196</v>
      </c>
      <c r="H110" s="54">
        <f t="shared" si="27"/>
        <v>92.696597533831067</v>
      </c>
      <c r="I110" s="126">
        <f t="shared" si="27"/>
        <v>51.609861053824119</v>
      </c>
      <c r="J110" s="126">
        <f t="shared" si="27"/>
        <v>39.549878883668612</v>
      </c>
      <c r="K110" s="126">
        <f t="shared" si="27"/>
        <v>28.184407812246828</v>
      </c>
      <c r="L110" s="46"/>
      <c r="M110" s="79">
        <f t="shared" si="28"/>
        <v>-0.71617169240670897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27"/>
        <v>63.49627471112499</v>
      </c>
      <c r="H111" s="54">
        <f t="shared" si="27"/>
        <v>62.237717802763086</v>
      </c>
      <c r="I111" s="126">
        <f t="shared" si="27"/>
        <v>38.648631045445988</v>
      </c>
      <c r="J111" s="126">
        <f t="shared" si="27"/>
        <v>33.290916852873536</v>
      </c>
      <c r="K111" s="126">
        <f t="shared" si="27"/>
        <v>26.921454006370727</v>
      </c>
      <c r="L111" s="46"/>
      <c r="M111" s="79">
        <f t="shared" si="28"/>
        <v>-0.58766326909131128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27"/>
        <v>374.82333177230811</v>
      </c>
      <c r="H112" s="54">
        <f t="shared" si="27"/>
        <v>367.39397476257136</v>
      </c>
      <c r="I112" s="126">
        <f t="shared" si="27"/>
        <v>339.11373429524218</v>
      </c>
      <c r="J112" s="126">
        <f t="shared" si="27"/>
        <v>383.54170192574622</v>
      </c>
      <c r="K112" s="126">
        <f t="shared" si="27"/>
        <v>380.96327829878368</v>
      </c>
      <c r="L112" s="46"/>
      <c r="M112" s="79">
        <f t="shared" si="28"/>
        <v>1.6712159012524673E-2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27"/>
        <v>50.288125375616424</v>
      </c>
      <c r="H113" s="54">
        <f t="shared" si="27"/>
        <v>49.291366622634605</v>
      </c>
      <c r="I113" s="126">
        <f t="shared" si="27"/>
        <v>58.146130719437416</v>
      </c>
      <c r="J113" s="126">
        <f t="shared" si="27"/>
        <v>72.776133482318158</v>
      </c>
      <c r="K113" s="126">
        <f t="shared" si="27"/>
        <v>76.422162724334129</v>
      </c>
      <c r="L113" s="46"/>
      <c r="M113" s="79">
        <f t="shared" si="28"/>
        <v>0.53019502479602487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6579.5122367430522</v>
      </c>
      <c r="H114" s="156">
        <f>SUM(H107:H113)</f>
        <v>6449.1000099332496</v>
      </c>
      <c r="I114" s="154">
        <f t="shared" ref="I114:J114" si="29">SUM(I107:I113)</f>
        <v>3811.2139275548016</v>
      </c>
      <c r="J114" s="154">
        <f t="shared" si="29"/>
        <v>3123.3735812053278</v>
      </c>
      <c r="K114" s="154">
        <f>SUM(K107:K113)</f>
        <v>2402.2757574334546</v>
      </c>
      <c r="L114" s="21"/>
      <c r="M114" s="79">
        <f t="shared" si="28"/>
        <v>-0.64772394177103687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94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>G$36*G45*(1-$H$73)*G97/1000</f>
        <v>2116.3399270653013</v>
      </c>
      <c r="H118" s="157">
        <f>H$36*H45*(1-$H$73)*H97/1000</f>
        <v>2074.3920451184017</v>
      </c>
      <c r="I118" s="153">
        <f t="shared" ref="I118:K118" si="30">I$36*I45*(1-$H$73)*I97/1000</f>
        <v>1602.10799314932</v>
      </c>
      <c r="J118" s="153">
        <f t="shared" si="30"/>
        <v>1229.4349625632351</v>
      </c>
      <c r="K118" s="153">
        <f t="shared" si="30"/>
        <v>890.43719410774042</v>
      </c>
      <c r="L118" s="46"/>
      <c r="M118" s="79">
        <f>(K118-G118)/H118</f>
        <v>-0.59096964618739123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ref="G119:K124" si="31">G$36*G46*(1-$H$73)*G98/1000</f>
        <v>5295.3912446880249</v>
      </c>
      <c r="H119" s="157">
        <f t="shared" si="31"/>
        <v>5190.4315243925985</v>
      </c>
      <c r="I119" s="153">
        <f t="shared" si="31"/>
        <v>4528.5139992253035</v>
      </c>
      <c r="J119" s="153">
        <f t="shared" si="31"/>
        <v>4013.5452705023886</v>
      </c>
      <c r="K119" s="153">
        <f t="shared" si="31"/>
        <v>3466.7849174794583</v>
      </c>
      <c r="L119" s="46"/>
      <c r="M119" s="79">
        <f t="shared" ref="M119:M125" si="32">(K119-G119)/H119</f>
        <v>-0.3523033332806671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31"/>
        <v>800.41457134562381</v>
      </c>
      <c r="H120" s="157">
        <f t="shared" si="31"/>
        <v>784.54958882651431</v>
      </c>
      <c r="I120" s="153">
        <f t="shared" si="31"/>
        <v>716.22977421630037</v>
      </c>
      <c r="J120" s="153">
        <f t="shared" si="31"/>
        <v>665.87743793309517</v>
      </c>
      <c r="K120" s="153">
        <f t="shared" si="31"/>
        <v>605.04271626701882</v>
      </c>
      <c r="L120" s="46"/>
      <c r="M120" s="79">
        <f t="shared" si="32"/>
        <v>-0.2490242272267727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31"/>
        <v>129.51773942064608</v>
      </c>
      <c r="H121" s="157">
        <f t="shared" si="31"/>
        <v>126.95057392243594</v>
      </c>
      <c r="I121" s="153">
        <f t="shared" si="31"/>
        <v>107.98359577281168</v>
      </c>
      <c r="J121" s="153">
        <f t="shared" si="31"/>
        <v>92.79470507536162</v>
      </c>
      <c r="K121" s="153">
        <f t="shared" si="31"/>
        <v>77.18296644651636</v>
      </c>
      <c r="L121" s="46"/>
      <c r="M121" s="79">
        <f t="shared" si="32"/>
        <v>-0.41224526488635754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31"/>
        <v>86.959917957851985</v>
      </c>
      <c r="H122" s="157">
        <f t="shared" si="31"/>
        <v>85.23628919389138</v>
      </c>
      <c r="I122" s="153">
        <f t="shared" si="31"/>
        <v>80.864743031017028</v>
      </c>
      <c r="J122" s="153">
        <f t="shared" si="31"/>
        <v>78.109488530606399</v>
      </c>
      <c r="K122" s="153">
        <f t="shared" si="31"/>
        <v>73.72436898824094</v>
      </c>
      <c r="L122" s="46"/>
      <c r="M122" s="79">
        <f t="shared" si="32"/>
        <v>-0.15528068026874634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31"/>
        <v>513.33099977750101</v>
      </c>
      <c r="H123" s="157">
        <f t="shared" si="31"/>
        <v>503.15628828481073</v>
      </c>
      <c r="I123" s="153">
        <f t="shared" si="31"/>
        <v>691.41898411613124</v>
      </c>
      <c r="J123" s="153">
        <f t="shared" si="31"/>
        <v>854.53976977651666</v>
      </c>
      <c r="K123" s="153">
        <f t="shared" si="31"/>
        <v>965.40188577499441</v>
      </c>
      <c r="L123" s="46"/>
      <c r="M123" s="79">
        <f t="shared" si="32"/>
        <v>0.89847011062614301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31"/>
        <v>68.870989310993224</v>
      </c>
      <c r="H124" s="157">
        <f t="shared" si="31"/>
        <v>67.505900417551686</v>
      </c>
      <c r="I124" s="153">
        <f t="shared" si="31"/>
        <v>118.55414442552483</v>
      </c>
      <c r="J124" s="153">
        <f t="shared" si="31"/>
        <v>162.14690616157623</v>
      </c>
      <c r="K124" s="153">
        <f t="shared" si="31"/>
        <v>193.66197271961897</v>
      </c>
      <c r="L124" s="46"/>
      <c r="M124" s="79">
        <f t="shared" si="32"/>
        <v>1.848593717537909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9010.8253895659436</v>
      </c>
      <c r="H125" s="158">
        <f>SUM(H118:H124)</f>
        <v>8832.222210156202</v>
      </c>
      <c r="I125" s="155">
        <f t="shared" ref="I125:K125" si="33">SUM(I118:I124)</f>
        <v>7845.673233936408</v>
      </c>
      <c r="J125" s="155">
        <f t="shared" si="33"/>
        <v>7096.4485405427804</v>
      </c>
      <c r="K125" s="155">
        <f t="shared" si="33"/>
        <v>6272.2360217835885</v>
      </c>
      <c r="L125" s="21"/>
      <c r="M125" s="79">
        <f t="shared" si="32"/>
        <v>-0.31006798771811267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72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3589.0688094094057</v>
      </c>
      <c r="I129" s="153">
        <f t="shared" ref="I129:K129" si="34">I107+I118</f>
        <v>2397.1782104307513</v>
      </c>
      <c r="J129" s="153">
        <f t="shared" si="34"/>
        <v>1794.3785824359945</v>
      </c>
      <c r="K129" s="153">
        <f t="shared" si="34"/>
        <v>1254.4420026887267</v>
      </c>
      <c r="L129" s="46"/>
      <c r="M129" s="79">
        <f>(K129-G129)/H129</f>
        <v>0.34951740111529089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5" si="35">H108+H119</f>
        <v>8980.3737607899948</v>
      </c>
      <c r="I130" s="153">
        <f t="shared" si="35"/>
        <v>6714.8232916407824</v>
      </c>
      <c r="J130" s="153">
        <f t="shared" si="35"/>
        <v>5759.0140712223856</v>
      </c>
      <c r="K130" s="153">
        <f t="shared" si="35"/>
        <v>4771.6250033229117</v>
      </c>
      <c r="L130" s="46"/>
      <c r="M130" s="79">
        <f t="shared" ref="M130:M136" si="36">(K130-G130)/H130</f>
        <v>0.53133924382487574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si="35"/>
        <v>1357.4109413495639</v>
      </c>
      <c r="I131" s="153">
        <f t="shared" si="35"/>
        <v>1058.5458349602422</v>
      </c>
      <c r="J131" s="153">
        <f t="shared" si="35"/>
        <v>949.67996740106059</v>
      </c>
      <c r="K131" s="153">
        <f t="shared" si="35"/>
        <v>825.98227643429811</v>
      </c>
      <c r="L131" s="46"/>
      <c r="M131" s="79">
        <f t="shared" si="36"/>
        <v>0.60849831931742848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si="35"/>
        <v>219.64717145626702</v>
      </c>
      <c r="I132" s="153">
        <f t="shared" si="35"/>
        <v>159.59345682663582</v>
      </c>
      <c r="J132" s="153">
        <f t="shared" si="35"/>
        <v>132.34458395903022</v>
      </c>
      <c r="K132" s="153">
        <f t="shared" si="35"/>
        <v>105.36737425876319</v>
      </c>
      <c r="L132" s="46"/>
      <c r="M132" s="79">
        <f t="shared" si="36"/>
        <v>0.47971195604375189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si="35"/>
        <v>147.47400699665445</v>
      </c>
      <c r="I133" s="153">
        <f t="shared" si="35"/>
        <v>119.51337407646301</v>
      </c>
      <c r="J133" s="153">
        <f t="shared" si="35"/>
        <v>111.40040538347994</v>
      </c>
      <c r="K133" s="153">
        <f t="shared" si="35"/>
        <v>100.64582299461166</v>
      </c>
      <c r="L133" s="46"/>
      <c r="M133" s="79">
        <f t="shared" si="36"/>
        <v>0.68246482918779638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si="35"/>
        <v>870.55026304738203</v>
      </c>
      <c r="I134" s="153">
        <f t="shared" si="35"/>
        <v>1030.5327184113735</v>
      </c>
      <c r="J134" s="153">
        <f t="shared" si="35"/>
        <v>1238.0814717022629</v>
      </c>
      <c r="K134" s="153">
        <f t="shared" si="35"/>
        <v>1346.365164073778</v>
      </c>
      <c r="L134" s="46"/>
      <c r="M134" s="79">
        <f t="shared" si="36"/>
        <v>1.5465679826007916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si="35"/>
        <v>116.79726704018628</v>
      </c>
      <c r="I135" s="153">
        <f t="shared" si="35"/>
        <v>176.70027514496223</v>
      </c>
      <c r="J135" s="153">
        <f t="shared" si="35"/>
        <v>234.92303964389438</v>
      </c>
      <c r="K135" s="153">
        <f t="shared" si="35"/>
        <v>270.08413544395307</v>
      </c>
      <c r="L135" s="46"/>
      <c r="M135" s="79">
        <f t="shared" si="36"/>
        <v>2.312418280737901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15281.322220089454</v>
      </c>
      <c r="I136" s="155">
        <f t="shared" ref="I136:K136" si="37">SUM(I129:I135)</f>
        <v>11656.88716149121</v>
      </c>
      <c r="J136" s="155">
        <f t="shared" si="37"/>
        <v>10219.822121748106</v>
      </c>
      <c r="K136" s="155">
        <f t="shared" si="37"/>
        <v>8674.5117792170422</v>
      </c>
      <c r="L136" s="21"/>
      <c r="M136" s="79">
        <f t="shared" si="36"/>
        <v>0.56765452977708775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76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énergie'!C30</f>
        <v>5.6584972145073235E-2</v>
      </c>
      <c r="I142" s="47">
        <f>H142</f>
        <v>5.6584972145073235E-2</v>
      </c>
      <c r="J142" s="47">
        <f>I142</f>
        <v>5.6584972145073235E-2</v>
      </c>
      <c r="K142" s="47">
        <f>J142</f>
        <v>5.6584972145073235E-2</v>
      </c>
      <c r="M142" s="334" t="s">
        <v>41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énergie'!C31</f>
        <v>0.5881912261494745</v>
      </c>
      <c r="I143" s="47">
        <f t="shared" ref="I143:K143" si="38">H143</f>
        <v>0.5881912261494745</v>
      </c>
      <c r="J143" s="47">
        <f t="shared" si="38"/>
        <v>0.5881912261494745</v>
      </c>
      <c r="K143" s="47">
        <f t="shared" si="38"/>
        <v>0.5881912261494745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énergie'!C32</f>
        <v>8.0741361547576412E-2</v>
      </c>
      <c r="I144" s="47">
        <f t="shared" ref="I144:K144" si="39">H144</f>
        <v>8.0741361547576412E-2</v>
      </c>
      <c r="J144" s="47">
        <f t="shared" si="39"/>
        <v>8.0741361547576412E-2</v>
      </c>
      <c r="K144" s="47">
        <f t="shared" si="39"/>
        <v>8.0741361547576412E-2</v>
      </c>
      <c r="M144" s="335"/>
      <c r="N144" s="33"/>
      <c r="O144" s="42"/>
    </row>
    <row r="145" spans="1:15" s="17" customFormat="1">
      <c r="A145" s="56"/>
      <c r="C145" s="40"/>
      <c r="D145" s="32"/>
      <c r="E145" s="6" t="s">
        <v>22</v>
      </c>
      <c r="F145" s="55"/>
      <c r="G145" s="55"/>
      <c r="H145" s="55">
        <f>'Init. énergie'!C33</f>
        <v>1.2731783152525081E-2</v>
      </c>
      <c r="I145" s="47">
        <f t="shared" ref="I145:K145" si="40">H145</f>
        <v>1.2731783152525081E-2</v>
      </c>
      <c r="J145" s="47">
        <f t="shared" si="40"/>
        <v>1.2731783152525081E-2</v>
      </c>
      <c r="K145" s="47">
        <f t="shared" si="40"/>
        <v>1.2731783152525081E-2</v>
      </c>
      <c r="M145" s="335"/>
      <c r="N145" s="33"/>
      <c r="O145" s="42"/>
    </row>
    <row r="146" spans="1:15" s="17" customFormat="1">
      <c r="A146" s="56"/>
      <c r="C146" s="40"/>
      <c r="D146" s="32"/>
      <c r="E146" s="6" t="s">
        <v>42</v>
      </c>
      <c r="F146" s="55"/>
      <c r="G146" s="55"/>
      <c r="H146" s="55">
        <f>'Init. énergie'!C34</f>
        <v>9.0821371602788342E-3</v>
      </c>
      <c r="I146" s="47">
        <f t="shared" ref="I146:K146" si="41">H146</f>
        <v>9.0821371602788342E-3</v>
      </c>
      <c r="J146" s="47">
        <f t="shared" si="41"/>
        <v>9.0821371602788342E-3</v>
      </c>
      <c r="K146" s="47">
        <f t="shared" si="41"/>
        <v>9.0821371602788342E-3</v>
      </c>
      <c r="M146" s="335"/>
      <c r="N146" s="33"/>
      <c r="O146" s="42"/>
    </row>
    <row r="147" spans="1:15" s="17" customFormat="1">
      <c r="A147" s="56"/>
      <c r="C147" s="40"/>
      <c r="D147" s="32"/>
      <c r="E147" s="6" t="s">
        <v>25</v>
      </c>
      <c r="F147" s="55"/>
      <c r="G147" s="85"/>
      <c r="H147" s="55">
        <f>'Init. énergie'!C35</f>
        <v>2.1278159067402536E-2</v>
      </c>
      <c r="I147" s="47">
        <f t="shared" ref="I147:K147" si="42">H147</f>
        <v>2.1278159067402536E-2</v>
      </c>
      <c r="J147" s="47">
        <f t="shared" si="42"/>
        <v>2.1278159067402536E-2</v>
      </c>
      <c r="K147" s="47">
        <f t="shared" si="42"/>
        <v>2.1278159067402536E-2</v>
      </c>
      <c r="M147" s="335"/>
      <c r="N147" s="33"/>
      <c r="O147" s="42"/>
    </row>
    <row r="148" spans="1:15" s="17" customFormat="1">
      <c r="A148" s="56"/>
      <c r="C148" s="40"/>
      <c r="D148" s="32"/>
      <c r="E148" s="6" t="s">
        <v>26</v>
      </c>
      <c r="F148" s="55"/>
      <c r="G148" s="85"/>
      <c r="H148" s="55">
        <f>'Init. énergie'!C36</f>
        <v>0.23139036077766945</v>
      </c>
      <c r="I148" s="47">
        <f t="shared" ref="I148:K148" si="43">H148</f>
        <v>0.23139036077766945</v>
      </c>
      <c r="J148" s="47">
        <f t="shared" si="43"/>
        <v>0.23139036077766945</v>
      </c>
      <c r="K148" s="47">
        <f t="shared" si="43"/>
        <v>0.23139036077766945</v>
      </c>
      <c r="M148" s="335"/>
      <c r="N148" s="33"/>
      <c r="O148" s="42"/>
    </row>
    <row r="149" spans="1:15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1</v>
      </c>
      <c r="I149" s="15">
        <f t="shared" ref="I149:K149" si="44">SUM(I142:I148)</f>
        <v>1</v>
      </c>
      <c r="J149" s="15">
        <f t="shared" si="44"/>
        <v>1</v>
      </c>
      <c r="K149" s="15">
        <f t="shared" si="44"/>
        <v>1</v>
      </c>
      <c r="M149" s="336"/>
      <c r="N149" s="33"/>
      <c r="O149" s="42"/>
    </row>
    <row r="150" spans="1:15" s="17" customFormat="1">
      <c r="A150" s="56"/>
      <c r="C150" s="40"/>
      <c r="D150" s="32"/>
      <c r="M150" s="65"/>
      <c r="N150" s="33"/>
      <c r="O150" s="42"/>
    </row>
    <row r="151" spans="1:15" s="17" customFormat="1" ht="30.75" customHeight="1">
      <c r="A151" s="56"/>
      <c r="C151" s="40"/>
      <c r="D151" s="32"/>
      <c r="F151" s="333" t="s">
        <v>77</v>
      </c>
      <c r="G151" s="333"/>
      <c r="H151" s="333"/>
      <c r="I151" s="333"/>
      <c r="J151" s="333"/>
      <c r="K151" s="333"/>
      <c r="M151" s="65"/>
      <c r="N151" s="33"/>
      <c r="O151" s="42"/>
    </row>
    <row r="152" spans="1:15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5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47.122100101558665</v>
      </c>
      <c r="J153" s="45">
        <f>K153</f>
        <v>47.122100101558665</v>
      </c>
      <c r="K153" s="45">
        <f t="shared" ref="K153:K159" si="45">K77</f>
        <v>47.122100101558665</v>
      </c>
      <c r="M153" s="334" t="s">
        <v>38</v>
      </c>
      <c r="N153" s="33"/>
      <c r="O153" s="42"/>
    </row>
    <row r="154" spans="1:15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J159" si="46">J154</f>
        <v>40.540215090897057</v>
      </c>
      <c r="J154" s="45">
        <f t="shared" si="46"/>
        <v>40.540215090897057</v>
      </c>
      <c r="K154" s="45">
        <f t="shared" si="45"/>
        <v>40.540215090897057</v>
      </c>
      <c r="M154" s="335"/>
      <c r="N154" s="33"/>
      <c r="O154" s="42"/>
    </row>
    <row r="155" spans="1:15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46"/>
        <v>42.902466499754524</v>
      </c>
      <c r="J155" s="45">
        <f t="shared" si="46"/>
        <v>42.902466499754524</v>
      </c>
      <c r="K155" s="45">
        <f t="shared" si="45"/>
        <v>42.902466499754524</v>
      </c>
      <c r="M155" s="335"/>
      <c r="N155" s="33"/>
      <c r="O155" s="42"/>
    </row>
    <row r="156" spans="1:15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46"/>
        <v>43.783217856135344</v>
      </c>
      <c r="J156" s="45">
        <f t="shared" si="46"/>
        <v>43.783217856135344</v>
      </c>
      <c r="K156" s="45">
        <f t="shared" si="45"/>
        <v>43.783217856135344</v>
      </c>
      <c r="M156" s="335"/>
      <c r="N156" s="33"/>
      <c r="O156" s="42"/>
    </row>
    <row r="157" spans="1:15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46"/>
        <v>41.821275565445063</v>
      </c>
      <c r="J157" s="45">
        <f t="shared" si="46"/>
        <v>41.821275565445063</v>
      </c>
      <c r="K157" s="45">
        <f t="shared" si="45"/>
        <v>41.821275565445063</v>
      </c>
      <c r="M157" s="335"/>
      <c r="N157" s="33"/>
      <c r="O157" s="42"/>
    </row>
    <row r="158" spans="1:15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46"/>
        <v>25.730844607812422</v>
      </c>
      <c r="J158" s="45">
        <f t="shared" si="46"/>
        <v>25.730844607812422</v>
      </c>
      <c r="K158" s="45">
        <f t="shared" si="45"/>
        <v>25.730844607812422</v>
      </c>
      <c r="M158" s="335"/>
      <c r="N158" s="33"/>
      <c r="O158" s="42"/>
    </row>
    <row r="159" spans="1:15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46"/>
        <v>23.743682832623666</v>
      </c>
      <c r="J159" s="45">
        <f t="shared" si="46"/>
        <v>23.743682832623666</v>
      </c>
      <c r="K159" s="45">
        <f t="shared" si="45"/>
        <v>23.743682832623666</v>
      </c>
      <c r="M159" s="336"/>
      <c r="N159" s="33"/>
      <c r="O159" s="42"/>
    </row>
    <row r="160" spans="1:15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73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47">I$35*I142*I153/1000</f>
        <v>8.9658690419407669</v>
      </c>
      <c r="J163" s="10">
        <f t="shared" si="47"/>
        <v>8.8362827515017237</v>
      </c>
      <c r="K163" s="10">
        <f t="shared" si="47"/>
        <v>8.6902160494527756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9" si="48">H$35*H143*H154/1000</f>
        <v>0</v>
      </c>
      <c r="I164" s="10">
        <f t="shared" si="48"/>
        <v>80.180957422499134</v>
      </c>
      <c r="J164" s="10">
        <f t="shared" si="48"/>
        <v>79.022078925877295</v>
      </c>
      <c r="K164" s="10">
        <f t="shared" si="48"/>
        <v>77.715817596044602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si="48"/>
        <v>0</v>
      </c>
      <c r="I165" s="10">
        <f t="shared" si="48"/>
        <v>11.647828746171328</v>
      </c>
      <c r="J165" s="10">
        <f t="shared" si="48"/>
        <v>11.479479318823586</v>
      </c>
      <c r="K165" s="10">
        <f t="shared" si="48"/>
        <v>11.289719695631957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si="48"/>
        <v>0</v>
      </c>
      <c r="I166" s="10">
        <f t="shared" si="48"/>
        <v>1.8744055317330985</v>
      </c>
      <c r="J166" s="10">
        <f t="shared" si="48"/>
        <v>1.847314208125818</v>
      </c>
      <c r="K166" s="10">
        <f t="shared" si="48"/>
        <v>1.816777487921472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si="48"/>
        <v>0</v>
      </c>
      <c r="I167" s="10">
        <f t="shared" si="48"/>
        <v>1.2771796158321682</v>
      </c>
      <c r="J167" s="10">
        <f t="shared" si="48"/>
        <v>1.258720170588673</v>
      </c>
      <c r="K167" s="10">
        <f t="shared" si="48"/>
        <v>1.2379131062052786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si="48"/>
        <v>0</v>
      </c>
      <c r="I168" s="10">
        <f t="shared" si="48"/>
        <v>1.8410040352506798</v>
      </c>
      <c r="J168" s="10">
        <f t="shared" si="48"/>
        <v>1.814395473102888</v>
      </c>
      <c r="K168" s="10">
        <f t="shared" si="48"/>
        <v>1.7844029105715864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si="48"/>
        <v>0</v>
      </c>
      <c r="I169" s="10">
        <f t="shared" si="48"/>
        <v>18.473959737012343</v>
      </c>
      <c r="J169" s="10">
        <f t="shared" si="48"/>
        <v>18.206950270239954</v>
      </c>
      <c r="K169" s="10">
        <f t="shared" si="48"/>
        <v>17.905983307645741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49">SUM(I163:I169)</f>
        <v>124.26120413043952</v>
      </c>
      <c r="J170" s="11">
        <f t="shared" si="49"/>
        <v>122.46522111825995</v>
      </c>
      <c r="K170" s="11">
        <f t="shared" si="49"/>
        <v>120.44083015347341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M174" s="65"/>
    </row>
    <row r="175" spans="1:15" s="17" customFormat="1">
      <c r="A175" s="56"/>
      <c r="M175" s="65"/>
    </row>
    <row r="176" spans="1:15" s="17" customFormat="1">
      <c r="A176" s="56"/>
      <c r="M176" s="65"/>
    </row>
    <row r="177" spans="1:13" s="17" customFormat="1">
      <c r="A177" s="56"/>
      <c r="M177" s="65"/>
    </row>
    <row r="178" spans="1:13" s="17" customFormat="1">
      <c r="A178" s="56"/>
      <c r="M178" s="65"/>
    </row>
    <row r="179" spans="1:13" s="17" customFormat="1">
      <c r="A179" s="56"/>
      <c r="M179" s="65"/>
    </row>
    <row r="180" spans="1:13" s="17" customFormat="1">
      <c r="A180" s="56"/>
      <c r="M180" s="65"/>
    </row>
    <row r="181" spans="1:13" s="17" customFormat="1">
      <c r="A181" s="56"/>
      <c r="M181" s="65"/>
    </row>
    <row r="182" spans="1:13" s="17" customFormat="1">
      <c r="A182" s="56"/>
      <c r="M182" s="65"/>
    </row>
    <row r="183" spans="1:13" s="17" customFormat="1">
      <c r="A183" s="56"/>
      <c r="M183" s="65"/>
    </row>
    <row r="184" spans="1:13" s="17" customFormat="1">
      <c r="A184" s="56"/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0">
    <mergeCell ref="F161:K161"/>
    <mergeCell ref="F85:G85"/>
    <mergeCell ref="M87:M93"/>
    <mergeCell ref="F95:K95"/>
    <mergeCell ref="F105:K105"/>
    <mergeCell ref="F116:K116"/>
    <mergeCell ref="F127:K127"/>
    <mergeCell ref="E138:M138"/>
    <mergeCell ref="F140:K140"/>
    <mergeCell ref="M142:M149"/>
    <mergeCell ref="F151:K151"/>
    <mergeCell ref="M153:M159"/>
    <mergeCell ref="M77:M83"/>
    <mergeCell ref="D29:N29"/>
    <mergeCell ref="F32:K32"/>
    <mergeCell ref="D39:N39"/>
    <mergeCell ref="E41:M41"/>
    <mergeCell ref="F43:K43"/>
    <mergeCell ref="M45:M51"/>
    <mergeCell ref="F54:K54"/>
    <mergeCell ref="F57:K57"/>
    <mergeCell ref="M59:M65"/>
    <mergeCell ref="F68:K68"/>
    <mergeCell ref="F75:K75"/>
    <mergeCell ref="C27:O27"/>
    <mergeCell ref="C1:O1"/>
    <mergeCell ref="C3:O3"/>
    <mergeCell ref="F5:K5"/>
    <mergeCell ref="F11:K11"/>
    <mergeCell ref="F22:K22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  <pageSetUpPr fitToPage="1"/>
  </sheetPr>
  <dimension ref="A1:GB1589"/>
  <sheetViews>
    <sheetView showGridLines="0" topLeftCell="C131" zoomScale="115" zoomScaleNormal="115" workbookViewId="0">
      <selection activeCell="K73" sqref="K73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64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65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66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 t="shared" ref="H7:K8" si="0">H34</f>
        <v>179200.208348585</v>
      </c>
      <c r="I7" s="10">
        <f t="shared" si="0"/>
        <v>191341.56894861159</v>
      </c>
      <c r="J7" s="10">
        <f t="shared" si="0"/>
        <v>203371.30121087577</v>
      </c>
      <c r="K7" s="10">
        <f t="shared" si="0"/>
        <v>210956.99797155659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16775.217201482246</v>
      </c>
      <c r="J8" s="76">
        <f t="shared" si="0"/>
        <v>16977.546779760014</v>
      </c>
      <c r="K8" s="76">
        <f t="shared" si="0"/>
        <v>12844.582647852752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1">H36</f>
        <v>179200.208348585</v>
      </c>
      <c r="I9" s="96">
        <f t="shared" si="1"/>
        <v>174566.35174712935</v>
      </c>
      <c r="J9" s="96">
        <f t="shared" si="1"/>
        <v>186393.75443111575</v>
      </c>
      <c r="K9" s="96">
        <f t="shared" si="1"/>
        <v>198112.41532370384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67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3798.9226175206595</v>
      </c>
      <c r="I13" s="86">
        <f t="shared" ref="I13:K13" si="2">I129+I163</f>
        <v>2231.5025173937811</v>
      </c>
      <c r="J13" s="86">
        <f t="shared" si="2"/>
        <v>1514.2938592577848</v>
      </c>
      <c r="K13" s="86">
        <f t="shared" si="2"/>
        <v>833.4028885937845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9" si="3">H130+H164</f>
        <v>10538.568728925251</v>
      </c>
      <c r="I14" s="86">
        <f t="shared" si="3"/>
        <v>8081.2464877719067</v>
      </c>
      <c r="J14" s="86">
        <f t="shared" si="3"/>
        <v>7518.8861575062829</v>
      </c>
      <c r="K14" s="86">
        <f t="shared" si="3"/>
        <v>6776.5727272164813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si="3"/>
        <v>1734.6803254387555</v>
      </c>
      <c r="I15" s="86">
        <f t="shared" si="3"/>
        <v>1582.5237569592925</v>
      </c>
      <c r="J15" s="86">
        <f t="shared" si="3"/>
        <v>1634.8212478526311</v>
      </c>
      <c r="K15" s="86">
        <f t="shared" si="3"/>
        <v>1619.1587299887765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si="3"/>
        <v>269.58029172631677</v>
      </c>
      <c r="I16" s="86">
        <f t="shared" si="3"/>
        <v>259.02337535756942</v>
      </c>
      <c r="J16" s="86">
        <f t="shared" si="3"/>
        <v>277.88741278342445</v>
      </c>
      <c r="K16" s="86">
        <f t="shared" si="3"/>
        <v>284.81036871986169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si="3"/>
        <v>299.35529695699108</v>
      </c>
      <c r="I17" s="86">
        <f t="shared" si="3"/>
        <v>241.46713309685984</v>
      </c>
      <c r="J17" s="86">
        <f t="shared" si="3"/>
        <v>218.70000452024323</v>
      </c>
      <c r="K17" s="86">
        <f t="shared" si="3"/>
        <v>186.43193400198098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si="3"/>
        <v>2347.0702575775676</v>
      </c>
      <c r="I18" s="86">
        <f t="shared" si="3"/>
        <v>2262.2194192323777</v>
      </c>
      <c r="J18" s="86">
        <f t="shared" si="3"/>
        <v>2599.3398962587794</v>
      </c>
      <c r="K18" s="86">
        <f t="shared" si="3"/>
        <v>2849.5589516362497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si="3"/>
        <v>257.17690632747849</v>
      </c>
      <c r="I19" s="86">
        <f t="shared" si="3"/>
        <v>362.59941465934696</v>
      </c>
      <c r="J19" s="86">
        <f t="shared" si="3"/>
        <v>448.85251470560303</v>
      </c>
      <c r="K19" s="86">
        <f t="shared" si="3"/>
        <v>503.5832122421553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19245.354424473018</v>
      </c>
      <c r="I20" s="13">
        <f t="shared" ref="I20:K20" si="4">SUM(I13:I19)</f>
        <v>15020.582104471134</v>
      </c>
      <c r="J20" s="13">
        <f t="shared" si="4"/>
        <v>14212.78109288475</v>
      </c>
      <c r="K20" s="13">
        <f t="shared" si="4"/>
        <v>13053.518812399292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-0.41551512683213543</v>
      </c>
      <c r="J23" s="188">
        <f t="shared" ref="J23:K23" si="5">J114/$G114-1</f>
        <v>-0.47992874520397411</v>
      </c>
      <c r="K23" s="188">
        <f t="shared" si="5"/>
        <v>-0.55778530136900217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-0.12460587510721477</v>
      </c>
      <c r="J24" s="188">
        <f t="shared" ref="J24:K24" si="6">J125/$G125-1</f>
        <v>-0.14281641985584459</v>
      </c>
      <c r="K24" s="188">
        <f t="shared" si="6"/>
        <v>-0.16424709429056306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68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69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179200.208348585</v>
      </c>
      <c r="H34" s="126">
        <f>'Init. parc'!C8</f>
        <v>179200.208348585</v>
      </c>
      <c r="I34" s="126">
        <f>'Init. parc'!D8</f>
        <v>191341.56894861159</v>
      </c>
      <c r="J34" s="126">
        <f>'Init. parc'!E8</f>
        <v>203371.30121087577</v>
      </c>
      <c r="K34" s="126">
        <f>'Init. parc'!F8</f>
        <v>210956.99797155659</v>
      </c>
      <c r="L34" s="65"/>
      <c r="M34" s="65"/>
      <c r="N34" s="65"/>
      <c r="O34" s="42"/>
    </row>
    <row r="35" spans="1:17" s="17" customFormat="1" ht="21">
      <c r="A35" s="56"/>
      <c r="C35" s="40"/>
      <c r="D35" s="32"/>
      <c r="E35" s="83" t="s">
        <v>29</v>
      </c>
      <c r="F35" s="55"/>
      <c r="G35" s="195"/>
      <c r="H35" s="126">
        <v>0</v>
      </c>
      <c r="I35" s="126">
        <f>'Init. parc'!N8</f>
        <v>16775.217201482246</v>
      </c>
      <c r="J35" s="126">
        <f>'Init. parc'!O8</f>
        <v>16977.546779760014</v>
      </c>
      <c r="K35" s="126">
        <f>'Init. parc'!P8</f>
        <v>12844.582647852752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30</v>
      </c>
      <c r="F36" s="55"/>
      <c r="G36" s="195">
        <f>G34-G35</f>
        <v>179200.208348585</v>
      </c>
      <c r="H36" s="126">
        <f>H34-H35</f>
        <v>179200.208348585</v>
      </c>
      <c r="I36" s="126">
        <f>I34-I35</f>
        <v>174566.35174712935</v>
      </c>
      <c r="J36" s="126">
        <f>J34-J35</f>
        <v>186393.75443111575</v>
      </c>
      <c r="K36" s="126">
        <f>K34-K35</f>
        <v>198112.41532370384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0.15758395350413734</v>
      </c>
      <c r="H45" s="55">
        <f>'Init. énergie'!B48</f>
        <v>0.15758395350413734</v>
      </c>
      <c r="I45" s="47">
        <f>H45+((K45-H45)/3)</f>
        <v>0.1217226356694249</v>
      </c>
      <c r="J45" s="47">
        <f>H45+((K45-H45)/3*2)</f>
        <v>8.5861317834712444E-2</v>
      </c>
      <c r="K45" s="47">
        <v>0.05</v>
      </c>
      <c r="L45" s="64"/>
      <c r="M45" s="334"/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7">H46</f>
        <v>0.52707670990322253</v>
      </c>
      <c r="H46" s="55">
        <f>'Init. énergie'!B49</f>
        <v>0.52707670990322253</v>
      </c>
      <c r="I46" s="47">
        <f t="shared" ref="I46:I51" si="8">H46+((K46-H46)/3)</f>
        <v>0.50138447326881508</v>
      </c>
      <c r="J46" s="47">
        <f t="shared" ref="J46:J51" si="9">H46+((K46-H46)/3*2)</f>
        <v>0.47569223663440752</v>
      </c>
      <c r="K46" s="47">
        <v>0.45</v>
      </c>
      <c r="L46" s="64"/>
      <c r="M46" s="335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7"/>
        <v>8.5504311043289719E-2</v>
      </c>
      <c r="H47" s="55">
        <f>'Init. énergie'!B50</f>
        <v>8.5504311043289719E-2</v>
      </c>
      <c r="I47" s="47">
        <f t="shared" si="8"/>
        <v>9.0336207362193152E-2</v>
      </c>
      <c r="J47" s="47">
        <f t="shared" si="9"/>
        <v>9.5168103681096572E-2</v>
      </c>
      <c r="K47" s="47">
        <v>0.1</v>
      </c>
      <c r="L47" s="64"/>
      <c r="M47" s="335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7"/>
        <v>1.5048165554765945E-2</v>
      </c>
      <c r="H48" s="55">
        <f>'Init. énergie'!B51</f>
        <v>1.5048165554765945E-2</v>
      </c>
      <c r="I48" s="47">
        <f t="shared" si="8"/>
        <v>1.6698777036510629E-2</v>
      </c>
      <c r="J48" s="47">
        <f t="shared" si="9"/>
        <v>1.8349388518255315E-2</v>
      </c>
      <c r="K48" s="47">
        <v>0.02</v>
      </c>
      <c r="L48" s="64"/>
      <c r="M48" s="335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7"/>
        <v>1.3459722901950799E-2</v>
      </c>
      <c r="H49" s="55">
        <f>'Init. énergie'!B52</f>
        <v>1.3459722901950799E-2</v>
      </c>
      <c r="I49" s="47">
        <f t="shared" si="8"/>
        <v>1.2306481934633866E-2</v>
      </c>
      <c r="J49" s="47">
        <f t="shared" si="9"/>
        <v>1.1153240967316933E-2</v>
      </c>
      <c r="K49" s="47">
        <v>0.01</v>
      </c>
      <c r="L49" s="64"/>
      <c r="M49" s="335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7"/>
        <v>0.16942946687247459</v>
      </c>
      <c r="H50" s="55">
        <f>'Init. énergie'!B53</f>
        <v>0.16942946687247459</v>
      </c>
      <c r="I50" s="47">
        <f t="shared" si="8"/>
        <v>0.20961964458164969</v>
      </c>
      <c r="J50" s="47">
        <f t="shared" si="9"/>
        <v>0.24980982229082477</v>
      </c>
      <c r="K50" s="47">
        <f>1-K45-K46-K47-K48-K49-K51</f>
        <v>0.28999999999999987</v>
      </c>
      <c r="L50" s="64"/>
      <c r="M50" s="335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7"/>
        <v>3.1897670220158943E-2</v>
      </c>
      <c r="H51" s="55">
        <f>'Init. énergie'!B54</f>
        <v>3.1897670220158943E-2</v>
      </c>
      <c r="I51" s="47">
        <f t="shared" si="8"/>
        <v>4.7931780146772629E-2</v>
      </c>
      <c r="J51" s="47">
        <f t="shared" si="9"/>
        <v>6.3965890073386322E-2</v>
      </c>
      <c r="K51" s="124">
        <v>0.08</v>
      </c>
      <c r="L51" s="64"/>
      <c r="M51" s="336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J52" si="10">SUM(G45:G51)</f>
        <v>0.99999999999999989</v>
      </c>
      <c r="H52" s="159">
        <f t="shared" si="10"/>
        <v>0.99999999999999989</v>
      </c>
      <c r="I52" s="165">
        <f t="shared" si="10"/>
        <v>1</v>
      </c>
      <c r="J52" s="165">
        <f t="shared" si="10"/>
        <v>0.99999999999999978</v>
      </c>
      <c r="K52" s="165">
        <f>SUM(K45:K51)</f>
        <v>0.99999999999999989</v>
      </c>
      <c r="L52" s="63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K55" si="11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-3.0669684790117488E-2</v>
      </c>
      <c r="J55" s="152">
        <f t="shared" si="11"/>
        <v>-3.1640075946120505E-2</v>
      </c>
      <c r="K55" s="152">
        <f t="shared" si="11"/>
        <v>-3.2673879990473428E-2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>
        <v>2006</v>
      </c>
      <c r="G58" s="4">
        <v>2015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0.15758395350413734</v>
      </c>
      <c r="H59" s="55">
        <f>H45</f>
        <v>0.15758395350413734</v>
      </c>
      <c r="I59" s="47">
        <f>H59+((K59-H59)/3)</f>
        <v>0.1217226356694249</v>
      </c>
      <c r="J59" s="47">
        <f>H59+((K59-H59)/3*2)</f>
        <v>8.5861317834712444E-2</v>
      </c>
      <c r="K59" s="47">
        <v>0.05</v>
      </c>
      <c r="L59" s="64"/>
      <c r="M59" s="334"/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2">H60</f>
        <v>0.52707670990322253</v>
      </c>
      <c r="H60" s="55">
        <f t="shared" ref="H60:H65" si="13">H46</f>
        <v>0.52707670990322253</v>
      </c>
      <c r="I60" s="47">
        <f t="shared" ref="I60:I65" si="14">H60+((K60-H60)/3)</f>
        <v>0.50138447326881508</v>
      </c>
      <c r="J60" s="47">
        <f t="shared" ref="J60:J65" si="15">H60+((K60-H60)/3*2)</f>
        <v>0.47569223663440752</v>
      </c>
      <c r="K60" s="47">
        <v>0.45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2"/>
        <v>8.5504311043289719E-2</v>
      </c>
      <c r="H61" s="55">
        <f t="shared" si="13"/>
        <v>8.5504311043289719E-2</v>
      </c>
      <c r="I61" s="47">
        <f t="shared" si="14"/>
        <v>9.0336207362193152E-2</v>
      </c>
      <c r="J61" s="47">
        <f t="shared" si="15"/>
        <v>9.5168103681096572E-2</v>
      </c>
      <c r="K61" s="47">
        <v>0.1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2"/>
        <v>1.5048165554765945E-2</v>
      </c>
      <c r="H62" s="55">
        <f t="shared" si="13"/>
        <v>1.5048165554765945E-2</v>
      </c>
      <c r="I62" s="47">
        <f t="shared" si="14"/>
        <v>1.6698777036510629E-2</v>
      </c>
      <c r="J62" s="47">
        <f t="shared" si="15"/>
        <v>1.8349388518255315E-2</v>
      </c>
      <c r="K62" s="47">
        <v>0.02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2"/>
        <v>1.3459722901950799E-2</v>
      </c>
      <c r="H63" s="55">
        <f t="shared" si="13"/>
        <v>1.3459722901950799E-2</v>
      </c>
      <c r="I63" s="47">
        <f t="shared" si="14"/>
        <v>1.2306481934633866E-2</v>
      </c>
      <c r="J63" s="47">
        <f t="shared" si="15"/>
        <v>1.1153240967316933E-2</v>
      </c>
      <c r="K63" s="47">
        <v>0.01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2"/>
        <v>0.16942946687247459</v>
      </c>
      <c r="H64" s="55">
        <f t="shared" si="13"/>
        <v>0.16942946687247459</v>
      </c>
      <c r="I64" s="47">
        <f t="shared" si="14"/>
        <v>0.20961964458164969</v>
      </c>
      <c r="J64" s="47">
        <f t="shared" si="15"/>
        <v>0.24980982229082477</v>
      </c>
      <c r="K64" s="47">
        <f>1-K59-K60-K61-K62-K63-K65</f>
        <v>0.28999999999999987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2"/>
        <v>3.1897670220158943E-2</v>
      </c>
      <c r="H65" s="55">
        <f t="shared" si="13"/>
        <v>3.1897670220158943E-2</v>
      </c>
      <c r="I65" s="47">
        <f t="shared" si="14"/>
        <v>4.7931780146772629E-2</v>
      </c>
      <c r="J65" s="47">
        <f t="shared" si="15"/>
        <v>6.3965890073386322E-2</v>
      </c>
      <c r="K65" s="124">
        <v>0.08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16">SUM(G59:G65)</f>
        <v>0.99999999999999989</v>
      </c>
      <c r="H66" s="159">
        <v>1</v>
      </c>
      <c r="I66" s="47">
        <f t="shared" ref="I66:J66" si="17">SUM(I59:I65)</f>
        <v>1</v>
      </c>
      <c r="J66" s="47">
        <f t="shared" si="17"/>
        <v>0.99999999999999978</v>
      </c>
      <c r="K66" s="47">
        <f>SUM(K59:K65)</f>
        <v>0.99999999999999989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-3.0669684790117488E-2</v>
      </c>
      <c r="J69" s="152">
        <f t="shared" ref="J69:K69" si="18">(I$97*(J59-I59)+I$98*(J60-I60)+I$99*(J61-I61)+I$100*(J62-I62)+I$101*(J63-I63)+I$102*(J64-I64)+I$103*(J65-I65))/(I$97*I59+I$98*I60+I$99*I61+I$100*I62+I$101*I63+I$102*I64+I$103*I65)</f>
        <v>-3.1079312755752982E-2</v>
      </c>
      <c r="K69" s="152">
        <f t="shared" si="18"/>
        <v>-3.1493170924583175E-2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31" t="s">
        <v>92</v>
      </c>
      <c r="G72" s="130" t="s">
        <v>91</v>
      </c>
      <c r="H72" s="130" t="s">
        <v>35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bord'!J12</f>
        <v>0.93</v>
      </c>
      <c r="G73" s="92">
        <f>'Tableau de bord'!J24</f>
        <v>0.54400000000000004</v>
      </c>
      <c r="H73" s="92">
        <f>'Tableau de bord'!J27</f>
        <v>0.50592000000000004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4"/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54"/>
      <c r="G77" s="81">
        <f>H77/0.998^10</f>
        <v>137.2475283606029</v>
      </c>
      <c r="H77" s="54">
        <f>'Init. énergie'!D48</f>
        <v>134.52715105091531</v>
      </c>
      <c r="I77" s="81">
        <f>G77*60%/(1+I$55)</f>
        <v>84.954030348809809</v>
      </c>
      <c r="J77" s="81">
        <f>G77*50%/(1+I$55)/(1+J$55)</f>
        <v>73.108173450944889</v>
      </c>
      <c r="K77" s="81">
        <f>G77*40%/(1+I$55)/(1+J$55)/(1+K$55)</f>
        <v>60.462069152210951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54"/>
      <c r="G78" s="81">
        <f t="shared" ref="G78:G83" si="19">H78/0.998^10</f>
        <v>113.83187323259207</v>
      </c>
      <c r="H78" s="54">
        <f>'Init. énergie'!D49</f>
        <v>111.57561660808248</v>
      </c>
      <c r="I78" s="81">
        <f t="shared" ref="I78:I83" si="20">G78*60%/(1+I$55)</f>
        <v>70.460113408056259</v>
      </c>
      <c r="J78" s="81">
        <f t="shared" ref="J78:J83" si="21">G78*50%/(1+I$55)/(1+J$55)</f>
        <v>60.635265581388531</v>
      </c>
      <c r="K78" s="81">
        <f t="shared" ref="K78:K83" si="22">G78*40%/(1+I$55)/(1+J$55)/(1+K$55)</f>
        <v>50.146699713466958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54"/>
      <c r="G79" s="81">
        <f t="shared" si="19"/>
        <v>115.50147162190179</v>
      </c>
      <c r="H79" s="54">
        <f>'Init. énergie'!D50</f>
        <v>113.21212196009803</v>
      </c>
      <c r="I79" s="81">
        <f t="shared" si="20"/>
        <v>71.493568173544446</v>
      </c>
      <c r="J79" s="81">
        <f t="shared" si="21"/>
        <v>61.524617033447988</v>
      </c>
      <c r="K79" s="81">
        <f t="shared" si="22"/>
        <v>50.882212946212661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54"/>
      <c r="G80" s="81">
        <f t="shared" si="19"/>
        <v>101.9907194369971</v>
      </c>
      <c r="H80" s="54">
        <f>'Init. énergie'!D51</f>
        <v>99.969165808532892</v>
      </c>
      <c r="I80" s="81">
        <f t="shared" si="20"/>
        <v>63.130628127469876</v>
      </c>
      <c r="J80" s="81">
        <f t="shared" si="21"/>
        <v>54.327792245525039</v>
      </c>
      <c r="K80" s="81">
        <f t="shared" si="22"/>
        <v>44.930280385680064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54"/>
      <c r="G81" s="81">
        <f t="shared" si="19"/>
        <v>126.62133992839577</v>
      </c>
      <c r="H81" s="54">
        <f>'Init. énergie'!D52</f>
        <v>124.11158383895697</v>
      </c>
      <c r="I81" s="81">
        <f t="shared" si="20"/>
        <v>78.376589244077834</v>
      </c>
      <c r="J81" s="81">
        <f t="shared" si="21"/>
        <v>67.447880429251228</v>
      </c>
      <c r="K81" s="81">
        <f t="shared" si="22"/>
        <v>55.780882193969482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54"/>
      <c r="G82" s="81">
        <f t="shared" si="19"/>
        <v>78.866618913074888</v>
      </c>
      <c r="H82" s="54">
        <f>'Init. énergie'!D53</f>
        <v>77.303407078620509</v>
      </c>
      <c r="I82" s="81">
        <f t="shared" si="20"/>
        <v>48.817178835058989</v>
      </c>
      <c r="J82" s="81">
        <f t="shared" si="21"/>
        <v>42.010187898157653</v>
      </c>
      <c r="K82" s="81">
        <f t="shared" si="22"/>
        <v>34.743350379285886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54"/>
      <c r="G83" s="81">
        <f t="shared" si="19"/>
        <v>45.901732836134151</v>
      </c>
      <c r="H83" s="54">
        <f>'Init. énergie'!D54</f>
        <v>44.991916579518737</v>
      </c>
      <c r="I83" s="81">
        <f t="shared" si="20"/>
        <v>28.412440289476777</v>
      </c>
      <c r="J83" s="81">
        <f t="shared" si="21"/>
        <v>24.450654128109697</v>
      </c>
      <c r="K83" s="81">
        <f t="shared" si="22"/>
        <v>20.221229322635391</v>
      </c>
      <c r="M83" s="339"/>
      <c r="N83" s="33"/>
      <c r="O83" s="42"/>
      <c r="Q83" s="52"/>
      <c r="R83" s="52"/>
      <c r="V83" s="101"/>
    </row>
    <row r="84" spans="1:184" s="17" customFormat="1" ht="28.5" customHeight="1">
      <c r="A84" s="56"/>
      <c r="C84" s="40"/>
      <c r="D84" s="32"/>
      <c r="E84" s="91"/>
      <c r="F84" s="89"/>
      <c r="G84" s="123" t="s">
        <v>74</v>
      </c>
      <c r="H84" s="89"/>
      <c r="M84" s="97"/>
      <c r="N84" s="33"/>
      <c r="O84" s="42"/>
    </row>
    <row r="85" spans="1:184" s="17" customFormat="1" ht="69" customHeight="1">
      <c r="A85" s="56"/>
      <c r="C85" s="40"/>
      <c r="D85" s="32"/>
      <c r="F85" s="333" t="s">
        <v>70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23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23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23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23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23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23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71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>G77</f>
        <v>137.2475283606029</v>
      </c>
      <c r="H97" s="54">
        <f>H77</f>
        <v>134.52715105091531</v>
      </c>
      <c r="I97" s="81">
        <f>$H97*(1+$G87)^(I$96-$H$96)</f>
        <v>124.49431758104016</v>
      </c>
      <c r="J97" s="81">
        <f>$H97*(1+$G87)^(J$96-$H$96)</f>
        <v>115.20971780709863</v>
      </c>
      <c r="K97" s="81">
        <f>$H97*(1+$G87)^(K$96-$H$96)</f>
        <v>106.61754958053405</v>
      </c>
      <c r="L97" s="67"/>
      <c r="M97" s="79">
        <f>(K97-G97)/H97</f>
        <v>-0.22768622200641223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ref="G98:H103" si="24">G78</f>
        <v>113.83187323259207</v>
      </c>
      <c r="H98" s="54">
        <f t="shared" si="24"/>
        <v>111.57561660808248</v>
      </c>
      <c r="I98" s="81">
        <f t="shared" ref="I98:K103" si="25">$H98*(1+$G88)^(I$96-$H$96)</f>
        <v>106.13697159272134</v>
      </c>
      <c r="J98" s="81">
        <f t="shared" si="25"/>
        <v>100.96342804399167</v>
      </c>
      <c r="K98" s="81">
        <f t="shared" si="25"/>
        <v>96.042063848497264</v>
      </c>
      <c r="L98" s="67"/>
      <c r="M98" s="79">
        <f t="shared" ref="M98:M103" si="26">(K98-G98)/H98</f>
        <v>-0.15944173041483442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24"/>
        <v>115.50147162190179</v>
      </c>
      <c r="H99" s="54">
        <f t="shared" si="24"/>
        <v>113.21212196009803</v>
      </c>
      <c r="I99" s="81">
        <f t="shared" si="25"/>
        <v>108.78557407992352</v>
      </c>
      <c r="J99" s="81">
        <f t="shared" si="25"/>
        <v>104.5321024198236</v>
      </c>
      <c r="K99" s="81">
        <f t="shared" si="25"/>
        <v>100.4449397700524</v>
      </c>
      <c r="L99" s="67"/>
      <c r="M99" s="79">
        <f t="shared" si="26"/>
        <v>-0.13299399031806955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24"/>
        <v>101.9907194369971</v>
      </c>
      <c r="H100" s="54">
        <f t="shared" si="24"/>
        <v>99.969165808532892</v>
      </c>
      <c r="I100" s="81">
        <f t="shared" si="25"/>
        <v>96.060412122699304</v>
      </c>
      <c r="J100" s="81">
        <f t="shared" si="25"/>
        <v>92.304489114734707</v>
      </c>
      <c r="K100" s="81">
        <f t="shared" si="25"/>
        <v>88.695421167351583</v>
      </c>
      <c r="L100" s="67"/>
      <c r="M100" s="79">
        <f t="shared" si="26"/>
        <v>-0.13299399031806955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24"/>
        <v>126.62133992839577</v>
      </c>
      <c r="H101" s="54">
        <f t="shared" si="24"/>
        <v>124.11158383895697</v>
      </c>
      <c r="I101" s="81">
        <f t="shared" si="25"/>
        <v>119.25887143647176</v>
      </c>
      <c r="J101" s="81">
        <f>$H101*(1+$G91)^(J$96-$H$96)</f>
        <v>114.59589811339262</v>
      </c>
      <c r="K101" s="81">
        <f>$H101*(1+$G91)^(K$96-$H$96)</f>
        <v>110.11524514895726</v>
      </c>
      <c r="L101" s="67"/>
      <c r="M101" s="79">
        <f t="shared" si="26"/>
        <v>-0.13299399031806949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24"/>
        <v>78.866618913074888</v>
      </c>
      <c r="H102" s="54">
        <f t="shared" si="24"/>
        <v>77.303407078620509</v>
      </c>
      <c r="I102" s="81">
        <f t="shared" si="25"/>
        <v>72.384876544643433</v>
      </c>
      <c r="J102" s="81">
        <f t="shared" si="25"/>
        <v>67.779293958601698</v>
      </c>
      <c r="K102" s="81">
        <f t="shared" si="25"/>
        <v>63.466747597381996</v>
      </c>
      <c r="L102" s="67"/>
      <c r="M102" s="79">
        <f t="shared" si="26"/>
        <v>-0.19921335808692928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24"/>
        <v>45.901732836134151</v>
      </c>
      <c r="H103" s="54">
        <f t="shared" si="24"/>
        <v>44.991916579518737</v>
      </c>
      <c r="I103" s="81">
        <f t="shared" si="25"/>
        <v>42.129246952894803</v>
      </c>
      <c r="J103" s="81">
        <f t="shared" si="25"/>
        <v>39.448718431033804</v>
      </c>
      <c r="K103" s="81">
        <f t="shared" si="25"/>
        <v>36.938742047561234</v>
      </c>
      <c r="L103" s="67"/>
      <c r="M103" s="79">
        <f t="shared" si="26"/>
        <v>-0.19921335808692928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93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>G$36*G45*$H$73*G77/1000</f>
        <v>1960.8161832184205</v>
      </c>
      <c r="H107" s="54">
        <f>H$36*H45*$H$73*H77/1000</f>
        <v>1921.9509306560522</v>
      </c>
      <c r="I107" s="126">
        <f>I$36*I45*$H$73*I77/1000</f>
        <v>913.26690267653521</v>
      </c>
      <c r="J107" s="126">
        <f>J$36*J45*$H$73*J77/1000</f>
        <v>591.93863665944775</v>
      </c>
      <c r="K107" s="126">
        <f>K$36*K45*$H$73*K77/1000</f>
        <v>303.00273670067617</v>
      </c>
      <c r="L107" s="46"/>
      <c r="M107" s="79">
        <f>(K107-G107)/H107</f>
        <v>-0.86256803962828266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ref="G108:K113" si="27">G$36*G46*$H$73*G78/1000</f>
        <v>5439.4885582382703</v>
      </c>
      <c r="H108" s="54">
        <f t="shared" si="27"/>
        <v>5331.6726913378634</v>
      </c>
      <c r="I108" s="126">
        <f t="shared" si="27"/>
        <v>3120.0144294122078</v>
      </c>
      <c r="J108" s="126">
        <f t="shared" si="27"/>
        <v>2719.9727449601701</v>
      </c>
      <c r="K108" s="126">
        <f t="shared" si="27"/>
        <v>2261.7698528133619</v>
      </c>
      <c r="L108" s="46"/>
      <c r="M108" s="79">
        <f t="shared" ref="M108:M114" si="28">(K108-G108)/H108</f>
        <v>-0.5960078364502025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27"/>
        <v>895.35628842337439</v>
      </c>
      <c r="H109" s="54">
        <f t="shared" si="27"/>
        <v>877.60947024597533</v>
      </c>
      <c r="I109" s="126">
        <f t="shared" si="27"/>
        <v>570.38909013611283</v>
      </c>
      <c r="J109" s="126">
        <f t="shared" si="27"/>
        <v>552.14550273619022</v>
      </c>
      <c r="K109" s="126">
        <f t="shared" si="27"/>
        <v>509.9875008669045</v>
      </c>
      <c r="L109" s="46"/>
      <c r="M109" s="79">
        <f t="shared" si="28"/>
        <v>-0.43911192919153347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27"/>
        <v>139.14402895594915</v>
      </c>
      <c r="H110" s="54">
        <f t="shared" si="27"/>
        <v>136.38606119017817</v>
      </c>
      <c r="I110" s="126">
        <f t="shared" si="27"/>
        <v>93.10374715050682</v>
      </c>
      <c r="J110" s="126">
        <f t="shared" si="27"/>
        <v>94.006277870138007</v>
      </c>
      <c r="K110" s="126">
        <f t="shared" si="27"/>
        <v>90.066371253799133</v>
      </c>
      <c r="L110" s="46"/>
      <c r="M110" s="79">
        <f t="shared" si="28"/>
        <v>-0.35984364731902929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27"/>
        <v>154.51241573025595</v>
      </c>
      <c r="H111" s="54">
        <f t="shared" si="27"/>
        <v>151.44983183648097</v>
      </c>
      <c r="I111" s="126">
        <f t="shared" si="27"/>
        <v>85.184908764952411</v>
      </c>
      <c r="J111" s="126">
        <f t="shared" si="27"/>
        <v>70.938597200174755</v>
      </c>
      <c r="K111" s="126">
        <f t="shared" si="27"/>
        <v>55.908638911451185</v>
      </c>
      <c r="L111" s="46"/>
      <c r="M111" s="79">
        <f t="shared" si="28"/>
        <v>-0.65106560781966649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27"/>
        <v>1211.4417184976242</v>
      </c>
      <c r="H112" s="54">
        <f t="shared" si="27"/>
        <v>1187.4297847136429</v>
      </c>
      <c r="I112" s="126">
        <f t="shared" si="27"/>
        <v>903.74736070839185</v>
      </c>
      <c r="J112" s="126">
        <f t="shared" si="27"/>
        <v>989.64022390917148</v>
      </c>
      <c r="K112" s="126">
        <f t="shared" si="27"/>
        <v>1009.8648010096588</v>
      </c>
      <c r="L112" s="46"/>
      <c r="M112" s="79">
        <f t="shared" si="28"/>
        <v>-0.16975902077155414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27"/>
        <v>132.74201415718235</v>
      </c>
      <c r="H113" s="54">
        <f t="shared" si="27"/>
        <v>130.11094044919793</v>
      </c>
      <c r="I113" s="126">
        <f t="shared" si="27"/>
        <v>120.27475436673369</v>
      </c>
      <c r="J113" s="126">
        <f t="shared" si="27"/>
        <v>147.4864540220112</v>
      </c>
      <c r="K113" s="126">
        <f t="shared" si="27"/>
        <v>162.14034114607023</v>
      </c>
      <c r="L113" s="46"/>
      <c r="M113" s="79">
        <f t="shared" si="28"/>
        <v>0.22594815537719143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9933.5012072210775</v>
      </c>
      <c r="H114" s="156">
        <f>SUM(H107:H113)</f>
        <v>9736.6097104293895</v>
      </c>
      <c r="I114" s="154">
        <f t="shared" ref="I114:J114" si="29">SUM(I107:I113)</f>
        <v>5805.9811932154407</v>
      </c>
      <c r="J114" s="154">
        <f t="shared" si="29"/>
        <v>5166.1284373573035</v>
      </c>
      <c r="K114" s="154">
        <f>SUM(K107:K113)</f>
        <v>4392.7402427019224</v>
      </c>
      <c r="L114" s="21"/>
      <c r="M114" s="79">
        <f t="shared" si="28"/>
        <v>-0.56906470828179112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94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>G$36*G45*(1-$H$73)*G97/1000</f>
        <v>1914.9273794365847</v>
      </c>
      <c r="H118" s="157">
        <f>H$36*H45*(1-$H$73)*H97/1000</f>
        <v>1876.9716868646071</v>
      </c>
      <c r="I118" s="153">
        <f t="shared" ref="I118:K118" si="30">I$36*I45*(1-$H$73)*I97/1000</f>
        <v>1307.0093263916183</v>
      </c>
      <c r="J118" s="153">
        <f t="shared" si="30"/>
        <v>910.99353154407311</v>
      </c>
      <c r="K118" s="153">
        <f t="shared" si="30"/>
        <v>521.80431754442361</v>
      </c>
      <c r="L118" s="46"/>
      <c r="M118" s="79">
        <f>(K118-G118)/H118</f>
        <v>-0.74221847438695654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ref="G119:K124" si="31">G$36*G46*(1-$H$73)*G98/1000</f>
        <v>5312.1886995065715</v>
      </c>
      <c r="H119" s="157">
        <f t="shared" si="31"/>
        <v>5206.8960375873876</v>
      </c>
      <c r="I119" s="153">
        <f t="shared" si="31"/>
        <v>4589.8171301110597</v>
      </c>
      <c r="J119" s="153">
        <f t="shared" si="31"/>
        <v>4423.0187672901739</v>
      </c>
      <c r="K119" s="153">
        <f t="shared" si="31"/>
        <v>4230.4149177384261</v>
      </c>
      <c r="L119" s="46"/>
      <c r="M119" s="79">
        <f t="shared" ref="M119:M125" si="32">(K119-G119)/H119</f>
        <v>-0.20775789913204887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31"/>
        <v>874.40234618955719</v>
      </c>
      <c r="H120" s="157">
        <f t="shared" si="31"/>
        <v>857.0708551927803</v>
      </c>
      <c r="I120" s="153">
        <f t="shared" si="31"/>
        <v>847.60004545099275</v>
      </c>
      <c r="J120" s="153">
        <f t="shared" si="31"/>
        <v>916.1566355463076</v>
      </c>
      <c r="K120" s="153">
        <f t="shared" si="31"/>
        <v>983.18904258651764</v>
      </c>
      <c r="L120" s="46"/>
      <c r="M120" s="79">
        <f t="shared" si="32"/>
        <v>0.12692847474377267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31"/>
        <v>135.88765383174288</v>
      </c>
      <c r="H121" s="157">
        <f t="shared" si="31"/>
        <v>133.19423053613858</v>
      </c>
      <c r="I121" s="153">
        <f t="shared" si="31"/>
        <v>138.35247146398925</v>
      </c>
      <c r="J121" s="153">
        <f t="shared" si="31"/>
        <v>155.9814846393603</v>
      </c>
      <c r="K121" s="153">
        <f t="shared" si="31"/>
        <v>173.6361561248828</v>
      </c>
      <c r="L121" s="46"/>
      <c r="M121" s="79">
        <f t="shared" si="32"/>
        <v>0.28340944004250923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31"/>
        <v>150.89637564042698</v>
      </c>
      <c r="H122" s="157">
        <f t="shared" si="31"/>
        <v>147.90546512051014</v>
      </c>
      <c r="I122" s="153">
        <f t="shared" si="31"/>
        <v>126.58505183484924</v>
      </c>
      <c r="J122" s="153">
        <f t="shared" si="31"/>
        <v>117.70605070442606</v>
      </c>
      <c r="K122" s="153">
        <f t="shared" si="31"/>
        <v>107.78452622902743</v>
      </c>
      <c r="L122" s="46"/>
      <c r="M122" s="79">
        <f t="shared" si="32"/>
        <v>-0.29148246399328753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31"/>
        <v>1183.0904575334166</v>
      </c>
      <c r="H123" s="157">
        <f t="shared" si="31"/>
        <v>1159.6404728639245</v>
      </c>
      <c r="I123" s="153">
        <f t="shared" si="31"/>
        <v>1308.6925446844211</v>
      </c>
      <c r="J123" s="153">
        <f t="shared" si="31"/>
        <v>1559.3197568627165</v>
      </c>
      <c r="K123" s="153">
        <f t="shared" si="31"/>
        <v>1801.5785738204836</v>
      </c>
      <c r="L123" s="46"/>
      <c r="M123" s="79">
        <f t="shared" si="32"/>
        <v>0.53334471395225447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31"/>
        <v>129.63546480625527</v>
      </c>
      <c r="H124" s="157">
        <f t="shared" si="31"/>
        <v>127.06596587828058</v>
      </c>
      <c r="I124" s="153">
        <f t="shared" si="31"/>
        <v>174.16667665852555</v>
      </c>
      <c r="J124" s="153">
        <f t="shared" si="31"/>
        <v>232.38600864232251</v>
      </c>
      <c r="K124" s="153">
        <f t="shared" si="31"/>
        <v>289.25512035735369</v>
      </c>
      <c r="L124" s="46"/>
      <c r="M124" s="79">
        <f t="shared" si="32"/>
        <v>1.2561951931644841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9701.0283769445559</v>
      </c>
      <c r="H125" s="158">
        <f>SUM(H118:H124)</f>
        <v>9508.7447140436288</v>
      </c>
      <c r="I125" s="155">
        <f t="shared" ref="I125:K125" si="33">SUM(I118:I124)</f>
        <v>8492.2232465954567</v>
      </c>
      <c r="J125" s="155">
        <f t="shared" si="33"/>
        <v>8315.5622352293794</v>
      </c>
      <c r="K125" s="155">
        <f t="shared" si="33"/>
        <v>8107.6626544011151</v>
      </c>
      <c r="L125" s="21"/>
      <c r="M125" s="79">
        <f t="shared" si="32"/>
        <v>-0.16756846150156618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72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3798.9226175206595</v>
      </c>
      <c r="I129" s="153">
        <f t="shared" ref="I129:K129" si="34">I107+I118</f>
        <v>2220.2762290681535</v>
      </c>
      <c r="J129" s="153">
        <f t="shared" si="34"/>
        <v>1502.9321682035209</v>
      </c>
      <c r="K129" s="153">
        <f t="shared" si="34"/>
        <v>824.80705424509983</v>
      </c>
      <c r="L129" s="46"/>
      <c r="M129" s="79">
        <f>(K129-G129)/H129</f>
        <v>0.2171160450705375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5" si="35">H108+H119</f>
        <v>10538.568728925251</v>
      </c>
      <c r="I130" s="153">
        <f t="shared" si="35"/>
        <v>7709.8315595232671</v>
      </c>
      <c r="J130" s="153">
        <f t="shared" si="35"/>
        <v>7142.9915122503444</v>
      </c>
      <c r="K130" s="153">
        <f t="shared" si="35"/>
        <v>6492.1847705517885</v>
      </c>
      <c r="L130" s="46"/>
      <c r="M130" s="79">
        <f t="shared" ref="M130:M136" si="36">(K130-G130)/H130</f>
        <v>0.61604046408433655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si="35"/>
        <v>1734.6803254387555</v>
      </c>
      <c r="I131" s="153">
        <f t="shared" si="35"/>
        <v>1417.9891355871055</v>
      </c>
      <c r="J131" s="153">
        <f t="shared" si="35"/>
        <v>1468.3021382824977</v>
      </c>
      <c r="K131" s="153">
        <f t="shared" si="35"/>
        <v>1493.1765434534223</v>
      </c>
      <c r="L131" s="46"/>
      <c r="M131" s="79">
        <f t="shared" si="36"/>
        <v>0.86077908508920842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si="35"/>
        <v>269.58029172631677</v>
      </c>
      <c r="I132" s="153">
        <f t="shared" si="35"/>
        <v>231.45621861449607</v>
      </c>
      <c r="J132" s="153">
        <f t="shared" si="35"/>
        <v>249.98776250949831</v>
      </c>
      <c r="K132" s="153">
        <f t="shared" si="35"/>
        <v>263.70252737868191</v>
      </c>
      <c r="L132" s="46"/>
      <c r="M132" s="79">
        <f t="shared" si="36"/>
        <v>0.97819660958894539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si="35"/>
        <v>299.35529695699108</v>
      </c>
      <c r="I133" s="153">
        <f t="shared" si="35"/>
        <v>211.76996059980166</v>
      </c>
      <c r="J133" s="153">
        <f t="shared" si="35"/>
        <v>188.64464790460082</v>
      </c>
      <c r="K133" s="153">
        <f t="shared" si="35"/>
        <v>163.69316514047861</v>
      </c>
      <c r="L133" s="46"/>
      <c r="M133" s="79">
        <f t="shared" si="36"/>
        <v>0.5468190033864565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si="35"/>
        <v>2347.0702575775676</v>
      </c>
      <c r="I134" s="153">
        <f t="shared" si="35"/>
        <v>2212.4399053928128</v>
      </c>
      <c r="J134" s="153">
        <f t="shared" si="35"/>
        <v>2548.9599807718878</v>
      </c>
      <c r="K134" s="153">
        <f t="shared" si="35"/>
        <v>2811.4433748301426</v>
      </c>
      <c r="L134" s="46"/>
      <c r="M134" s="79">
        <f t="shared" si="36"/>
        <v>1.1978522439851709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si="35"/>
        <v>257.17690632747849</v>
      </c>
      <c r="I135" s="153">
        <f t="shared" si="35"/>
        <v>294.44143102525925</v>
      </c>
      <c r="J135" s="153">
        <f t="shared" si="35"/>
        <v>379.87246266433374</v>
      </c>
      <c r="K135" s="153">
        <f t="shared" si="35"/>
        <v>451.39546150342392</v>
      </c>
      <c r="L135" s="46"/>
      <c r="M135" s="79">
        <f t="shared" si="36"/>
        <v>1.7551943833115229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19245.354424473018</v>
      </c>
      <c r="I136" s="155">
        <f t="shared" ref="I136:K136" si="37">SUM(I129:I135)</f>
        <v>14298.204439810897</v>
      </c>
      <c r="J136" s="155">
        <f t="shared" si="37"/>
        <v>13481.690672586683</v>
      </c>
      <c r="K136" s="155">
        <f t="shared" si="37"/>
        <v>12500.402897103038</v>
      </c>
      <c r="L136" s="21"/>
      <c r="M136" s="79">
        <f t="shared" si="36"/>
        <v>0.64952832883176836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76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énergie'!C48</f>
        <v>1.1068404808735261E-2</v>
      </c>
      <c r="I142" s="47">
        <f>H142</f>
        <v>1.1068404808735261E-2</v>
      </c>
      <c r="J142" s="47">
        <f>I142</f>
        <v>1.1068404808735261E-2</v>
      </c>
      <c r="K142" s="47">
        <f>J142</f>
        <v>1.1068404808735261E-2</v>
      </c>
      <c r="M142" s="334" t="s">
        <v>41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énergie'!C49</f>
        <v>0.44151844048973238</v>
      </c>
      <c r="I143" s="47">
        <f t="shared" ref="I143:K143" si="38">H143</f>
        <v>0.44151844048973238</v>
      </c>
      <c r="J143" s="47">
        <f t="shared" si="38"/>
        <v>0.44151844048973238</v>
      </c>
      <c r="K143" s="47">
        <f t="shared" si="38"/>
        <v>0.44151844048973238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énergie'!C50</f>
        <v>0.19276276753541544</v>
      </c>
      <c r="I144" s="47">
        <f t="shared" ref="I144:K144" si="39">H144</f>
        <v>0.19276276753541544</v>
      </c>
      <c r="J144" s="47">
        <f t="shared" si="39"/>
        <v>0.19276276753541544</v>
      </c>
      <c r="K144" s="47">
        <f t="shared" si="39"/>
        <v>0.19276276753541544</v>
      </c>
      <c r="M144" s="335"/>
      <c r="N144" s="33"/>
      <c r="O144" s="42"/>
    </row>
    <row r="145" spans="1:15" s="17" customFormat="1">
      <c r="A145" s="56"/>
      <c r="C145" s="40"/>
      <c r="D145" s="32"/>
      <c r="E145" s="6" t="s">
        <v>22</v>
      </c>
      <c r="F145" s="55"/>
      <c r="G145" s="55"/>
      <c r="H145" s="55">
        <f>'Init. énergie'!C51</f>
        <v>3.6575030316210601E-2</v>
      </c>
      <c r="I145" s="47">
        <f t="shared" ref="I145:K145" si="40">H145</f>
        <v>3.6575030316210601E-2</v>
      </c>
      <c r="J145" s="47">
        <f t="shared" si="40"/>
        <v>3.6575030316210601E-2</v>
      </c>
      <c r="K145" s="47">
        <f t="shared" si="40"/>
        <v>3.6575030316210601E-2</v>
      </c>
      <c r="M145" s="335"/>
      <c r="N145" s="33"/>
      <c r="O145" s="42"/>
    </row>
    <row r="146" spans="1:15" s="17" customFormat="1">
      <c r="A146" s="56"/>
      <c r="C146" s="40"/>
      <c r="D146" s="32"/>
      <c r="E146" s="6" t="s">
        <v>42</v>
      </c>
      <c r="F146" s="55"/>
      <c r="G146" s="55"/>
      <c r="H146" s="55">
        <f>'Init. énergie'!C52</f>
        <v>3.1736685713051743E-2</v>
      </c>
      <c r="I146" s="47">
        <f t="shared" ref="I146:K146" si="41">H146</f>
        <v>3.1736685713051743E-2</v>
      </c>
      <c r="J146" s="47">
        <f t="shared" si="41"/>
        <v>3.1736685713051743E-2</v>
      </c>
      <c r="K146" s="47">
        <f t="shared" si="41"/>
        <v>3.1736685713051743E-2</v>
      </c>
      <c r="M146" s="335"/>
      <c r="N146" s="33"/>
      <c r="O146" s="42"/>
    </row>
    <row r="147" spans="1:15" s="17" customFormat="1">
      <c r="A147" s="56"/>
      <c r="C147" s="40"/>
      <c r="D147" s="32"/>
      <c r="E147" s="6" t="s">
        <v>25</v>
      </c>
      <c r="F147" s="55"/>
      <c r="G147" s="85"/>
      <c r="H147" s="55">
        <f>'Init. énergie'!C53</f>
        <v>8.5410409228175652E-2</v>
      </c>
      <c r="I147" s="47">
        <f t="shared" ref="I147:K147" si="42">H147</f>
        <v>8.5410409228175652E-2</v>
      </c>
      <c r="J147" s="47">
        <f t="shared" si="42"/>
        <v>8.5410409228175652E-2</v>
      </c>
      <c r="K147" s="47">
        <f t="shared" si="42"/>
        <v>8.5410409228175652E-2</v>
      </c>
      <c r="M147" s="335"/>
      <c r="N147" s="33"/>
      <c r="O147" s="42"/>
    </row>
    <row r="148" spans="1:15" s="17" customFormat="1">
      <c r="A148" s="56"/>
      <c r="C148" s="40"/>
      <c r="D148" s="32"/>
      <c r="E148" s="6" t="s">
        <v>26</v>
      </c>
      <c r="F148" s="55"/>
      <c r="G148" s="85"/>
      <c r="H148" s="55">
        <f>'Init. énergie'!C54</f>
        <v>0.20092826190867891</v>
      </c>
      <c r="I148" s="47">
        <f t="shared" ref="I148:K148" si="43">H148</f>
        <v>0.20092826190867891</v>
      </c>
      <c r="J148" s="47">
        <f t="shared" si="43"/>
        <v>0.20092826190867891</v>
      </c>
      <c r="K148" s="47">
        <f t="shared" si="43"/>
        <v>0.20092826190867891</v>
      </c>
      <c r="M148" s="335"/>
      <c r="N148" s="33"/>
      <c r="O148" s="42"/>
    </row>
    <row r="149" spans="1:15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1</v>
      </c>
      <c r="I149" s="15">
        <f t="shared" ref="I149:K149" si="44">SUM(I142:I148)</f>
        <v>1</v>
      </c>
      <c r="J149" s="15">
        <f t="shared" si="44"/>
        <v>1</v>
      </c>
      <c r="K149" s="15">
        <f t="shared" si="44"/>
        <v>1</v>
      </c>
      <c r="M149" s="336"/>
      <c r="N149" s="33"/>
      <c r="O149" s="42"/>
    </row>
    <row r="150" spans="1:15" s="17" customFormat="1">
      <c r="A150" s="56"/>
      <c r="C150" s="40"/>
      <c r="D150" s="32"/>
      <c r="M150" s="65"/>
      <c r="N150" s="33"/>
      <c r="O150" s="42"/>
    </row>
    <row r="151" spans="1:15" s="17" customFormat="1" ht="30.75" customHeight="1">
      <c r="A151" s="56"/>
      <c r="C151" s="40"/>
      <c r="D151" s="32"/>
      <c r="F151" s="333" t="s">
        <v>77</v>
      </c>
      <c r="G151" s="333"/>
      <c r="H151" s="333"/>
      <c r="I151" s="333"/>
      <c r="J151" s="333"/>
      <c r="K151" s="333"/>
      <c r="M151" s="65"/>
      <c r="N151" s="33"/>
      <c r="O151" s="42"/>
    </row>
    <row r="152" spans="1:15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5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60.462069152210951</v>
      </c>
      <c r="J153" s="45">
        <f>K153</f>
        <v>60.462069152210951</v>
      </c>
      <c r="K153" s="45">
        <f t="shared" ref="K153:K159" si="45">K77</f>
        <v>60.462069152210951</v>
      </c>
      <c r="M153" s="334" t="s">
        <v>38</v>
      </c>
      <c r="N153" s="33"/>
      <c r="O153" s="42"/>
    </row>
    <row r="154" spans="1:15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J159" si="46">J154</f>
        <v>50.146699713466958</v>
      </c>
      <c r="J154" s="45">
        <f t="shared" si="46"/>
        <v>50.146699713466958</v>
      </c>
      <c r="K154" s="45">
        <f t="shared" si="45"/>
        <v>50.146699713466958</v>
      </c>
      <c r="M154" s="335"/>
      <c r="N154" s="33"/>
      <c r="O154" s="42"/>
    </row>
    <row r="155" spans="1:15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46"/>
        <v>50.882212946212661</v>
      </c>
      <c r="J155" s="45">
        <f t="shared" si="46"/>
        <v>50.882212946212661</v>
      </c>
      <c r="K155" s="45">
        <f t="shared" si="45"/>
        <v>50.882212946212661</v>
      </c>
      <c r="M155" s="335"/>
      <c r="N155" s="33"/>
      <c r="O155" s="42"/>
    </row>
    <row r="156" spans="1:15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46"/>
        <v>44.930280385680064</v>
      </c>
      <c r="J156" s="45">
        <f t="shared" si="46"/>
        <v>44.930280385680064</v>
      </c>
      <c r="K156" s="45">
        <f t="shared" si="45"/>
        <v>44.930280385680064</v>
      </c>
      <c r="M156" s="335"/>
      <c r="N156" s="33"/>
      <c r="O156" s="42"/>
    </row>
    <row r="157" spans="1:15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46"/>
        <v>55.780882193969482</v>
      </c>
      <c r="J157" s="45">
        <f t="shared" si="46"/>
        <v>55.780882193969482</v>
      </c>
      <c r="K157" s="45">
        <f t="shared" si="45"/>
        <v>55.780882193969482</v>
      </c>
      <c r="M157" s="335"/>
      <c r="N157" s="33"/>
      <c r="O157" s="42"/>
    </row>
    <row r="158" spans="1:15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46"/>
        <v>34.743350379285886</v>
      </c>
      <c r="J158" s="45">
        <f t="shared" si="46"/>
        <v>34.743350379285886</v>
      </c>
      <c r="K158" s="45">
        <f t="shared" si="45"/>
        <v>34.743350379285886</v>
      </c>
      <c r="M158" s="335"/>
      <c r="N158" s="33"/>
      <c r="O158" s="42"/>
    </row>
    <row r="159" spans="1:15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46"/>
        <v>20.221229322635391</v>
      </c>
      <c r="J159" s="45">
        <f t="shared" si="46"/>
        <v>20.221229322635391</v>
      </c>
      <c r="K159" s="45">
        <f t="shared" si="45"/>
        <v>20.221229322635391</v>
      </c>
      <c r="M159" s="336"/>
      <c r="N159" s="33"/>
      <c r="O159" s="42"/>
    </row>
    <row r="160" spans="1:15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73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47">I$35*I142*I153/1000</f>
        <v>11.226288325627458</v>
      </c>
      <c r="J163" s="10">
        <f t="shared" si="47"/>
        <v>11.361691054263849</v>
      </c>
      <c r="K163" s="10">
        <f t="shared" si="47"/>
        <v>8.5958343486846331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9" si="48">H$35*H143*H154/1000</f>
        <v>0</v>
      </c>
      <c r="I164" s="10">
        <f t="shared" si="48"/>
        <v>371.41492824863928</v>
      </c>
      <c r="J164" s="10">
        <f t="shared" si="48"/>
        <v>375.89464525593826</v>
      </c>
      <c r="K164" s="10">
        <f t="shared" si="48"/>
        <v>284.38795666469309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si="48"/>
        <v>0</v>
      </c>
      <c r="I165" s="10">
        <f t="shared" si="48"/>
        <v>164.53462137218716</v>
      </c>
      <c r="J165" s="10">
        <f t="shared" si="48"/>
        <v>166.51910957013345</v>
      </c>
      <c r="K165" s="10">
        <f t="shared" si="48"/>
        <v>125.98218653535413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si="48"/>
        <v>0</v>
      </c>
      <c r="I166" s="10">
        <f t="shared" si="48"/>
        <v>27.567156743073348</v>
      </c>
      <c r="J166" s="10">
        <f t="shared" si="48"/>
        <v>27.899650273926131</v>
      </c>
      <c r="K166" s="10">
        <f t="shared" si="48"/>
        <v>21.107841341179768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si="48"/>
        <v>0</v>
      </c>
      <c r="I167" s="10">
        <f t="shared" si="48"/>
        <v>29.697172497058169</v>
      </c>
      <c r="J167" s="10">
        <f t="shared" si="48"/>
        <v>30.055356615642399</v>
      </c>
      <c r="K167" s="10">
        <f t="shared" si="48"/>
        <v>22.738768861502368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si="48"/>
        <v>0</v>
      </c>
      <c r="I168" s="10">
        <f t="shared" si="48"/>
        <v>49.779513839565197</v>
      </c>
      <c r="J168" s="10">
        <f t="shared" si="48"/>
        <v>50.379915486891797</v>
      </c>
      <c r="K168" s="10">
        <f t="shared" si="48"/>
        <v>38.115576806107072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si="48"/>
        <v>0</v>
      </c>
      <c r="I169" s="10">
        <f t="shared" si="48"/>
        <v>68.157983634087699</v>
      </c>
      <c r="J169" s="10">
        <f t="shared" si="48"/>
        <v>68.980052041269303</v>
      </c>
      <c r="K169" s="10">
        <f t="shared" si="48"/>
        <v>52.187750738731388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49">SUM(I163:I169)</f>
        <v>722.37766466023845</v>
      </c>
      <c r="J170" s="11">
        <f t="shared" si="49"/>
        <v>731.09042029806528</v>
      </c>
      <c r="K170" s="11">
        <f t="shared" si="49"/>
        <v>553.11591529625252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M174" s="65"/>
    </row>
    <row r="175" spans="1:15" s="17" customFormat="1">
      <c r="A175" s="56"/>
      <c r="M175" s="65"/>
    </row>
    <row r="176" spans="1:15" s="17" customFormat="1">
      <c r="A176" s="56"/>
      <c r="M176" s="65"/>
    </row>
    <row r="177" spans="1:13" s="17" customFormat="1">
      <c r="A177" s="56"/>
      <c r="M177" s="65"/>
    </row>
    <row r="178" spans="1:13" s="17" customFormat="1">
      <c r="A178" s="56"/>
      <c r="M178" s="65"/>
    </row>
    <row r="179" spans="1:13" s="17" customFormat="1">
      <c r="A179" s="56"/>
      <c r="M179" s="65"/>
    </row>
    <row r="180" spans="1:13" s="17" customFormat="1">
      <c r="A180" s="56"/>
      <c r="M180" s="65"/>
    </row>
    <row r="181" spans="1:13" s="17" customFormat="1">
      <c r="A181" s="56"/>
      <c r="M181" s="65"/>
    </row>
    <row r="182" spans="1:13" s="17" customFormat="1">
      <c r="A182" s="56"/>
      <c r="M182" s="65"/>
    </row>
    <row r="183" spans="1:13" s="17" customFormat="1">
      <c r="A183" s="56"/>
      <c r="M183" s="65"/>
    </row>
    <row r="184" spans="1:13" s="17" customFormat="1">
      <c r="A184" s="56"/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0">
    <mergeCell ref="F161:K161"/>
    <mergeCell ref="F85:G85"/>
    <mergeCell ref="M87:M93"/>
    <mergeCell ref="F95:K95"/>
    <mergeCell ref="F105:K105"/>
    <mergeCell ref="F116:K116"/>
    <mergeCell ref="F127:K127"/>
    <mergeCell ref="E138:M138"/>
    <mergeCell ref="F140:K140"/>
    <mergeCell ref="M142:M149"/>
    <mergeCell ref="F151:K151"/>
    <mergeCell ref="M153:M159"/>
    <mergeCell ref="M77:M83"/>
    <mergeCell ref="D29:N29"/>
    <mergeCell ref="F32:K32"/>
    <mergeCell ref="D39:N39"/>
    <mergeCell ref="E41:M41"/>
    <mergeCell ref="F43:K43"/>
    <mergeCell ref="M45:M51"/>
    <mergeCell ref="F54:K54"/>
    <mergeCell ref="F57:K57"/>
    <mergeCell ref="M59:M65"/>
    <mergeCell ref="F68:K68"/>
    <mergeCell ref="F75:K75"/>
    <mergeCell ref="C27:O27"/>
    <mergeCell ref="C1:O1"/>
    <mergeCell ref="C3:O3"/>
    <mergeCell ref="F5:K5"/>
    <mergeCell ref="F11:K11"/>
    <mergeCell ref="F22:K22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  <pageSetUpPr fitToPage="1"/>
  </sheetPr>
  <dimension ref="A1:GB1589"/>
  <sheetViews>
    <sheetView showGridLines="0" zoomScaleNormal="100" workbookViewId="0">
      <selection activeCell="K73" sqref="K73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64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65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66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 t="shared" ref="H7:K8" si="0">H34</f>
        <v>56508.434021496716</v>
      </c>
      <c r="I7" s="10">
        <f t="shared" si="0"/>
        <v>57014.156186263011</v>
      </c>
      <c r="J7" s="10">
        <f t="shared" si="0"/>
        <v>57435.55761967256</v>
      </c>
      <c r="K7" s="10">
        <f t="shared" si="0"/>
        <v>56622.338824758699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1642.7890950831008</v>
      </c>
      <c r="J8" s="76">
        <f t="shared" si="0"/>
        <v>1568.644542901045</v>
      </c>
      <c r="K8" s="76">
        <f t="shared" si="0"/>
        <v>1155.7225806114329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1">H36</f>
        <v>56508.434021496716</v>
      </c>
      <c r="I9" s="96">
        <f t="shared" si="1"/>
        <v>55371.367091179913</v>
      </c>
      <c r="J9" s="96">
        <f t="shared" si="1"/>
        <v>55866.913076771518</v>
      </c>
      <c r="K9" s="96">
        <f t="shared" si="1"/>
        <v>55466.61624414727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67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777.44474922696963</v>
      </c>
      <c r="I13" s="86">
        <f t="shared" ref="I13:K13" si="2">I129+I163</f>
        <v>521.88677331793406</v>
      </c>
      <c r="J13" s="86">
        <f t="shared" si="2"/>
        <v>368.80407105998046</v>
      </c>
      <c r="K13" s="86">
        <f t="shared" si="2"/>
        <v>231.20220102250897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9" si="3">H130+H164</f>
        <v>4659.6020399884055</v>
      </c>
      <c r="I14" s="86">
        <f t="shared" si="3"/>
        <v>3791.1847167796209</v>
      </c>
      <c r="J14" s="86">
        <f t="shared" si="3"/>
        <v>3375.9851812928323</v>
      </c>
      <c r="K14" s="86">
        <f t="shared" si="3"/>
        <v>2919.7948802973565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si="3"/>
        <v>197.24017631445159</v>
      </c>
      <c r="I15" s="86">
        <f t="shared" si="3"/>
        <v>188.17863006172016</v>
      </c>
      <c r="J15" s="86">
        <f t="shared" si="3"/>
        <v>195.89988495927906</v>
      </c>
      <c r="K15" s="86">
        <f t="shared" si="3"/>
        <v>197.67158787763492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si="3"/>
        <v>21.916159417502385</v>
      </c>
      <c r="I16" s="86">
        <f t="shared" si="3"/>
        <v>19.921158318295287</v>
      </c>
      <c r="J16" s="86">
        <f t="shared" si="3"/>
        <v>19.895255685292927</v>
      </c>
      <c r="K16" s="86">
        <f t="shared" si="3"/>
        <v>19.357643717506402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si="3"/>
        <v>20.784899477038984</v>
      </c>
      <c r="I17" s="86">
        <f t="shared" si="3"/>
        <v>19.539837445618002</v>
      </c>
      <c r="J17" s="86">
        <f t="shared" si="3"/>
        <v>20.095270722130092</v>
      </c>
      <c r="K17" s="86">
        <f t="shared" si="3"/>
        <v>20.067688546531084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si="3"/>
        <v>1088.26708337173</v>
      </c>
      <c r="I18" s="86">
        <f t="shared" si="3"/>
        <v>1004.0578225049612</v>
      </c>
      <c r="J18" s="86">
        <f t="shared" si="3"/>
        <v>1015.2508575476576</v>
      </c>
      <c r="K18" s="86">
        <f t="shared" si="3"/>
        <v>995.52465411560456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si="3"/>
        <v>163.87191043983148</v>
      </c>
      <c r="I19" s="86">
        <f t="shared" si="3"/>
        <v>169.22198825686331</v>
      </c>
      <c r="J19" s="86">
        <f t="shared" si="3"/>
        <v>181.32032611240734</v>
      </c>
      <c r="K19" s="86">
        <f t="shared" si="3"/>
        <v>185.31938497634778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6929.1270182359303</v>
      </c>
      <c r="I20" s="13">
        <f t="shared" ref="I20:K20" si="4">SUM(I13:I19)</f>
        <v>5713.9909266850127</v>
      </c>
      <c r="J20" s="13">
        <f t="shared" si="4"/>
        <v>5177.2508473795788</v>
      </c>
      <c r="K20" s="13">
        <f t="shared" si="4"/>
        <v>4568.9380405534903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-0.4120732448174117</v>
      </c>
      <c r="J23" s="188">
        <f t="shared" ref="J23:K23" si="5">J114/$G114-1</f>
        <v>-0.50567632916956384</v>
      </c>
      <c r="K23" s="188">
        <f t="shared" si="5"/>
        <v>-0.60737460023721845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-0.12107956532059305</v>
      </c>
      <c r="J24" s="188">
        <f t="shared" ref="J24:K24" si="6">J125/$G125-1</f>
        <v>-0.18913679484813306</v>
      </c>
      <c r="K24" s="188">
        <f t="shared" si="6"/>
        <v>-0.26450678502464431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68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69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56508.434021496716</v>
      </c>
      <c r="H34" s="126">
        <f>'Init. parc'!C9</f>
        <v>56508.434021496716</v>
      </c>
      <c r="I34" s="126">
        <f>'Init. parc'!D9</f>
        <v>57014.156186263011</v>
      </c>
      <c r="J34" s="126">
        <f>'Init. parc'!E9</f>
        <v>57435.55761967256</v>
      </c>
      <c r="K34" s="126">
        <f>'Init. parc'!F9</f>
        <v>56622.338824758699</v>
      </c>
      <c r="L34" s="65"/>
      <c r="M34" s="65"/>
      <c r="N34" s="65"/>
      <c r="O34" s="42"/>
    </row>
    <row r="35" spans="1:17" s="17" customFormat="1" ht="21">
      <c r="A35" s="56"/>
      <c r="C35" s="40"/>
      <c r="D35" s="32"/>
      <c r="E35" s="83" t="s">
        <v>29</v>
      </c>
      <c r="F35" s="55"/>
      <c r="G35" s="195"/>
      <c r="H35" s="126">
        <v>0</v>
      </c>
      <c r="I35" s="126">
        <f>'Init. parc'!N9</f>
        <v>1642.7890950831008</v>
      </c>
      <c r="J35" s="126">
        <f>'Init. parc'!O9</f>
        <v>1568.644542901045</v>
      </c>
      <c r="K35" s="126">
        <f>'Init. parc'!P9</f>
        <v>1155.7225806114329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30</v>
      </c>
      <c r="F36" s="55"/>
      <c r="G36" s="195">
        <f>G34-G35</f>
        <v>56508.434021496716</v>
      </c>
      <c r="H36" s="126">
        <f>H34-H35</f>
        <v>56508.434021496716</v>
      </c>
      <c r="I36" s="126">
        <f>I34-I35</f>
        <v>55371.367091179913</v>
      </c>
      <c r="J36" s="126">
        <f>J34-J35</f>
        <v>55866.913076771518</v>
      </c>
      <c r="K36" s="126">
        <f>K34-K35</f>
        <v>55466.61624414727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0.11535851755011599</v>
      </c>
      <c r="H45" s="55">
        <f>'Init. énergie'!B57</f>
        <v>0.11535851755011599</v>
      </c>
      <c r="I45" s="47">
        <f>H45+((K45-H45)/3)</f>
        <v>9.3572345033410664E-2</v>
      </c>
      <c r="J45" s="47">
        <f>H45+((K45-H45)/3*2)</f>
        <v>7.1786172516705327E-2</v>
      </c>
      <c r="K45" s="47">
        <v>0.05</v>
      </c>
      <c r="L45" s="64"/>
      <c r="M45" s="334"/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7">H46</f>
        <v>0.47397594912324764</v>
      </c>
      <c r="H46" s="55">
        <f>'Init. énergie'!B58</f>
        <v>0.47397594912324764</v>
      </c>
      <c r="I46" s="47">
        <f t="shared" ref="I46:I51" si="8">H46+((K46-H46)/3)</f>
        <v>0.44931729941549842</v>
      </c>
      <c r="J46" s="47">
        <f t="shared" ref="J46:J51" si="9">H46+((K46-H46)/3*2)</f>
        <v>0.42465864970774925</v>
      </c>
      <c r="K46" s="47">
        <v>0.4</v>
      </c>
      <c r="L46" s="64"/>
      <c r="M46" s="335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7"/>
        <v>7.5347621054706812E-2</v>
      </c>
      <c r="H47" s="55">
        <f>'Init. énergie'!B59</f>
        <v>7.5347621054706812E-2</v>
      </c>
      <c r="I47" s="47">
        <f t="shared" si="8"/>
        <v>8.3565080703137881E-2</v>
      </c>
      <c r="J47" s="47">
        <f t="shared" si="9"/>
        <v>9.1782540351568936E-2</v>
      </c>
      <c r="K47" s="47">
        <v>0.1</v>
      </c>
      <c r="L47" s="64"/>
      <c r="M47" s="335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7"/>
        <v>8.5578093947910449E-3</v>
      </c>
      <c r="H48" s="55">
        <f>'Init. énergie'!B60</f>
        <v>8.5578093947910449E-3</v>
      </c>
      <c r="I48" s="47">
        <f t="shared" si="8"/>
        <v>9.0385395965273639E-3</v>
      </c>
      <c r="J48" s="47">
        <f t="shared" si="9"/>
        <v>9.5192697982636812E-3</v>
      </c>
      <c r="K48" s="47">
        <v>0.01</v>
      </c>
      <c r="L48" s="64"/>
      <c r="M48" s="335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7"/>
        <v>7.8229288904559831E-3</v>
      </c>
      <c r="H49" s="55">
        <f>'Init. énergie'!B61</f>
        <v>7.8229288904559831E-3</v>
      </c>
      <c r="I49" s="47">
        <f t="shared" si="8"/>
        <v>8.5486192603039888E-3</v>
      </c>
      <c r="J49" s="47">
        <f t="shared" si="9"/>
        <v>9.2743096301519945E-3</v>
      </c>
      <c r="K49" s="47">
        <v>0.01</v>
      </c>
      <c r="L49" s="64"/>
      <c r="M49" s="335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7"/>
        <v>0.25511815548729244</v>
      </c>
      <c r="H50" s="55">
        <f>'Init. énergie'!B62</f>
        <v>0.25511815548729244</v>
      </c>
      <c r="I50" s="47">
        <f t="shared" si="8"/>
        <v>0.28007877032486161</v>
      </c>
      <c r="J50" s="47">
        <f t="shared" si="9"/>
        <v>0.30503938516243079</v>
      </c>
      <c r="K50" s="47">
        <f>1-K45-K46-K47-K48-K49-K51</f>
        <v>0.32999999999999996</v>
      </c>
      <c r="L50" s="64"/>
      <c r="M50" s="335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7"/>
        <v>6.3819018499390159E-2</v>
      </c>
      <c r="H51" s="55">
        <f>'Init. énergie'!B63</f>
        <v>6.3819018499390159E-2</v>
      </c>
      <c r="I51" s="47">
        <f t="shared" si="8"/>
        <v>7.5879345666260103E-2</v>
      </c>
      <c r="J51" s="47">
        <f t="shared" si="9"/>
        <v>8.7939672833130061E-2</v>
      </c>
      <c r="K51" s="124">
        <v>0.1</v>
      </c>
      <c r="L51" s="64"/>
      <c r="M51" s="336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J52" si="10">SUM(G45:G51)</f>
        <v>1</v>
      </c>
      <c r="H52" s="159">
        <f t="shared" si="10"/>
        <v>1</v>
      </c>
      <c r="I52" s="165">
        <f t="shared" si="10"/>
        <v>1</v>
      </c>
      <c r="J52" s="165">
        <f t="shared" si="10"/>
        <v>1</v>
      </c>
      <c r="K52" s="165">
        <f>SUM(K45:K51)</f>
        <v>1</v>
      </c>
      <c r="L52" s="63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K55" si="11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-3.2778695302456959E-2</v>
      </c>
      <c r="J55" s="152">
        <f t="shared" si="11"/>
        <v>-3.3889550554003806E-2</v>
      </c>
      <c r="K55" s="152">
        <f t="shared" si="11"/>
        <v>-3.5078339721340765E-2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>
        <v>2006</v>
      </c>
      <c r="G58" s="4">
        <v>2015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0.11535851755011599</v>
      </c>
      <c r="H59" s="55">
        <f>H45</f>
        <v>0.11535851755011599</v>
      </c>
      <c r="I59" s="47">
        <f>H59+((K59-H59)/3)</f>
        <v>9.3572345033410664E-2</v>
      </c>
      <c r="J59" s="47">
        <f>H59+((K59-H59)/3*2)</f>
        <v>7.1786172516705327E-2</v>
      </c>
      <c r="K59" s="47">
        <v>0.05</v>
      </c>
      <c r="L59" s="64"/>
      <c r="M59" s="334"/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2">H60</f>
        <v>0.47397594912324764</v>
      </c>
      <c r="H60" s="55">
        <f t="shared" ref="H60:H65" si="13">H46</f>
        <v>0.47397594912324764</v>
      </c>
      <c r="I60" s="47">
        <f t="shared" ref="I60:I65" si="14">H60+((K60-H60)/3)</f>
        <v>0.44931729941549842</v>
      </c>
      <c r="J60" s="47">
        <f t="shared" ref="J60:J65" si="15">H60+((K60-H60)/3*2)</f>
        <v>0.42465864970774925</v>
      </c>
      <c r="K60" s="47">
        <v>0.4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2"/>
        <v>7.5347621054706812E-2</v>
      </c>
      <c r="H61" s="55">
        <f t="shared" si="13"/>
        <v>7.5347621054706812E-2</v>
      </c>
      <c r="I61" s="47">
        <f t="shared" si="14"/>
        <v>8.3565080703137881E-2</v>
      </c>
      <c r="J61" s="47">
        <f t="shared" si="15"/>
        <v>9.1782540351568936E-2</v>
      </c>
      <c r="K61" s="47">
        <v>0.1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2"/>
        <v>8.5578093947910449E-3</v>
      </c>
      <c r="H62" s="55">
        <f t="shared" si="13"/>
        <v>8.5578093947910449E-3</v>
      </c>
      <c r="I62" s="47">
        <f t="shared" si="14"/>
        <v>9.0385395965273639E-3</v>
      </c>
      <c r="J62" s="47">
        <f t="shared" si="15"/>
        <v>9.5192697982636812E-3</v>
      </c>
      <c r="K62" s="47">
        <v>0.01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2"/>
        <v>7.8229288904559831E-3</v>
      </c>
      <c r="H63" s="55">
        <f t="shared" si="13"/>
        <v>7.8229288904559831E-3</v>
      </c>
      <c r="I63" s="47">
        <f t="shared" si="14"/>
        <v>8.5486192603039888E-3</v>
      </c>
      <c r="J63" s="47">
        <f t="shared" si="15"/>
        <v>9.2743096301519945E-3</v>
      </c>
      <c r="K63" s="47">
        <v>0.01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2"/>
        <v>0.25511815548729244</v>
      </c>
      <c r="H64" s="55">
        <f t="shared" si="13"/>
        <v>0.25511815548729244</v>
      </c>
      <c r="I64" s="47">
        <f t="shared" si="14"/>
        <v>0.28007877032486161</v>
      </c>
      <c r="J64" s="47">
        <f t="shared" si="15"/>
        <v>0.30503938516243079</v>
      </c>
      <c r="K64" s="47">
        <f>1-K59-K60-K61-K62-K63-K65</f>
        <v>0.32999999999999996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2"/>
        <v>6.3819018499390159E-2</v>
      </c>
      <c r="H65" s="55">
        <f t="shared" si="13"/>
        <v>6.3819018499390159E-2</v>
      </c>
      <c r="I65" s="47">
        <f t="shared" si="14"/>
        <v>7.5879345666260103E-2</v>
      </c>
      <c r="J65" s="47">
        <f t="shared" si="15"/>
        <v>8.7939672833130061E-2</v>
      </c>
      <c r="K65" s="124">
        <v>0.1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16">SUM(G59:G65)</f>
        <v>1</v>
      </c>
      <c r="H66" s="159">
        <v>1</v>
      </c>
      <c r="I66" s="47">
        <f t="shared" ref="I66:J66" si="17">SUM(I59:I65)</f>
        <v>1</v>
      </c>
      <c r="J66" s="47">
        <f t="shared" si="17"/>
        <v>1</v>
      </c>
      <c r="K66" s="47">
        <f>SUM(K59:K65)</f>
        <v>1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-3.2778695302456959E-2</v>
      </c>
      <c r="J69" s="152">
        <f t="shared" ref="J69:K69" si="18">(I$97*(J59-I59)+I$98*(J60-I60)+I$99*(J61-I61)+I$100*(J62-I62)+I$101*(J63-I63)+I$102*(J64-I64)+I$103*(J65-I65))/(I$97*I59+I$98*I60+I$99*I61+I$100*I62+I$101*I63+I$102*I64+I$103*I65)</f>
        <v>-3.3760366942550336E-2</v>
      </c>
      <c r="K69" s="152">
        <f t="shared" si="18"/>
        <v>-3.4807218178464008E-2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31" t="s">
        <v>92</v>
      </c>
      <c r="G72" s="130" t="s">
        <v>91</v>
      </c>
      <c r="H72" s="130" t="s">
        <v>35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bord'!K12</f>
        <v>0.56999999999999995</v>
      </c>
      <c r="G73" s="92">
        <f>'Tableau de bord'!K24</f>
        <v>0.50149999999999995</v>
      </c>
      <c r="H73" s="92">
        <f>'Tableau de bord'!K27</f>
        <v>0.28585499999999997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4"/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54"/>
      <c r="G77" s="81">
        <f>H77/0.998^10</f>
        <v>121.67495192230112</v>
      </c>
      <c r="H77" s="54">
        <f>'Init. énergie'!D57</f>
        <v>119.26323797509556</v>
      </c>
      <c r="I77" s="81">
        <f>G77*60%/(1+I$55)</f>
        <v>75.479076813976747</v>
      </c>
      <c r="J77" s="81">
        <f>G77*50%/(1+I$55)/(1+J$55)</f>
        <v>65.105631260258832</v>
      </c>
      <c r="K77" s="81">
        <f>G77*40%/(1+I$55)/(1+J$55)/(1+K$55)</f>
        <v>53.977962307495119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54"/>
      <c r="G78" s="81">
        <f t="shared" ref="G78:G83" si="19">H78/0.998^10</f>
        <v>177.48997849304948</v>
      </c>
      <c r="H78" s="54">
        <f>'Init. énergie'!D58</f>
        <v>173.97195732387533</v>
      </c>
      <c r="I78" s="81">
        <f t="shared" ref="I78:I83" si="20">G78*60%/(1+I$55)</f>
        <v>110.10302045521124</v>
      </c>
      <c r="J78" s="81">
        <f t="shared" ref="J78:J83" si="21">G78*50%/(1+I$55)/(1+J$55)</f>
        <v>94.971043009237377</v>
      </c>
      <c r="K78" s="81">
        <f t="shared" ref="K78:K83" si="22">G78*40%/(1+I$55)/(1+J$55)/(1+K$55)</f>
        <v>78.738862992720684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54"/>
      <c r="G79" s="81">
        <f t="shared" si="19"/>
        <v>47.261462002481188</v>
      </c>
      <c r="H79" s="54">
        <f>'Init. énergie'!D59</f>
        <v>46.324694613006521</v>
      </c>
      <c r="I79" s="81">
        <f t="shared" si="20"/>
        <v>29.317879024962242</v>
      </c>
      <c r="J79" s="81">
        <f t="shared" si="21"/>
        <v>25.288584621090866</v>
      </c>
      <c r="K79" s="81">
        <f t="shared" si="22"/>
        <v>20.966331806698413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54"/>
      <c r="G80" s="81">
        <f t="shared" si="19"/>
        <v>46.23630888628297</v>
      </c>
      <c r="H80" s="54">
        <f>'Init. énergie'!D60</f>
        <v>45.319861012282082</v>
      </c>
      <c r="I80" s="81">
        <f t="shared" si="20"/>
        <v>28.681941968229115</v>
      </c>
      <c r="J80" s="81">
        <f t="shared" si="21"/>
        <v>24.740047393715361</v>
      </c>
      <c r="K80" s="81">
        <f t="shared" si="22"/>
        <v>20.511548998969054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54"/>
      <c r="G81" s="81">
        <f t="shared" si="19"/>
        <v>47.968911187374374</v>
      </c>
      <c r="H81" s="54">
        <f>'Init. énergie'!D61</f>
        <v>47.018121478275241</v>
      </c>
      <c r="I81" s="81">
        <f t="shared" si="20"/>
        <v>29.756733616847647</v>
      </c>
      <c r="J81" s="81">
        <f t="shared" si="21"/>
        <v>25.667125356380726</v>
      </c>
      <c r="K81" s="81">
        <f t="shared" si="22"/>
        <v>21.280173438302409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54"/>
      <c r="G82" s="81">
        <f t="shared" si="19"/>
        <v>77.015021681216183</v>
      </c>
      <c r="H82" s="54">
        <f>'Init. énergie'!D62</f>
        <v>75.488510275224129</v>
      </c>
      <c r="I82" s="81">
        <f t="shared" si="20"/>
        <v>47.775015691139672</v>
      </c>
      <c r="J82" s="81">
        <f t="shared" si="21"/>
        <v>41.209069934788211</v>
      </c>
      <c r="K82" s="81">
        <f t="shared" si="22"/>
        <v>34.165733141807564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54"/>
      <c r="G83" s="81">
        <f t="shared" si="19"/>
        <v>46.359176315872006</v>
      </c>
      <c r="H83" s="54">
        <f>'Init. énergie'!D63</f>
        <v>45.44029309187578</v>
      </c>
      <c r="I83" s="81">
        <f t="shared" si="20"/>
        <v>28.758160779162438</v>
      </c>
      <c r="J83" s="81">
        <f t="shared" si="21"/>
        <v>24.805791093945693</v>
      </c>
      <c r="K83" s="81">
        <f t="shared" si="22"/>
        <v>20.566055973316665</v>
      </c>
      <c r="M83" s="339"/>
      <c r="N83" s="33"/>
      <c r="O83" s="42"/>
      <c r="Q83" s="52"/>
      <c r="R83" s="52"/>
      <c r="V83" s="101"/>
    </row>
    <row r="84" spans="1:184" s="17" customFormat="1" ht="28.5" customHeight="1">
      <c r="A84" s="56"/>
      <c r="C84" s="40"/>
      <c r="D84" s="32"/>
      <c r="E84" s="91"/>
      <c r="F84" s="89"/>
      <c r="G84" s="123" t="s">
        <v>74</v>
      </c>
      <c r="H84" s="89"/>
      <c r="M84" s="97"/>
      <c r="N84" s="33"/>
      <c r="O84" s="42"/>
    </row>
    <row r="85" spans="1:184" s="17" customFormat="1" ht="69" customHeight="1">
      <c r="A85" s="56"/>
      <c r="C85" s="40"/>
      <c r="D85" s="32"/>
      <c r="F85" s="333" t="s">
        <v>70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23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23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23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23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23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23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71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>G77</f>
        <v>121.67495192230112</v>
      </c>
      <c r="H97" s="54">
        <f>H77</f>
        <v>119.26323797509556</v>
      </c>
      <c r="I97" s="81">
        <f>$H97*(1+$G87)^(I$96-$H$96)</f>
        <v>110.36876428458116</v>
      </c>
      <c r="J97" s="81">
        <f>$H97*(1+$G87)^(J$96-$H$96)</f>
        <v>102.13762712235867</v>
      </c>
      <c r="K97" s="81">
        <f>$H97*(1+$G87)^(K$96-$H$96)</f>
        <v>94.520355843499942</v>
      </c>
      <c r="L97" s="67"/>
      <c r="M97" s="79">
        <f>(K97-G97)/H97</f>
        <v>-0.2276862220064122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ref="G98:H103" si="24">G78</f>
        <v>177.48997849304948</v>
      </c>
      <c r="H98" s="54">
        <f t="shared" si="24"/>
        <v>173.97195732387533</v>
      </c>
      <c r="I98" s="81">
        <f t="shared" ref="I98:K103" si="25">$H98*(1+$G88)^(I$96-$H$96)</f>
        <v>165.49186330982553</v>
      </c>
      <c r="J98" s="81">
        <f t="shared" si="25"/>
        <v>157.42512323852208</v>
      </c>
      <c r="K98" s="81">
        <f t="shared" si="25"/>
        <v>149.75158857367506</v>
      </c>
      <c r="L98" s="67"/>
      <c r="M98" s="79">
        <f t="shared" ref="M98:M103" si="26">(K98-G98)/H98</f>
        <v>-0.15944173041483445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24"/>
        <v>47.261462002481188</v>
      </c>
      <c r="H99" s="54">
        <f t="shared" si="24"/>
        <v>46.324694613006521</v>
      </c>
      <c r="I99" s="81">
        <f t="shared" si="25"/>
        <v>44.513417912343591</v>
      </c>
      <c r="J99" s="81">
        <f t="shared" si="25"/>
        <v>42.772961393308869</v>
      </c>
      <c r="K99" s="81">
        <f t="shared" si="25"/>
        <v>41.100556015631469</v>
      </c>
      <c r="L99" s="67"/>
      <c r="M99" s="79">
        <f t="shared" si="26"/>
        <v>-0.13299399031806958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24"/>
        <v>46.23630888628297</v>
      </c>
      <c r="H100" s="54">
        <f t="shared" si="24"/>
        <v>45.319861012282082</v>
      </c>
      <c r="I100" s="81">
        <f t="shared" si="25"/>
        <v>43.547872896341403</v>
      </c>
      <c r="J100" s="81">
        <f t="shared" si="25"/>
        <v>41.845168794360603</v>
      </c>
      <c r="K100" s="81">
        <f t="shared" si="25"/>
        <v>40.209039729599269</v>
      </c>
      <c r="L100" s="67"/>
      <c r="M100" s="79">
        <f t="shared" si="26"/>
        <v>-0.13299399031806955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24"/>
        <v>47.968911187374374</v>
      </c>
      <c r="H101" s="54">
        <f t="shared" si="24"/>
        <v>47.018121478275241</v>
      </c>
      <c r="I101" s="81">
        <f t="shared" si="25"/>
        <v>45.179732069473218</v>
      </c>
      <c r="J101" s="81">
        <f>$H101*(1+$G91)^(J$96-$H$96)</f>
        <v>43.413222938150106</v>
      </c>
      <c r="K101" s="81">
        <f>$H101*(1+$G91)^(K$96-$H$96)</f>
        <v>41.715783594718815</v>
      </c>
      <c r="L101" s="67"/>
      <c r="M101" s="79">
        <f t="shared" si="26"/>
        <v>-0.13299399031806963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24"/>
        <v>77.015021681216183</v>
      </c>
      <c r="H102" s="54">
        <f t="shared" si="24"/>
        <v>75.488510275224129</v>
      </c>
      <c r="I102" s="81">
        <f t="shared" si="25"/>
        <v>70.685454927669866</v>
      </c>
      <c r="J102" s="81">
        <f t="shared" si="25"/>
        <v>66.188000268055546</v>
      </c>
      <c r="K102" s="81">
        <f t="shared" si="25"/>
        <v>61.976702052309122</v>
      </c>
      <c r="L102" s="67"/>
      <c r="M102" s="79">
        <f t="shared" si="26"/>
        <v>-0.19921335808692922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24"/>
        <v>46.359176315872006</v>
      </c>
      <c r="H103" s="54">
        <f t="shared" si="24"/>
        <v>45.44029309187578</v>
      </c>
      <c r="I103" s="81">
        <f t="shared" si="25"/>
        <v>42.549094922331314</v>
      </c>
      <c r="J103" s="81">
        <f t="shared" si="25"/>
        <v>39.841853023462214</v>
      </c>
      <c r="K103" s="81">
        <f t="shared" si="25"/>
        <v>37.306862936585141</v>
      </c>
      <c r="L103" s="67"/>
      <c r="M103" s="79">
        <f t="shared" si="26"/>
        <v>-0.19921335808692919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93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>G$36*G45*$H$73*G77/1000</f>
        <v>226.73048388209386</v>
      </c>
      <c r="H107" s="54">
        <f>H$36*H45*$H$73*H77/1000</f>
        <v>222.23646879027538</v>
      </c>
      <c r="I107" s="126">
        <f>I$36*I45*$H$73*I77/1000</f>
        <v>111.79056017846852</v>
      </c>
      <c r="J107" s="126">
        <f>J$36*J45*$H$73*J77/1000</f>
        <v>74.637970277834285</v>
      </c>
      <c r="K107" s="126">
        <f>K$36*K45*$H$73*K77/1000</f>
        <v>42.792135051420658</v>
      </c>
      <c r="L107" s="46"/>
      <c r="M107" s="79">
        <f>(K107-G107)/H107</f>
        <v>-0.82766950821314511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ref="G108:K113" si="27">G$36*G46*$H$73*G78/1000</f>
        <v>1358.9053450744093</v>
      </c>
      <c r="H108" s="54">
        <f t="shared" si="27"/>
        <v>1331.9705411408854</v>
      </c>
      <c r="I108" s="126">
        <f t="shared" si="27"/>
        <v>783.0390346191665</v>
      </c>
      <c r="J108" s="126">
        <f t="shared" si="27"/>
        <v>644.06789340551472</v>
      </c>
      <c r="K108" s="126">
        <f t="shared" si="27"/>
        <v>499.37476924903518</v>
      </c>
      <c r="L108" s="46"/>
      <c r="M108" s="79">
        <f t="shared" ref="M108:M114" si="28">(K108-G108)/H108</f>
        <v>-0.64530749688289069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27"/>
        <v>57.522236353427772</v>
      </c>
      <c r="H109" s="54">
        <f t="shared" si="27"/>
        <v>56.382090600367555</v>
      </c>
      <c r="I109" s="126">
        <f t="shared" si="27"/>
        <v>38.778269502541555</v>
      </c>
      <c r="J109" s="126">
        <f t="shared" si="27"/>
        <v>37.066797461868603</v>
      </c>
      <c r="K109" s="126">
        <f t="shared" si="27"/>
        <v>33.24297783210519</v>
      </c>
      <c r="L109" s="46"/>
      <c r="M109" s="79">
        <f t="shared" si="28"/>
        <v>-0.43062004730211806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27"/>
        <v>6.3915299891191895</v>
      </c>
      <c r="H110" s="54">
        <f t="shared" si="27"/>
        <v>6.2648437502901437</v>
      </c>
      <c r="I110" s="126">
        <f t="shared" si="27"/>
        <v>4.103343336091303</v>
      </c>
      <c r="J110" s="126">
        <f t="shared" si="27"/>
        <v>3.7610112396929791</v>
      </c>
      <c r="K110" s="126">
        <f t="shared" si="27"/>
        <v>3.2521901063161778</v>
      </c>
      <c r="L110" s="46"/>
      <c r="M110" s="79">
        <f t="shared" si="28"/>
        <v>-0.50110425861101793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27"/>
        <v>6.0616144369815874</v>
      </c>
      <c r="H111" s="54">
        <f t="shared" si="27"/>
        <v>5.9414674400089789</v>
      </c>
      <c r="I111" s="126">
        <f t="shared" si="27"/>
        <v>4.0263569248689199</v>
      </c>
      <c r="J111" s="126">
        <f t="shared" si="27"/>
        <v>3.8015376047005787</v>
      </c>
      <c r="K111" s="126">
        <f t="shared" si="27"/>
        <v>3.374058659354195</v>
      </c>
      <c r="L111" s="46"/>
      <c r="M111" s="79">
        <f t="shared" si="28"/>
        <v>-0.45233872015014037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27"/>
        <v>317.37730899998957</v>
      </c>
      <c r="H112" s="54">
        <f t="shared" si="27"/>
        <v>311.08658711722586</v>
      </c>
      <c r="I112" s="126">
        <f t="shared" si="27"/>
        <v>211.79322748811936</v>
      </c>
      <c r="J112" s="126">
        <f t="shared" si="27"/>
        <v>200.74706197214556</v>
      </c>
      <c r="K112" s="126">
        <f t="shared" si="27"/>
        <v>178.76485861918724</v>
      </c>
      <c r="L112" s="46"/>
      <c r="M112" s="79">
        <f t="shared" si="28"/>
        <v>-0.44557514248780322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27"/>
        <v>47.790865634696139</v>
      </c>
      <c r="H113" s="54">
        <f t="shared" si="27"/>
        <v>46.843604958778023</v>
      </c>
      <c r="I113" s="126">
        <f t="shared" si="27"/>
        <v>34.539474343688234</v>
      </c>
      <c r="J113" s="126">
        <f t="shared" si="27"/>
        <v>34.836811258844996</v>
      </c>
      <c r="K113" s="126">
        <f t="shared" si="27"/>
        <v>32.608324103521838</v>
      </c>
      <c r="L113" s="46"/>
      <c r="M113" s="79">
        <f t="shared" si="28"/>
        <v>-0.32411129639861858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2020.7793843707175</v>
      </c>
      <c r="H114" s="156">
        <f>SUM(H107:H113)</f>
        <v>1980.7256037978316</v>
      </c>
      <c r="I114" s="154">
        <f t="shared" ref="I114:J114" si="29">SUM(I107:I113)</f>
        <v>1188.0702663929444</v>
      </c>
      <c r="J114" s="154">
        <f t="shared" si="29"/>
        <v>998.91908322060181</v>
      </c>
      <c r="K114" s="154">
        <f>SUM(K107:K113)</f>
        <v>793.40931362094045</v>
      </c>
      <c r="L114" s="21"/>
      <c r="M114" s="79">
        <f t="shared" si="28"/>
        <v>-0.61965679062078305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94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>G$36*G45*(1-$H$73)*G97/1000</f>
        <v>566.43557542102792</v>
      </c>
      <c r="H118" s="157">
        <f>H$36*H45*(1-$H$73)*H97/1000</f>
        <v>555.20828043669428</v>
      </c>
      <c r="I118" s="153">
        <f t="shared" ref="I118:K118" si="30">I$36*I45*(1-$H$73)*I97/1000</f>
        <v>408.38082268985198</v>
      </c>
      <c r="J118" s="153">
        <f t="shared" si="30"/>
        <v>292.52813162604173</v>
      </c>
      <c r="K118" s="153">
        <f t="shared" si="30"/>
        <v>187.20326743370009</v>
      </c>
      <c r="L118" s="46"/>
      <c r="M118" s="79">
        <f>(K118-G118)/H118</f>
        <v>-0.68304512261424832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ref="G119:K124" si="31">G$36*G46*(1-$H$73)*G98/1000</f>
        <v>3394.9221026680111</v>
      </c>
      <c r="H119" s="157">
        <f t="shared" si="31"/>
        <v>3327.6314988475201</v>
      </c>
      <c r="I119" s="153">
        <f t="shared" si="31"/>
        <v>2940.3662673878698</v>
      </c>
      <c r="J119" s="153">
        <f t="shared" si="31"/>
        <v>2667.1969842145791</v>
      </c>
      <c r="K119" s="153">
        <f t="shared" si="31"/>
        <v>2372.7364489228789</v>
      </c>
      <c r="L119" s="46"/>
      <c r="M119" s="79">
        <f t="shared" ref="M119:M125" si="32">(K119-G119)/H119</f>
        <v>-0.30718114493721804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31"/>
        <v>143.70648573793946</v>
      </c>
      <c r="H120" s="157">
        <f t="shared" si="31"/>
        <v>140.85808571408404</v>
      </c>
      <c r="I120" s="153">
        <f t="shared" si="31"/>
        <v>147.09144870100351</v>
      </c>
      <c r="J120" s="153">
        <f t="shared" si="31"/>
        <v>156.62838453389176</v>
      </c>
      <c r="K120" s="153">
        <f t="shared" si="31"/>
        <v>162.80426180805895</v>
      </c>
      <c r="L120" s="46"/>
      <c r="M120" s="79">
        <f t="shared" si="32"/>
        <v>0.13558168118857203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31"/>
        <v>15.967812996377619</v>
      </c>
      <c r="H121" s="157">
        <f t="shared" si="31"/>
        <v>15.651315667212243</v>
      </c>
      <c r="I121" s="153">
        <f t="shared" si="31"/>
        <v>15.564560346967532</v>
      </c>
      <c r="J121" s="153">
        <f t="shared" si="31"/>
        <v>15.892420036905564</v>
      </c>
      <c r="K121" s="153">
        <f t="shared" si="31"/>
        <v>15.927285822358835</v>
      </c>
      <c r="L121" s="46"/>
      <c r="M121" s="79">
        <f t="shared" si="32"/>
        <v>-2.5893780996114053E-3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31"/>
        <v>15.143592528023705</v>
      </c>
      <c r="H122" s="157">
        <f t="shared" si="31"/>
        <v>14.843432037030004</v>
      </c>
      <c r="I122" s="153">
        <f t="shared" si="31"/>
        <v>15.272540024703034</v>
      </c>
      <c r="J122" s="153">
        <f t="shared" si="31"/>
        <v>16.063667069744078</v>
      </c>
      <c r="K122" s="153">
        <f t="shared" si="31"/>
        <v>16.524125248573203</v>
      </c>
      <c r="L122" s="46"/>
      <c r="M122" s="79">
        <f t="shared" si="32"/>
        <v>9.3006301851584872E-2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31"/>
        <v>792.89646266742784</v>
      </c>
      <c r="H123" s="157">
        <f t="shared" si="31"/>
        <v>777.18049625450408</v>
      </c>
      <c r="I123" s="153">
        <f t="shared" si="31"/>
        <v>782.85601806263765</v>
      </c>
      <c r="J123" s="153">
        <f t="shared" si="31"/>
        <v>805.51985908612937</v>
      </c>
      <c r="K123" s="153">
        <f t="shared" si="31"/>
        <v>810.14074447523672</v>
      </c>
      <c r="L123" s="46"/>
      <c r="M123" s="79">
        <f t="shared" si="32"/>
        <v>2.2188258571740935E-2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31"/>
        <v>119.39482513403675</v>
      </c>
      <c r="H124" s="157">
        <f t="shared" si="31"/>
        <v>117.02830548105345</v>
      </c>
      <c r="I124" s="153">
        <f t="shared" si="31"/>
        <v>127.66902734032509</v>
      </c>
      <c r="J124" s="153">
        <f t="shared" si="31"/>
        <v>139.78657032663611</v>
      </c>
      <c r="K124" s="153">
        <f t="shared" si="31"/>
        <v>147.7769857530688</v>
      </c>
      <c r="L124" s="46"/>
      <c r="M124" s="79">
        <f t="shared" si="32"/>
        <v>0.24252389626907006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5048.4668571528446</v>
      </c>
      <c r="H125" s="158">
        <f>SUM(H118:H124)</f>
        <v>4948.4014144380981</v>
      </c>
      <c r="I125" s="155">
        <f t="shared" ref="I125:K125" si="33">SUM(I118:I124)</f>
        <v>4437.2006845533579</v>
      </c>
      <c r="J125" s="155">
        <f t="shared" si="33"/>
        <v>4093.6160168939277</v>
      </c>
      <c r="K125" s="155">
        <f t="shared" si="33"/>
        <v>3713.1131194638756</v>
      </c>
      <c r="L125" s="21"/>
      <c r="M125" s="79">
        <f t="shared" si="32"/>
        <v>-0.26985558079277233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72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777.44474922696963</v>
      </c>
      <c r="I129" s="153">
        <f t="shared" ref="I129:K129" si="34">I107+I118</f>
        <v>520.17138286832051</v>
      </c>
      <c r="J129" s="153">
        <f t="shared" si="34"/>
        <v>367.16610190387598</v>
      </c>
      <c r="K129" s="153">
        <f t="shared" si="34"/>
        <v>229.99540248512074</v>
      </c>
      <c r="L129" s="46"/>
      <c r="M129" s="79">
        <f>(K129-G129)/H129</f>
        <v>0.29583504514476455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5" si="35">H108+H119</f>
        <v>4659.6020399884055</v>
      </c>
      <c r="I130" s="153">
        <f t="shared" si="35"/>
        <v>3723.4053020070364</v>
      </c>
      <c r="J130" s="153">
        <f t="shared" si="35"/>
        <v>3311.264877620094</v>
      </c>
      <c r="K130" s="153">
        <f t="shared" si="35"/>
        <v>2872.1112181719141</v>
      </c>
      <c r="L130" s="46"/>
      <c r="M130" s="79">
        <f t="shared" ref="M130:M136" si="36">(K130-G130)/H130</f>
        <v>0.61638551823173737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si="35"/>
        <v>197.24017631445159</v>
      </c>
      <c r="I131" s="153">
        <f t="shared" si="35"/>
        <v>185.86971820354506</v>
      </c>
      <c r="J131" s="153">
        <f t="shared" si="35"/>
        <v>193.69518199576038</v>
      </c>
      <c r="K131" s="153">
        <f t="shared" si="35"/>
        <v>196.04723964016415</v>
      </c>
      <c r="L131" s="46"/>
      <c r="M131" s="79">
        <f t="shared" si="36"/>
        <v>0.99395185759525184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si="35"/>
        <v>21.916159417502385</v>
      </c>
      <c r="I132" s="153">
        <f t="shared" si="35"/>
        <v>19.667903683058835</v>
      </c>
      <c r="J132" s="153">
        <f t="shared" si="35"/>
        <v>19.653431276598543</v>
      </c>
      <c r="K132" s="153">
        <f t="shared" si="35"/>
        <v>19.179475928675011</v>
      </c>
      <c r="L132" s="46"/>
      <c r="M132" s="79">
        <f t="shared" si="36"/>
        <v>0.87512942223618606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si="35"/>
        <v>20.784899477038984</v>
      </c>
      <c r="I133" s="153">
        <f t="shared" si="35"/>
        <v>19.298896949571954</v>
      </c>
      <c r="J133" s="153">
        <f t="shared" si="35"/>
        <v>19.865204674444655</v>
      </c>
      <c r="K133" s="153">
        <f t="shared" si="35"/>
        <v>19.898183907927397</v>
      </c>
      <c r="L133" s="46"/>
      <c r="M133" s="79">
        <f t="shared" si="36"/>
        <v>0.95733847209166734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si="35"/>
        <v>1088.26708337173</v>
      </c>
      <c r="I134" s="153">
        <f t="shared" si="35"/>
        <v>994.64924555075697</v>
      </c>
      <c r="J134" s="153">
        <f t="shared" si="35"/>
        <v>1006.2669210582749</v>
      </c>
      <c r="K134" s="153">
        <f t="shared" si="35"/>
        <v>988.9056030944239</v>
      </c>
      <c r="L134" s="46"/>
      <c r="M134" s="79">
        <f t="shared" si="36"/>
        <v>0.90869752306625062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si="35"/>
        <v>163.87191043983148</v>
      </c>
      <c r="I135" s="153">
        <f t="shared" si="35"/>
        <v>162.20850168401333</v>
      </c>
      <c r="J135" s="153">
        <f t="shared" si="35"/>
        <v>174.6233815854811</v>
      </c>
      <c r="K135" s="153">
        <f t="shared" si="35"/>
        <v>180.38530985659065</v>
      </c>
      <c r="L135" s="46"/>
      <c r="M135" s="79">
        <f t="shared" si="36"/>
        <v>1.1007701647734336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6929.1270182359303</v>
      </c>
      <c r="I136" s="155">
        <f t="shared" ref="I136:K136" si="37">SUM(I129:I135)</f>
        <v>5625.2709509463039</v>
      </c>
      <c r="J136" s="155">
        <f t="shared" si="37"/>
        <v>5092.53510011453</v>
      </c>
      <c r="K136" s="155">
        <f t="shared" si="37"/>
        <v>4506.5224330848159</v>
      </c>
      <c r="L136" s="21"/>
      <c r="M136" s="79">
        <f t="shared" si="36"/>
        <v>0.65037376587622731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76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énergie'!C57</f>
        <v>1.9344819899405983E-2</v>
      </c>
      <c r="I142" s="47">
        <f>H142</f>
        <v>1.9344819899405983E-2</v>
      </c>
      <c r="J142" s="47">
        <f>I142</f>
        <v>1.9344819899405983E-2</v>
      </c>
      <c r="K142" s="47">
        <f>J142</f>
        <v>1.9344819899405983E-2</v>
      </c>
      <c r="M142" s="334" t="s">
        <v>41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énergie'!C58</f>
        <v>0.52399466367463399</v>
      </c>
      <c r="I143" s="47">
        <f t="shared" ref="I143:K143" si="38">H143</f>
        <v>0.52399466367463399</v>
      </c>
      <c r="J143" s="47">
        <f t="shared" si="38"/>
        <v>0.52399466367463399</v>
      </c>
      <c r="K143" s="47">
        <f t="shared" si="38"/>
        <v>0.52399466367463399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énergie'!C59</f>
        <v>6.7035227617333368E-2</v>
      </c>
      <c r="I144" s="47">
        <f t="shared" ref="I144:K144" si="39">H144</f>
        <v>6.7035227617333368E-2</v>
      </c>
      <c r="J144" s="47">
        <f t="shared" si="39"/>
        <v>6.7035227617333368E-2</v>
      </c>
      <c r="K144" s="47">
        <f t="shared" si="39"/>
        <v>6.7035227617333368E-2</v>
      </c>
      <c r="M144" s="335"/>
      <c r="N144" s="33"/>
      <c r="O144" s="42"/>
    </row>
    <row r="145" spans="1:15" s="17" customFormat="1">
      <c r="A145" s="56"/>
      <c r="C145" s="40"/>
      <c r="D145" s="32"/>
      <c r="E145" s="6" t="s">
        <v>22</v>
      </c>
      <c r="F145" s="55"/>
      <c r="G145" s="55"/>
      <c r="H145" s="55">
        <f>'Init. énergie'!C60</f>
        <v>7.5158331919586794E-3</v>
      </c>
      <c r="I145" s="47">
        <f t="shared" ref="I145:K145" si="40">H145</f>
        <v>7.5158331919586794E-3</v>
      </c>
      <c r="J145" s="47">
        <f t="shared" si="40"/>
        <v>7.5158331919586794E-3</v>
      </c>
      <c r="K145" s="47">
        <f t="shared" si="40"/>
        <v>7.5158331919586794E-3</v>
      </c>
      <c r="M145" s="335"/>
      <c r="N145" s="33"/>
      <c r="O145" s="42"/>
    </row>
    <row r="146" spans="1:15" s="17" customFormat="1">
      <c r="A146" s="56"/>
      <c r="C146" s="40"/>
      <c r="D146" s="32"/>
      <c r="E146" s="6" t="s">
        <v>42</v>
      </c>
      <c r="F146" s="55"/>
      <c r="G146" s="55"/>
      <c r="H146" s="55">
        <f>'Init. énergie'!C61</f>
        <v>6.8921199229294077E-3</v>
      </c>
      <c r="I146" s="47">
        <f t="shared" ref="I146:K146" si="41">H146</f>
        <v>6.8921199229294077E-3</v>
      </c>
      <c r="J146" s="47">
        <f t="shared" si="41"/>
        <v>6.8921199229294077E-3</v>
      </c>
      <c r="K146" s="47">
        <f t="shared" si="41"/>
        <v>6.8921199229294077E-3</v>
      </c>
      <c r="M146" s="335"/>
      <c r="N146" s="33"/>
      <c r="O146" s="42"/>
    </row>
    <row r="147" spans="1:15" s="17" customFormat="1">
      <c r="A147" s="56"/>
      <c r="C147" s="40"/>
      <c r="D147" s="32"/>
      <c r="E147" s="6" t="s">
        <v>25</v>
      </c>
      <c r="F147" s="55"/>
      <c r="G147" s="85"/>
      <c r="H147" s="55">
        <f>'Init. énergie'!C62</f>
        <v>0.16762986130287999</v>
      </c>
      <c r="I147" s="47">
        <f t="shared" ref="I147:K147" si="42">H147</f>
        <v>0.16762986130287999</v>
      </c>
      <c r="J147" s="47">
        <f t="shared" si="42"/>
        <v>0.16762986130287999</v>
      </c>
      <c r="K147" s="47">
        <f t="shared" si="42"/>
        <v>0.16762986130287999</v>
      </c>
      <c r="M147" s="335"/>
      <c r="N147" s="33"/>
      <c r="O147" s="42"/>
    </row>
    <row r="148" spans="1:15" s="17" customFormat="1">
      <c r="A148" s="56"/>
      <c r="C148" s="40"/>
      <c r="D148" s="32"/>
      <c r="E148" s="6" t="s">
        <v>26</v>
      </c>
      <c r="F148" s="55"/>
      <c r="G148" s="85"/>
      <c r="H148" s="55">
        <f>'Init. énergie'!C63</f>
        <v>0.20758747439085867</v>
      </c>
      <c r="I148" s="47">
        <f t="shared" ref="I148:K148" si="43">H148</f>
        <v>0.20758747439085867</v>
      </c>
      <c r="J148" s="47">
        <f t="shared" si="43"/>
        <v>0.20758747439085867</v>
      </c>
      <c r="K148" s="47">
        <f t="shared" si="43"/>
        <v>0.20758747439085867</v>
      </c>
      <c r="M148" s="335"/>
      <c r="N148" s="33"/>
      <c r="O148" s="42"/>
    </row>
    <row r="149" spans="1:15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1</v>
      </c>
      <c r="I149" s="15">
        <f t="shared" ref="I149:K149" si="44">SUM(I142:I148)</f>
        <v>1</v>
      </c>
      <c r="J149" s="15">
        <f t="shared" si="44"/>
        <v>1</v>
      </c>
      <c r="K149" s="15">
        <f t="shared" si="44"/>
        <v>1</v>
      </c>
      <c r="M149" s="336"/>
      <c r="N149" s="33"/>
      <c r="O149" s="42"/>
    </row>
    <row r="150" spans="1:15" s="17" customFormat="1">
      <c r="A150" s="56"/>
      <c r="C150" s="40"/>
      <c r="D150" s="32"/>
      <c r="M150" s="65"/>
      <c r="N150" s="33"/>
      <c r="O150" s="42"/>
    </row>
    <row r="151" spans="1:15" s="17" customFormat="1" ht="30.75" customHeight="1">
      <c r="A151" s="56"/>
      <c r="C151" s="40"/>
      <c r="D151" s="32"/>
      <c r="F151" s="333" t="s">
        <v>77</v>
      </c>
      <c r="G151" s="333"/>
      <c r="H151" s="333"/>
      <c r="I151" s="333"/>
      <c r="J151" s="333"/>
      <c r="K151" s="333"/>
      <c r="M151" s="65"/>
      <c r="N151" s="33"/>
      <c r="O151" s="42"/>
    </row>
    <row r="152" spans="1:15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5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53.977962307495119</v>
      </c>
      <c r="J153" s="45">
        <f>K153</f>
        <v>53.977962307495119</v>
      </c>
      <c r="K153" s="45">
        <f t="shared" ref="K153:K159" si="45">K77</f>
        <v>53.977962307495119</v>
      </c>
      <c r="M153" s="334" t="s">
        <v>38</v>
      </c>
      <c r="N153" s="33"/>
      <c r="O153" s="42"/>
    </row>
    <row r="154" spans="1:15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J159" si="46">J154</f>
        <v>78.738862992720684</v>
      </c>
      <c r="J154" s="45">
        <f t="shared" si="46"/>
        <v>78.738862992720684</v>
      </c>
      <c r="K154" s="45">
        <f t="shared" si="45"/>
        <v>78.738862992720684</v>
      </c>
      <c r="M154" s="335"/>
      <c r="N154" s="33"/>
      <c r="O154" s="42"/>
    </row>
    <row r="155" spans="1:15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46"/>
        <v>20.966331806698413</v>
      </c>
      <c r="J155" s="45">
        <f t="shared" si="46"/>
        <v>20.966331806698413</v>
      </c>
      <c r="K155" s="45">
        <f t="shared" si="45"/>
        <v>20.966331806698413</v>
      </c>
      <c r="M155" s="335"/>
      <c r="N155" s="33"/>
      <c r="O155" s="42"/>
    </row>
    <row r="156" spans="1:15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46"/>
        <v>20.511548998969054</v>
      </c>
      <c r="J156" s="45">
        <f t="shared" si="46"/>
        <v>20.511548998969054</v>
      </c>
      <c r="K156" s="45">
        <f t="shared" si="45"/>
        <v>20.511548998969054</v>
      </c>
      <c r="M156" s="335"/>
      <c r="N156" s="33"/>
      <c r="O156" s="42"/>
    </row>
    <row r="157" spans="1:15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46"/>
        <v>21.280173438302409</v>
      </c>
      <c r="J157" s="45">
        <f t="shared" si="46"/>
        <v>21.280173438302409</v>
      </c>
      <c r="K157" s="45">
        <f t="shared" si="45"/>
        <v>21.280173438302409</v>
      </c>
      <c r="M157" s="335"/>
      <c r="N157" s="33"/>
      <c r="O157" s="42"/>
    </row>
    <row r="158" spans="1:15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46"/>
        <v>34.165733141807564</v>
      </c>
      <c r="J158" s="45">
        <f t="shared" si="46"/>
        <v>34.165733141807564</v>
      </c>
      <c r="K158" s="45">
        <f t="shared" si="45"/>
        <v>34.165733141807564</v>
      </c>
      <c r="M158" s="335"/>
      <c r="N158" s="33"/>
      <c r="O158" s="42"/>
    </row>
    <row r="159" spans="1:15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46"/>
        <v>20.566055973316665</v>
      </c>
      <c r="J159" s="45">
        <f t="shared" si="46"/>
        <v>20.566055973316665</v>
      </c>
      <c r="K159" s="45">
        <f t="shared" si="45"/>
        <v>20.566055973316665</v>
      </c>
      <c r="M159" s="336"/>
      <c r="N159" s="33"/>
      <c r="O159" s="42"/>
    </row>
    <row r="160" spans="1:15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73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47">I$35*I142*I153/1000</f>
        <v>1.7153904496135826</v>
      </c>
      <c r="J163" s="10">
        <f t="shared" si="47"/>
        <v>1.6379691561044845</v>
      </c>
      <c r="K163" s="10">
        <f t="shared" si="47"/>
        <v>1.2067985373882275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9" si="48">H$35*H143*H154/1000</f>
        <v>0</v>
      </c>
      <c r="I164" s="10">
        <f t="shared" si="48"/>
        <v>67.779414772584317</v>
      </c>
      <c r="J164" s="10">
        <f t="shared" si="48"/>
        <v>64.720303672738069</v>
      </c>
      <c r="K164" s="10">
        <f t="shared" si="48"/>
        <v>47.683662125442382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si="48"/>
        <v>0</v>
      </c>
      <c r="I165" s="10">
        <f t="shared" si="48"/>
        <v>2.3089118581750916</v>
      </c>
      <c r="J165" s="10">
        <f t="shared" si="48"/>
        <v>2.2047029635186712</v>
      </c>
      <c r="K165" s="10">
        <f t="shared" si="48"/>
        <v>1.6243482374707818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si="48"/>
        <v>0</v>
      </c>
      <c r="I166" s="10">
        <f t="shared" si="48"/>
        <v>0.25325463523645037</v>
      </c>
      <c r="J166" s="10">
        <f t="shared" si="48"/>
        <v>0.24182440869438368</v>
      </c>
      <c r="K166" s="10">
        <f t="shared" si="48"/>
        <v>0.17816778883139084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si="48"/>
        <v>0</v>
      </c>
      <c r="I167" s="10">
        <f t="shared" si="48"/>
        <v>0.24094049604604803</v>
      </c>
      <c r="J167" s="10">
        <f t="shared" si="48"/>
        <v>0.2300660476854367</v>
      </c>
      <c r="K167" s="10">
        <f t="shared" si="48"/>
        <v>0.169504638603686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si="48"/>
        <v>0</v>
      </c>
      <c r="I168" s="10">
        <f t="shared" si="48"/>
        <v>9.408576954204273</v>
      </c>
      <c r="J168" s="10">
        <f t="shared" si="48"/>
        <v>8.9839364893827085</v>
      </c>
      <c r="K168" s="10">
        <f t="shared" si="48"/>
        <v>6.6190510211806393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si="48"/>
        <v>0</v>
      </c>
      <c r="I169" s="10">
        <f t="shared" si="48"/>
        <v>7.0134865728499935</v>
      </c>
      <c r="J169" s="10">
        <f t="shared" si="48"/>
        <v>6.6969445269262469</v>
      </c>
      <c r="K169" s="10">
        <f t="shared" si="48"/>
        <v>4.9340751197571127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49">SUM(I163:I169)</f>
        <v>88.719975738709763</v>
      </c>
      <c r="J170" s="11">
        <f t="shared" si="49"/>
        <v>84.715747265050013</v>
      </c>
      <c r="K170" s="11">
        <f t="shared" si="49"/>
        <v>62.415607468674217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M174" s="65"/>
    </row>
    <row r="175" spans="1:15" s="17" customFormat="1">
      <c r="A175" s="56"/>
      <c r="M175" s="65"/>
    </row>
    <row r="176" spans="1:15" s="17" customFormat="1">
      <c r="A176" s="56"/>
      <c r="M176" s="65"/>
    </row>
    <row r="177" spans="1:13" s="17" customFormat="1">
      <c r="A177" s="56"/>
      <c r="M177" s="65"/>
    </row>
    <row r="178" spans="1:13" s="17" customFormat="1">
      <c r="A178" s="56"/>
      <c r="M178" s="65"/>
    </row>
    <row r="179" spans="1:13" s="17" customFormat="1">
      <c r="A179" s="56"/>
      <c r="M179" s="65"/>
    </row>
    <row r="180" spans="1:13" s="17" customFormat="1">
      <c r="A180" s="56"/>
      <c r="M180" s="65"/>
    </row>
    <row r="181" spans="1:13" s="17" customFormat="1">
      <c r="A181" s="56"/>
      <c r="M181" s="65"/>
    </row>
    <row r="182" spans="1:13" s="17" customFormat="1">
      <c r="A182" s="56"/>
      <c r="M182" s="65"/>
    </row>
    <row r="183" spans="1:13" s="17" customFormat="1">
      <c r="A183" s="56"/>
      <c r="M183" s="65"/>
    </row>
    <row r="184" spans="1:13" s="17" customFormat="1">
      <c r="A184" s="56"/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0">
    <mergeCell ref="F161:K161"/>
    <mergeCell ref="F85:G85"/>
    <mergeCell ref="M87:M93"/>
    <mergeCell ref="F95:K95"/>
    <mergeCell ref="F105:K105"/>
    <mergeCell ref="F116:K116"/>
    <mergeCell ref="F127:K127"/>
    <mergeCell ref="E138:M138"/>
    <mergeCell ref="F140:K140"/>
    <mergeCell ref="M142:M149"/>
    <mergeCell ref="F151:K151"/>
    <mergeCell ref="M153:M159"/>
    <mergeCell ref="M77:M83"/>
    <mergeCell ref="D29:N29"/>
    <mergeCell ref="F32:K32"/>
    <mergeCell ref="D39:N39"/>
    <mergeCell ref="E41:M41"/>
    <mergeCell ref="F43:K43"/>
    <mergeCell ref="M45:M51"/>
    <mergeCell ref="F54:K54"/>
    <mergeCell ref="F57:K57"/>
    <mergeCell ref="M59:M65"/>
    <mergeCell ref="F68:K68"/>
    <mergeCell ref="F75:K75"/>
    <mergeCell ref="C27:O27"/>
    <mergeCell ref="C1:O1"/>
    <mergeCell ref="C3:O3"/>
    <mergeCell ref="F5:K5"/>
    <mergeCell ref="F11:K11"/>
    <mergeCell ref="F22:K22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  <pageSetUpPr fitToPage="1"/>
  </sheetPr>
  <dimension ref="A1:GB1589"/>
  <sheetViews>
    <sheetView showGridLines="0" zoomScale="130" zoomScaleNormal="130" workbookViewId="0">
      <selection activeCell="K73" sqref="K73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64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65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66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 t="shared" ref="H7:K8" si="0">H34</f>
        <v>41814.604215450461</v>
      </c>
      <c r="I7" s="10">
        <f t="shared" si="0"/>
        <v>42188.823967401804</v>
      </c>
      <c r="J7" s="10">
        <f t="shared" si="0"/>
        <v>42500.648820788112</v>
      </c>
      <c r="K7" s="10">
        <f t="shared" si="0"/>
        <v>41898.890470221319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1461.3994615530548</v>
      </c>
      <c r="J8" s="76">
        <f t="shared" si="0"/>
        <v>1408.7342765387548</v>
      </c>
      <c r="K8" s="76">
        <f t="shared" si="0"/>
        <v>1105.016869340491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1">H36</f>
        <v>41814.604215450461</v>
      </c>
      <c r="I9" s="96">
        <f t="shared" si="1"/>
        <v>40727.42450584875</v>
      </c>
      <c r="J9" s="96">
        <f t="shared" si="1"/>
        <v>41091.914544249361</v>
      </c>
      <c r="K9" s="96">
        <f t="shared" si="1"/>
        <v>40793.873600880826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67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1184.6022208624877</v>
      </c>
      <c r="I13" s="86">
        <f t="shared" ref="I13:K13" si="2">I129+I163</f>
        <v>778.14395813458418</v>
      </c>
      <c r="J13" s="86">
        <f t="shared" si="2"/>
        <v>572.25115699029004</v>
      </c>
      <c r="K13" s="86">
        <f t="shared" si="2"/>
        <v>385.73356895434341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9" si="3">H130+H164</f>
        <v>2571.1662444862577</v>
      </c>
      <c r="I14" s="86">
        <f t="shared" si="3"/>
        <v>1968.7389806802951</v>
      </c>
      <c r="J14" s="86">
        <f t="shared" si="3"/>
        <v>1741.9066904599401</v>
      </c>
      <c r="K14" s="86">
        <f t="shared" si="3"/>
        <v>1497.1449562264602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si="3"/>
        <v>322.79006470064917</v>
      </c>
      <c r="I15" s="86">
        <f t="shared" si="3"/>
        <v>268.89338950073375</v>
      </c>
      <c r="J15" s="86">
        <f t="shared" si="3"/>
        <v>250.5352664695389</v>
      </c>
      <c r="K15" s="86">
        <f t="shared" si="3"/>
        <v>226.12055270217428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si="3"/>
        <v>88.777400481906028</v>
      </c>
      <c r="I16" s="86">
        <f t="shared" si="3"/>
        <v>77.083197628058699</v>
      </c>
      <c r="J16" s="86">
        <f t="shared" si="3"/>
        <v>76.040002498252662</v>
      </c>
      <c r="K16" s="86">
        <f t="shared" si="3"/>
        <v>72.779377578818895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si="3"/>
        <v>74.467362697590801</v>
      </c>
      <c r="I17" s="86">
        <f t="shared" si="3"/>
        <v>56.111211567841103</v>
      </c>
      <c r="J17" s="86">
        <f t="shared" si="3"/>
        <v>47.390750307593393</v>
      </c>
      <c r="K17" s="86">
        <f t="shared" si="3"/>
        <v>38.306542171614602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si="3"/>
        <v>730.54536473556664</v>
      </c>
      <c r="I18" s="86">
        <f t="shared" si="3"/>
        <v>690.82360758221739</v>
      </c>
      <c r="J18" s="86">
        <f t="shared" si="3"/>
        <v>730.3172450420218</v>
      </c>
      <c r="K18" s="86">
        <f t="shared" si="3"/>
        <v>738.20075586419307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si="3"/>
        <v>130.96454462136231</v>
      </c>
      <c r="I19" s="86">
        <f t="shared" si="3"/>
        <v>136.41168571811144</v>
      </c>
      <c r="J19" s="86">
        <f t="shared" si="3"/>
        <v>142.87897468824366</v>
      </c>
      <c r="K19" s="86">
        <f t="shared" si="3"/>
        <v>141.52633805296614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5103.3132025858204</v>
      </c>
      <c r="I20" s="13">
        <f t="shared" ref="I20:K20" si="4">SUM(I13:I19)</f>
        <v>3976.2060308118416</v>
      </c>
      <c r="J20" s="13">
        <f t="shared" si="4"/>
        <v>3561.3200864558808</v>
      </c>
      <c r="K20" s="13">
        <f t="shared" si="4"/>
        <v>3099.8120915505706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-0.41559999999999997</v>
      </c>
      <c r="J23" s="188">
        <f t="shared" ref="J23:K23" si="5">J114/$G114-1</f>
        <v>-0.50864159406456932</v>
      </c>
      <c r="K23" s="188">
        <f t="shared" si="5"/>
        <v>-0.60976434557945647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-0.12924363160652996</v>
      </c>
      <c r="J24" s="188">
        <f t="shared" ref="J24:K24" si="6">J125/$G125-1</f>
        <v>-0.19904494016943142</v>
      </c>
      <c r="K24" s="188">
        <f t="shared" si="6"/>
        <v>-0.27543757065767949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68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69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41814.604215450461</v>
      </c>
      <c r="H34" s="126">
        <f>'Init. parc'!C10</f>
        <v>41814.604215450461</v>
      </c>
      <c r="I34" s="126">
        <f>'Init. parc'!D10</f>
        <v>42188.823967401804</v>
      </c>
      <c r="J34" s="126">
        <f>'Init. parc'!E10</f>
        <v>42500.648820788112</v>
      </c>
      <c r="K34" s="126">
        <f>'Init. parc'!F10</f>
        <v>41898.890470221319</v>
      </c>
      <c r="L34" s="65"/>
      <c r="M34" s="65"/>
      <c r="N34" s="65"/>
      <c r="O34" s="42"/>
    </row>
    <row r="35" spans="1:17" s="17" customFormat="1" ht="21">
      <c r="A35" s="56"/>
      <c r="C35" s="40"/>
      <c r="D35" s="32"/>
      <c r="E35" s="83" t="s">
        <v>29</v>
      </c>
      <c r="F35" s="55"/>
      <c r="G35" s="195"/>
      <c r="H35" s="126">
        <v>0</v>
      </c>
      <c r="I35" s="126">
        <f>'Init. parc'!N10</f>
        <v>1461.3994615530548</v>
      </c>
      <c r="J35" s="126">
        <f>'Init. parc'!O10</f>
        <v>1408.7342765387548</v>
      </c>
      <c r="K35" s="126">
        <f>'Init. parc'!P10</f>
        <v>1105.016869340491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30</v>
      </c>
      <c r="F36" s="55"/>
      <c r="G36" s="195">
        <f>G34-G35</f>
        <v>41814.604215450461</v>
      </c>
      <c r="H36" s="126">
        <f>H34-H35</f>
        <v>41814.604215450461</v>
      </c>
      <c r="I36" s="126">
        <f>I34-I35</f>
        <v>40727.42450584875</v>
      </c>
      <c r="J36" s="126">
        <f>J34-J35</f>
        <v>41091.914544249361</v>
      </c>
      <c r="K36" s="126">
        <f>K34-K35</f>
        <v>40793.873600880826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0.19595605807562935</v>
      </c>
      <c r="H45" s="55">
        <f>'Init. énergie'!B66</f>
        <v>0.19595605807562935</v>
      </c>
      <c r="I45" s="47">
        <f>H45+((K45-H45)/3)</f>
        <v>0.16397070538375291</v>
      </c>
      <c r="J45" s="47">
        <f>H45+((K45-H45)/3*2)</f>
        <v>0.13198535269187645</v>
      </c>
      <c r="K45" s="47">
        <v>0.1</v>
      </c>
      <c r="L45" s="64"/>
      <c r="M45" s="334"/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7">H46</f>
        <v>0.40960771079475461</v>
      </c>
      <c r="H46" s="55">
        <f>'Init. énergie'!B67</f>
        <v>0.40960771079475461</v>
      </c>
      <c r="I46" s="47">
        <f t="shared" ref="I46:I51" si="8">H46+((K46-H46)/3)</f>
        <v>0.38973847386316973</v>
      </c>
      <c r="J46" s="47">
        <f t="shared" ref="J46:J51" si="9">H46+((K46-H46)/3*2)</f>
        <v>0.36986923693158485</v>
      </c>
      <c r="K46" s="47">
        <v>0.35</v>
      </c>
      <c r="L46" s="64"/>
      <c r="M46" s="335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7"/>
        <v>6.1629340994289197E-2</v>
      </c>
      <c r="H47" s="55">
        <f>'Init. énergie'!B68</f>
        <v>6.1629340994289197E-2</v>
      </c>
      <c r="I47" s="47">
        <f t="shared" si="8"/>
        <v>6.1086227329526128E-2</v>
      </c>
      <c r="J47" s="47">
        <f t="shared" si="9"/>
        <v>6.0543113664763067E-2</v>
      </c>
      <c r="K47" s="47">
        <v>0.06</v>
      </c>
      <c r="L47" s="64"/>
      <c r="M47" s="335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7"/>
        <v>1.720027863130175E-2</v>
      </c>
      <c r="H48" s="55">
        <f>'Init. énergie'!B69</f>
        <v>1.720027863130175E-2</v>
      </c>
      <c r="I48" s="47">
        <f t="shared" si="8"/>
        <v>1.8133519087534501E-2</v>
      </c>
      <c r="J48" s="47">
        <f t="shared" si="9"/>
        <v>1.9066759543767249E-2</v>
      </c>
      <c r="K48" s="47">
        <v>0.02</v>
      </c>
      <c r="L48" s="64"/>
      <c r="M48" s="335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7"/>
        <v>1.3962097437388757E-2</v>
      </c>
      <c r="H49" s="55">
        <f>'Init. énergie'!B70</f>
        <v>1.3962097437388757E-2</v>
      </c>
      <c r="I49" s="47">
        <f t="shared" si="8"/>
        <v>1.2641398291592505E-2</v>
      </c>
      <c r="J49" s="47">
        <f t="shared" si="9"/>
        <v>1.1320699145796252E-2</v>
      </c>
      <c r="K49" s="47">
        <v>0.01</v>
      </c>
      <c r="L49" s="64"/>
      <c r="M49" s="335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7"/>
        <v>0.23589207259794331</v>
      </c>
      <c r="H50" s="55">
        <f>'Init. énergie'!B71</f>
        <v>0.23589207259794331</v>
      </c>
      <c r="I50" s="47">
        <f t="shared" si="8"/>
        <v>0.27726138173196219</v>
      </c>
      <c r="J50" s="47">
        <f t="shared" si="9"/>
        <v>0.31863069086598111</v>
      </c>
      <c r="K50" s="47">
        <f>1-K45-K46-K47-K48-K49-K51</f>
        <v>0.36</v>
      </c>
      <c r="L50" s="64"/>
      <c r="M50" s="335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7"/>
        <v>6.5752441468692954E-2</v>
      </c>
      <c r="H51" s="55">
        <f>'Init. énergie'!B72</f>
        <v>6.5752441468692954E-2</v>
      </c>
      <c r="I51" s="47">
        <f t="shared" si="8"/>
        <v>7.7168294312461971E-2</v>
      </c>
      <c r="J51" s="47">
        <f t="shared" si="9"/>
        <v>8.8584147156230988E-2</v>
      </c>
      <c r="K51" s="124">
        <v>0.1</v>
      </c>
      <c r="L51" s="64"/>
      <c r="M51" s="336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J52" si="10">SUM(G45:G51)</f>
        <v>1</v>
      </c>
      <c r="H52" s="159">
        <f t="shared" si="10"/>
        <v>1</v>
      </c>
      <c r="I52" s="165">
        <f t="shared" si="10"/>
        <v>0.99999999999999989</v>
      </c>
      <c r="J52" s="165">
        <f t="shared" si="10"/>
        <v>1</v>
      </c>
      <c r="K52" s="165">
        <f>SUM(K45:K51)</f>
        <v>1</v>
      </c>
      <c r="L52" s="63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K55" si="11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-3.3761720087528417E-2</v>
      </c>
      <c r="J55" s="152">
        <f t="shared" si="11"/>
        <v>-3.4941401918568968E-2</v>
      </c>
      <c r="K55" s="152">
        <f t="shared" si="11"/>
        <v>-3.6206508069078547E-2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>
        <v>2006</v>
      </c>
      <c r="G58" s="4">
        <v>2015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0.19595605807562935</v>
      </c>
      <c r="H59" s="55">
        <f>H45</f>
        <v>0.19595605807562935</v>
      </c>
      <c r="I59" s="47">
        <f>H59+((K59-H59)/3)</f>
        <v>0.16397070538375291</v>
      </c>
      <c r="J59" s="47">
        <f>H59+((K59-H59)/3*2)</f>
        <v>0.13198535269187645</v>
      </c>
      <c r="K59" s="47">
        <v>0.1</v>
      </c>
      <c r="L59" s="64"/>
      <c r="M59" s="334"/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2">H60</f>
        <v>0.40960771079475461</v>
      </c>
      <c r="H60" s="55">
        <f t="shared" ref="H60:H65" si="13">H46</f>
        <v>0.40960771079475461</v>
      </c>
      <c r="I60" s="47">
        <f t="shared" ref="I60:I65" si="14">H60+((K60-H60)/3)</f>
        <v>0.38973847386316973</v>
      </c>
      <c r="J60" s="47">
        <f t="shared" ref="J60:J65" si="15">H60+((K60-H60)/3*2)</f>
        <v>0.36986923693158485</v>
      </c>
      <c r="K60" s="47">
        <v>0.35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2"/>
        <v>6.1629340994289197E-2</v>
      </c>
      <c r="H61" s="55">
        <f t="shared" si="13"/>
        <v>6.1629340994289197E-2</v>
      </c>
      <c r="I61" s="47">
        <f t="shared" si="14"/>
        <v>6.1086227329526128E-2</v>
      </c>
      <c r="J61" s="47">
        <f t="shared" si="15"/>
        <v>6.0543113664763067E-2</v>
      </c>
      <c r="K61" s="47">
        <v>0.06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2"/>
        <v>1.720027863130175E-2</v>
      </c>
      <c r="H62" s="55">
        <f t="shared" si="13"/>
        <v>1.720027863130175E-2</v>
      </c>
      <c r="I62" s="47">
        <f t="shared" si="14"/>
        <v>1.8133519087534501E-2</v>
      </c>
      <c r="J62" s="47">
        <f t="shared" si="15"/>
        <v>1.9066759543767249E-2</v>
      </c>
      <c r="K62" s="47">
        <v>0.02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2"/>
        <v>1.3962097437388757E-2</v>
      </c>
      <c r="H63" s="55">
        <f t="shared" si="13"/>
        <v>1.3962097437388757E-2</v>
      </c>
      <c r="I63" s="47">
        <f t="shared" si="14"/>
        <v>1.2641398291592505E-2</v>
      </c>
      <c r="J63" s="47">
        <f t="shared" si="15"/>
        <v>1.1320699145796252E-2</v>
      </c>
      <c r="K63" s="47">
        <v>0.01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2"/>
        <v>0.23589207259794331</v>
      </c>
      <c r="H64" s="55">
        <f t="shared" si="13"/>
        <v>0.23589207259794331</v>
      </c>
      <c r="I64" s="47">
        <f t="shared" si="14"/>
        <v>0.27726138173196219</v>
      </c>
      <c r="J64" s="47">
        <f t="shared" si="15"/>
        <v>0.31863069086598111</v>
      </c>
      <c r="K64" s="47">
        <f>1-K59-K60-K61-K62-K63-K65</f>
        <v>0.36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2"/>
        <v>6.5752441468692954E-2</v>
      </c>
      <c r="H65" s="55">
        <f t="shared" si="13"/>
        <v>6.5752441468692954E-2</v>
      </c>
      <c r="I65" s="47">
        <f t="shared" si="14"/>
        <v>7.7168294312461971E-2</v>
      </c>
      <c r="J65" s="47">
        <f t="shared" si="15"/>
        <v>8.8584147156230988E-2</v>
      </c>
      <c r="K65" s="124">
        <v>0.1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16">SUM(G59:G65)</f>
        <v>1</v>
      </c>
      <c r="H66" s="159">
        <v>1</v>
      </c>
      <c r="I66" s="47">
        <f t="shared" ref="I66:J66" si="17">SUM(I59:I65)</f>
        <v>0.99999999999999989</v>
      </c>
      <c r="J66" s="47">
        <f t="shared" si="17"/>
        <v>1</v>
      </c>
      <c r="K66" s="47">
        <f>SUM(K59:K65)</f>
        <v>1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-3.3761720087528417E-2</v>
      </c>
      <c r="J69" s="152">
        <f t="shared" ref="J69:K69" si="18">(I$97*(J59-I59)+I$98*(J60-I60)+I$99*(J61-I61)+I$100*(J62-I62)+I$101*(J63-I63)+I$102*(J64-I64)+I$103*(J65-I65))/(I$97*I59+I$98*I60+I$99*I61+I$100*I62+I$101*I63+I$102*I64+I$103*I65)</f>
        <v>-3.4631562536943959E-2</v>
      </c>
      <c r="K69" s="152">
        <f t="shared" si="18"/>
        <v>-3.5552047720562627E-2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31" t="s">
        <v>92</v>
      </c>
      <c r="G72" s="130" t="s">
        <v>91</v>
      </c>
      <c r="H72" s="130" t="s">
        <v>35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bord'!L12</f>
        <v>0.78</v>
      </c>
      <c r="G73" s="92">
        <f>'Tableau de bord'!L24</f>
        <v>0.52500000000000002</v>
      </c>
      <c r="H73" s="92">
        <f>'Tableau de bord'!L27</f>
        <v>0.40950000000000003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4"/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54"/>
      <c r="G77" s="81">
        <f>H77/0.998^10</f>
        <v>147.49606862713017</v>
      </c>
      <c r="H77" s="54">
        <f>'Init. énergie'!D66</f>
        <v>144.57255544511395</v>
      </c>
      <c r="I77" s="81">
        <f>G77*60%/(1+I$55)</f>
        <v>91.589872825463729</v>
      </c>
      <c r="J77" s="81">
        <f>G77*50%/(1+I$55)/(1+J$55)</f>
        <v>79.088351912470642</v>
      </c>
      <c r="K77" s="81">
        <f>G77*40%/(1+I$55)/(1+J$55)/(1+K$55)</f>
        <v>65.647550081725754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54"/>
      <c r="G78" s="81">
        <f t="shared" ref="G78:G83" si="19">H78/0.998^10</f>
        <v>153.15410119902847</v>
      </c>
      <c r="H78" s="54">
        <f>'Init. énergie'!D67</f>
        <v>150.1184403986914</v>
      </c>
      <c r="I78" s="81">
        <f t="shared" ref="I78:I83" si="20">G78*60%/(1+I$55)</f>
        <v>95.103312122700558</v>
      </c>
      <c r="J78" s="81">
        <f t="shared" ref="J78:J83" si="21">G78*50%/(1+I$55)/(1+J$55)</f>
        <v>82.122225800389344</v>
      </c>
      <c r="K78" s="81">
        <f t="shared" ref="K78:K83" si="22">G78*40%/(1+I$55)/(1+J$55)/(1+K$55)</f>
        <v>68.16582721334693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54"/>
      <c r="G79" s="81">
        <f t="shared" si="19"/>
        <v>127.79069490556745</v>
      </c>
      <c r="H79" s="54">
        <f>'Init. énergie'!D68</f>
        <v>125.25776108181995</v>
      </c>
      <c r="I79" s="81">
        <f t="shared" si="20"/>
        <v>79.353528562629648</v>
      </c>
      <c r="J79" s="81">
        <f t="shared" si="21"/>
        <v>68.522202279035312</v>
      </c>
      <c r="K79" s="81">
        <f t="shared" si="22"/>
        <v>56.877082364815593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54"/>
      <c r="G80" s="81">
        <f t="shared" si="19"/>
        <v>125.93125708529116</v>
      </c>
      <c r="H80" s="54">
        <f>'Init. énergie'!D69</f>
        <v>123.43517909796911</v>
      </c>
      <c r="I80" s="81">
        <f t="shared" si="20"/>
        <v>78.198883051931361</v>
      </c>
      <c r="J80" s="81">
        <f t="shared" si="21"/>
        <v>67.525159618453372</v>
      </c>
      <c r="K80" s="81">
        <f t="shared" si="22"/>
        <v>56.04948378156773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54"/>
      <c r="G81" s="81">
        <f t="shared" si="19"/>
        <v>130.1313410964313</v>
      </c>
      <c r="H81" s="54">
        <f>'Init. énergie'!D70</f>
        <v>127.55201342600625</v>
      </c>
      <c r="I81" s="81">
        <f t="shared" si="20"/>
        <v>80.806987552730462</v>
      </c>
      <c r="J81" s="81">
        <f t="shared" si="21"/>
        <v>69.777271999663611</v>
      </c>
      <c r="K81" s="81">
        <f t="shared" si="22"/>
        <v>57.918857169178565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54"/>
      <c r="G82" s="81">
        <f t="shared" si="19"/>
        <v>75.561477263694869</v>
      </c>
      <c r="H82" s="54">
        <f>'Init. énergie'!D71</f>
        <v>74.063776498588524</v>
      </c>
      <c r="I82" s="81">
        <f t="shared" si="20"/>
        <v>46.92102072619587</v>
      </c>
      <c r="J82" s="81">
        <f t="shared" si="21"/>
        <v>40.516555868106899</v>
      </c>
      <c r="K82" s="81">
        <f t="shared" si="22"/>
        <v>33.630902227350475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54"/>
      <c r="G83" s="81">
        <f t="shared" si="19"/>
        <v>48.596887025627844</v>
      </c>
      <c r="H83" s="54">
        <f>'Init. énergie'!D72</f>
        <v>47.633650234662667</v>
      </c>
      <c r="I83" s="81">
        <f t="shared" si="20"/>
        <v>30.176958232308955</v>
      </c>
      <c r="J83" s="81">
        <f t="shared" si="21"/>
        <v>26.057967095039416</v>
      </c>
      <c r="K83" s="81">
        <f t="shared" si="22"/>
        <v>21.629502430304509</v>
      </c>
      <c r="M83" s="339"/>
      <c r="N83" s="33"/>
      <c r="O83" s="42"/>
      <c r="Q83" s="52"/>
      <c r="R83" s="52"/>
      <c r="V83" s="101"/>
    </row>
    <row r="84" spans="1:184" s="17" customFormat="1" ht="28.5" customHeight="1">
      <c r="A84" s="56"/>
      <c r="C84" s="40"/>
      <c r="D84" s="32"/>
      <c r="E84" s="91"/>
      <c r="F84" s="89"/>
      <c r="G84" s="123" t="s">
        <v>74</v>
      </c>
      <c r="H84" s="89"/>
      <c r="M84" s="97"/>
      <c r="N84" s="33"/>
      <c r="O84" s="42"/>
    </row>
    <row r="85" spans="1:184" s="17" customFormat="1" ht="69" customHeight="1">
      <c r="A85" s="56"/>
      <c r="C85" s="40"/>
      <c r="D85" s="32"/>
      <c r="F85" s="333" t="s">
        <v>70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23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23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23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23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23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23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71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>G77</f>
        <v>147.49606862713017</v>
      </c>
      <c r="H97" s="54">
        <f>H77</f>
        <v>144.57255544511395</v>
      </c>
      <c r="I97" s="81">
        <f>$H97*(1+$G87)^(I$96-$H$96)</f>
        <v>133.79055075859421</v>
      </c>
      <c r="J97" s="81">
        <f>$H97*(1+$G87)^(J$96-$H$96)</f>
        <v>123.81265183545543</v>
      </c>
      <c r="K97" s="81">
        <f>$H97*(1+$G87)^(K$96-$H$96)</f>
        <v>114.57888967201961</v>
      </c>
      <c r="L97" s="67"/>
      <c r="M97" s="79">
        <f>(K97-G97)/H97</f>
        <v>-0.22768622200641225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ref="G98:H103" si="24">G78</f>
        <v>153.15410119902847</v>
      </c>
      <c r="H98" s="54">
        <f t="shared" si="24"/>
        <v>150.1184403986914</v>
      </c>
      <c r="I98" s="81">
        <f t="shared" ref="I98:K103" si="25">$H98*(1+$G88)^(I$96-$H$96)</f>
        <v>142.80106288908786</v>
      </c>
      <c r="J98" s="81">
        <f t="shared" si="25"/>
        <v>135.84036383601401</v>
      </c>
      <c r="K98" s="81">
        <f t="shared" si="25"/>
        <v>129.21895729468494</v>
      </c>
      <c r="L98" s="67"/>
      <c r="M98" s="79">
        <f t="shared" ref="M98:M103" si="26">(K98-G98)/H98</f>
        <v>-0.15944173041483437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24"/>
        <v>127.79069490556745</v>
      </c>
      <c r="H99" s="54">
        <f t="shared" si="24"/>
        <v>125.25776108181995</v>
      </c>
      <c r="I99" s="81">
        <f t="shared" si="25"/>
        <v>120.36023361574563</v>
      </c>
      <c r="J99" s="81">
        <f t="shared" si="25"/>
        <v>115.65419747981959</v>
      </c>
      <c r="K99" s="81">
        <f t="shared" si="25"/>
        <v>111.13216544098883</v>
      </c>
      <c r="L99" s="67"/>
      <c r="M99" s="79">
        <f t="shared" si="26"/>
        <v>-0.13299399031806947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24"/>
        <v>125.93125708529116</v>
      </c>
      <c r="H100" s="54">
        <f t="shared" si="24"/>
        <v>123.43517909796911</v>
      </c>
      <c r="I100" s="81">
        <f t="shared" si="25"/>
        <v>118.60891384549329</v>
      </c>
      <c r="J100" s="81">
        <f t="shared" si="25"/>
        <v>113.97135359962476</v>
      </c>
      <c r="K100" s="81">
        <f t="shared" si="25"/>
        <v>109.51512007142669</v>
      </c>
      <c r="L100" s="67"/>
      <c r="M100" s="79">
        <f t="shared" si="26"/>
        <v>-0.13299399031806944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24"/>
        <v>130.1313410964313</v>
      </c>
      <c r="H101" s="54">
        <f t="shared" si="24"/>
        <v>127.55201342600625</v>
      </c>
      <c r="I101" s="81">
        <f t="shared" si="25"/>
        <v>122.56478162726054</v>
      </c>
      <c r="J101" s="81">
        <f>$H101*(1+$G91)^(J$96-$H$96)</f>
        <v>117.77254856155206</v>
      </c>
      <c r="K101" s="81">
        <f>$H101*(1+$G91)^(K$96-$H$96)</f>
        <v>113.16768985780274</v>
      </c>
      <c r="L101" s="67"/>
      <c r="M101" s="79">
        <f t="shared" si="26"/>
        <v>-0.13299399031806958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24"/>
        <v>75.561477263694869</v>
      </c>
      <c r="H102" s="54">
        <f t="shared" si="24"/>
        <v>74.063776498588524</v>
      </c>
      <c r="I102" s="81">
        <f t="shared" si="25"/>
        <v>69.351371703810599</v>
      </c>
      <c r="J102" s="81">
        <f t="shared" si="25"/>
        <v>64.938799836810375</v>
      </c>
      <c r="K102" s="81">
        <f t="shared" si="25"/>
        <v>60.80698363481126</v>
      </c>
      <c r="L102" s="67"/>
      <c r="M102" s="79">
        <f t="shared" si="26"/>
        <v>-0.19921335808692922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24"/>
        <v>48.596887025627844</v>
      </c>
      <c r="H103" s="54">
        <f t="shared" si="24"/>
        <v>47.633650234662667</v>
      </c>
      <c r="I103" s="81">
        <f t="shared" si="25"/>
        <v>44.602896843862013</v>
      </c>
      <c r="J103" s="81">
        <f t="shared" si="25"/>
        <v>41.764979107490483</v>
      </c>
      <c r="K103" s="81">
        <f t="shared" si="25"/>
        <v>39.107627604442449</v>
      </c>
      <c r="L103" s="67"/>
      <c r="M103" s="79">
        <f t="shared" si="26"/>
        <v>-0.19921335808692922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93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>G$36*G45*$H$73*G77/1000</f>
        <v>494.90408179335816</v>
      </c>
      <c r="H107" s="54">
        <f>H$36*H45*$H$73*H77/1000</f>
        <v>485.09460944318874</v>
      </c>
      <c r="I107" s="126">
        <f>I$36*I45*$H$73*I77/1000</f>
        <v>250.46934172176242</v>
      </c>
      <c r="J107" s="126">
        <f>J$36*J45*$H$73*J77/1000</f>
        <v>175.65015817447696</v>
      </c>
      <c r="K107" s="126">
        <f>K$36*K45*$H$73*K77/1000</f>
        <v>109.66483137688593</v>
      </c>
      <c r="L107" s="46"/>
      <c r="M107" s="79">
        <f>(K107-G107)/H107</f>
        <v>-0.79415281661996917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ref="G108:K113" si="27">G$36*G46*$H$73*G78/1000</f>
        <v>1074.183930230249</v>
      </c>
      <c r="H108" s="54">
        <f t="shared" si="27"/>
        <v>1052.8925771171228</v>
      </c>
      <c r="I108" s="126">
        <f t="shared" si="27"/>
        <v>618.17263476272046</v>
      </c>
      <c r="J108" s="126">
        <f t="shared" si="27"/>
        <v>511.11568119064094</v>
      </c>
      <c r="K108" s="126">
        <f t="shared" si="27"/>
        <v>398.55072705668147</v>
      </c>
      <c r="L108" s="46"/>
      <c r="M108" s="79">
        <f t="shared" ref="M108:M114" si="28">(K108-G108)/H108</f>
        <v>-0.64169243649099328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27"/>
        <v>134.85549644367731</v>
      </c>
      <c r="H109" s="54">
        <f t="shared" si="27"/>
        <v>132.18253149491585</v>
      </c>
      <c r="I109" s="126">
        <f t="shared" si="27"/>
        <v>80.844485309041872</v>
      </c>
      <c r="J109" s="126">
        <f t="shared" si="27"/>
        <v>69.80818513758706</v>
      </c>
      <c r="K109" s="126">
        <f t="shared" si="27"/>
        <v>57.008211020655196</v>
      </c>
      <c r="L109" s="46"/>
      <c r="M109" s="79">
        <f t="shared" si="28"/>
        <v>-0.58893777069185849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27"/>
        <v>37.089494765179232</v>
      </c>
      <c r="H110" s="54">
        <f t="shared" si="27"/>
        <v>36.354345497340518</v>
      </c>
      <c r="I110" s="126">
        <f t="shared" si="27"/>
        <v>23.649583524133757</v>
      </c>
      <c r="J110" s="126">
        <f t="shared" si="27"/>
        <v>21.664705580484807</v>
      </c>
      <c r="K110" s="126">
        <f t="shared" si="27"/>
        <v>18.726234810027332</v>
      </c>
      <c r="L110" s="46"/>
      <c r="M110" s="79">
        <f t="shared" si="28"/>
        <v>-0.50511870600160447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27"/>
        <v>31.111035510798942</v>
      </c>
      <c r="H111" s="54">
        <f t="shared" si="27"/>
        <v>30.494385024663437</v>
      </c>
      <c r="I111" s="126">
        <f t="shared" si="27"/>
        <v>17.036676818284324</v>
      </c>
      <c r="J111" s="126">
        <f t="shared" si="27"/>
        <v>13.292219906334486</v>
      </c>
      <c r="K111" s="126">
        <f t="shared" si="27"/>
        <v>9.675397935022124</v>
      </c>
      <c r="L111" s="46"/>
      <c r="M111" s="79">
        <f t="shared" si="28"/>
        <v>-0.7029371983871775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27"/>
        <v>305.20783818859582</v>
      </c>
      <c r="H112" s="54">
        <f t="shared" si="27"/>
        <v>299.15832685921453</v>
      </c>
      <c r="I112" s="126">
        <f t="shared" si="27"/>
        <v>216.96900026701218</v>
      </c>
      <c r="J112" s="126">
        <f t="shared" si="27"/>
        <v>217.23530518603224</v>
      </c>
      <c r="K112" s="126">
        <f t="shared" si="27"/>
        <v>202.25062446358857</v>
      </c>
      <c r="L112" s="46"/>
      <c r="M112" s="79">
        <f t="shared" si="28"/>
        <v>-0.34415626937725002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27"/>
        <v>54.714474244468335</v>
      </c>
      <c r="H113" s="54">
        <f t="shared" si="27"/>
        <v>53.629981022447858</v>
      </c>
      <c r="I113" s="126">
        <f t="shared" si="27"/>
        <v>38.837853224490317</v>
      </c>
      <c r="J113" s="126">
        <f t="shared" si="27"/>
        <v>38.842468487013633</v>
      </c>
      <c r="K113" s="126">
        <f t="shared" si="27"/>
        <v>36.132281156453672</v>
      </c>
      <c r="L113" s="46"/>
      <c r="M113" s="79">
        <f t="shared" si="28"/>
        <v>-0.34648889918936815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2132.0663511763269</v>
      </c>
      <c r="H114" s="156">
        <f>SUM(H107:H113)</f>
        <v>2089.8067564588937</v>
      </c>
      <c r="I114" s="154">
        <f t="shared" ref="I114:J114" si="29">SUM(I107:I113)</f>
        <v>1245.9795756274455</v>
      </c>
      <c r="J114" s="154">
        <f t="shared" si="29"/>
        <v>1047.6087236625701</v>
      </c>
      <c r="K114" s="154">
        <f>SUM(K107:K113)</f>
        <v>832.00830781931427</v>
      </c>
      <c r="L114" s="21"/>
      <c r="M114" s="79">
        <f t="shared" si="28"/>
        <v>-0.62209486084728549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94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>G$36*G45*(1-$H$73)*G97/1000</f>
        <v>713.65289450299872</v>
      </c>
      <c r="H118" s="157">
        <f>H$36*H45*(1-$H$73)*H97/1000</f>
        <v>699.507611419299</v>
      </c>
      <c r="I118" s="153">
        <f t="shared" ref="I118:K118" si="30">I$36*I45*(1-$H$73)*I97/1000</f>
        <v>527.59243024622219</v>
      </c>
      <c r="J118" s="153">
        <f t="shared" si="30"/>
        <v>396.52177443330021</v>
      </c>
      <c r="K118" s="153">
        <f t="shared" si="30"/>
        <v>276.00659365109914</v>
      </c>
      <c r="L118" s="46"/>
      <c r="M118" s="79">
        <f>(K118-G118)/H118</f>
        <v>-0.62564909045652339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ref="G119:K124" si="31">G$36*G46*(1-$H$73)*G98/1000</f>
        <v>1548.9758505517993</v>
      </c>
      <c r="H119" s="157">
        <f t="shared" si="31"/>
        <v>1518.2736673691352</v>
      </c>
      <c r="I119" s="153">
        <f t="shared" si="31"/>
        <v>1338.4790237995537</v>
      </c>
      <c r="J119" s="153">
        <f t="shared" si="31"/>
        <v>1219.1392840379751</v>
      </c>
      <c r="K119" s="153">
        <f t="shared" si="31"/>
        <v>1089.4545687299351</v>
      </c>
      <c r="L119" s="46"/>
      <c r="M119" s="79">
        <f t="shared" ref="M119:M125" si="32">(K119-G119)/H119</f>
        <v>-0.30266037783433525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31"/>
        <v>194.46195518923432</v>
      </c>
      <c r="H120" s="157">
        <f t="shared" si="31"/>
        <v>190.60753320573335</v>
      </c>
      <c r="I120" s="153">
        <f t="shared" si="31"/>
        <v>176.82072842196749</v>
      </c>
      <c r="J120" s="153">
        <f t="shared" si="31"/>
        <v>169.9035409612697</v>
      </c>
      <c r="K120" s="153">
        <f t="shared" si="31"/>
        <v>160.62231279901209</v>
      </c>
      <c r="L120" s="46"/>
      <c r="M120" s="79">
        <f t="shared" si="32"/>
        <v>-0.17753570292364684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31"/>
        <v>53.483142024025234</v>
      </c>
      <c r="H121" s="157">
        <f t="shared" si="31"/>
        <v>52.423054984565503</v>
      </c>
      <c r="I121" s="153">
        <f t="shared" si="31"/>
        <v>51.725687529929694</v>
      </c>
      <c r="J121" s="153">
        <f t="shared" si="31"/>
        <v>52.728919749925204</v>
      </c>
      <c r="K121" s="153">
        <f t="shared" si="31"/>
        <v>52.761717853488797</v>
      </c>
      <c r="L121" s="46"/>
      <c r="M121" s="79">
        <f t="shared" si="32"/>
        <v>-1.3761582012891854E-2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31"/>
        <v>44.862189179796765</v>
      </c>
      <c r="H122" s="157">
        <f t="shared" si="31"/>
        <v>43.972977672927364</v>
      </c>
      <c r="I122" s="153">
        <f t="shared" si="31"/>
        <v>37.262128559333675</v>
      </c>
      <c r="J122" s="153">
        <f t="shared" si="31"/>
        <v>32.351438801495355</v>
      </c>
      <c r="K122" s="153">
        <f t="shared" si="31"/>
        <v>27.260718513179857</v>
      </c>
      <c r="L122" s="46"/>
      <c r="M122" s="79">
        <f t="shared" si="32"/>
        <v>-0.40027925326179409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31"/>
        <v>440.11044798624135</v>
      </c>
      <c r="H123" s="157">
        <f t="shared" si="31"/>
        <v>431.38703787635205</v>
      </c>
      <c r="I123" s="153">
        <f t="shared" si="31"/>
        <v>462.4356294096217</v>
      </c>
      <c r="J123" s="153">
        <f t="shared" si="31"/>
        <v>502.07447338166975</v>
      </c>
      <c r="K123" s="153">
        <f t="shared" si="31"/>
        <v>527.31583013783643</v>
      </c>
      <c r="L123" s="46"/>
      <c r="M123" s="79">
        <f t="shared" si="32"/>
        <v>0.20215114153844985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31"/>
        <v>78.898405473403059</v>
      </c>
      <c r="H124" s="157">
        <f t="shared" si="31"/>
        <v>77.334563598914443</v>
      </c>
      <c r="I124" s="153">
        <f t="shared" si="31"/>
        <v>82.776834841305742</v>
      </c>
      <c r="J124" s="153">
        <f t="shared" si="31"/>
        <v>89.77275537123603</v>
      </c>
      <c r="K124" s="153">
        <f t="shared" si="31"/>
        <v>94.205513003096954</v>
      </c>
      <c r="L124" s="46"/>
      <c r="M124" s="79">
        <f t="shared" si="32"/>
        <v>0.19793358645019576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3074.4448849074988</v>
      </c>
      <c r="H125" s="158">
        <f>SUM(H118:H124)</f>
        <v>3013.5064461269271</v>
      </c>
      <c r="I125" s="155">
        <f t="shared" ref="I125:K125" si="33">SUM(I118:I124)</f>
        <v>2677.0924628079338</v>
      </c>
      <c r="J125" s="155">
        <f t="shared" si="33"/>
        <v>2462.4921867368712</v>
      </c>
      <c r="K125" s="155">
        <f t="shared" si="33"/>
        <v>2227.6272546876485</v>
      </c>
      <c r="L125" s="21"/>
      <c r="M125" s="79">
        <f t="shared" si="32"/>
        <v>-0.28100740627524207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72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1184.6022208624877</v>
      </c>
      <c r="I129" s="153">
        <f t="shared" ref="I129:K129" si="34">I107+I118</f>
        <v>778.06177196798467</v>
      </c>
      <c r="J129" s="153">
        <f t="shared" si="34"/>
        <v>572.17193260777719</v>
      </c>
      <c r="K129" s="153">
        <f t="shared" si="34"/>
        <v>385.67142502798504</v>
      </c>
      <c r="L129" s="46"/>
      <c r="M129" s="79">
        <f>(K129-G129)/H129</f>
        <v>0.32557040518393132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5" si="35">H108+H119</f>
        <v>2571.1662444862577</v>
      </c>
      <c r="I130" s="153">
        <f t="shared" si="35"/>
        <v>1956.6516585622742</v>
      </c>
      <c r="J130" s="153">
        <f t="shared" si="35"/>
        <v>1730.2549652286161</v>
      </c>
      <c r="K130" s="153">
        <f t="shared" si="35"/>
        <v>1488.0052957866164</v>
      </c>
      <c r="L130" s="46"/>
      <c r="M130" s="79">
        <f t="shared" ref="M130:M136" si="36">(K130-G130)/H130</f>
        <v>0.57872776565014894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si="35"/>
        <v>322.79006470064917</v>
      </c>
      <c r="I131" s="153">
        <f t="shared" si="35"/>
        <v>257.66521373100937</v>
      </c>
      <c r="J131" s="153">
        <f t="shared" si="35"/>
        <v>239.71172609885676</v>
      </c>
      <c r="K131" s="153">
        <f t="shared" si="35"/>
        <v>217.6305238196673</v>
      </c>
      <c r="L131" s="46"/>
      <c r="M131" s="79">
        <f t="shared" si="36"/>
        <v>0.67421692182965642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si="35"/>
        <v>88.777400481906028</v>
      </c>
      <c r="I132" s="153">
        <f t="shared" si="35"/>
        <v>75.375271054063447</v>
      </c>
      <c r="J132" s="153">
        <f t="shared" si="35"/>
        <v>74.393625330410003</v>
      </c>
      <c r="K132" s="153">
        <f t="shared" si="35"/>
        <v>71.487952663516126</v>
      </c>
      <c r="L132" s="46"/>
      <c r="M132" s="79">
        <f t="shared" si="36"/>
        <v>0.80524944721811587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si="35"/>
        <v>74.467362697590801</v>
      </c>
      <c r="I133" s="153">
        <f t="shared" si="35"/>
        <v>54.298805377617995</v>
      </c>
      <c r="J133" s="153">
        <f t="shared" si="35"/>
        <v>45.643658707829843</v>
      </c>
      <c r="K133" s="153">
        <f t="shared" si="35"/>
        <v>36.936116448201979</v>
      </c>
      <c r="L133" s="46"/>
      <c r="M133" s="79">
        <f t="shared" si="36"/>
        <v>0.49600408971374721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si="35"/>
        <v>730.54536473556664</v>
      </c>
      <c r="I134" s="153">
        <f t="shared" si="35"/>
        <v>679.40462967663393</v>
      </c>
      <c r="J134" s="153">
        <f t="shared" si="35"/>
        <v>719.30977856770198</v>
      </c>
      <c r="K134" s="153">
        <f t="shared" si="35"/>
        <v>729.56645460142499</v>
      </c>
      <c r="L134" s="46"/>
      <c r="M134" s="79">
        <f t="shared" si="36"/>
        <v>0.99866002827285616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si="35"/>
        <v>130.96454462136231</v>
      </c>
      <c r="I135" s="153">
        <f t="shared" si="35"/>
        <v>121.61468806579606</v>
      </c>
      <c r="J135" s="153">
        <f t="shared" si="35"/>
        <v>128.61522385824966</v>
      </c>
      <c r="K135" s="153">
        <f t="shared" si="35"/>
        <v>130.33779415955064</v>
      </c>
      <c r="L135" s="46"/>
      <c r="M135" s="79">
        <f t="shared" si="36"/>
        <v>0.99521435008518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5103.3132025858204</v>
      </c>
      <c r="I136" s="155">
        <f t="shared" ref="I136:K136" si="37">SUM(I129:I135)</f>
        <v>3923.0720384353799</v>
      </c>
      <c r="J136" s="155">
        <f t="shared" si="37"/>
        <v>3510.1009103994411</v>
      </c>
      <c r="K136" s="155">
        <f t="shared" si="37"/>
        <v>3059.6355625069627</v>
      </c>
      <c r="L136" s="21"/>
      <c r="M136" s="79">
        <f t="shared" si="36"/>
        <v>0.59953905258189177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76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énergie'!C66</f>
        <v>8.566654622007622E-4</v>
      </c>
      <c r="I142" s="47">
        <f>H142</f>
        <v>8.566654622007622E-4</v>
      </c>
      <c r="J142" s="47">
        <f>I142</f>
        <v>8.566654622007622E-4</v>
      </c>
      <c r="K142" s="47">
        <f>J142</f>
        <v>8.566654622007622E-4</v>
      </c>
      <c r="M142" s="334" t="s">
        <v>41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énergie'!C67</f>
        <v>0.12133733261175747</v>
      </c>
      <c r="I143" s="47">
        <f t="shared" ref="I143:K143" si="38">H143</f>
        <v>0.12133733261175747</v>
      </c>
      <c r="J143" s="47">
        <f t="shared" si="38"/>
        <v>0.12133733261175747</v>
      </c>
      <c r="K143" s="47">
        <f t="shared" si="38"/>
        <v>0.12133733261175747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énergie'!C68</f>
        <v>0.13508370055286556</v>
      </c>
      <c r="I144" s="47">
        <f t="shared" ref="I144:K144" si="39">H144</f>
        <v>0.13508370055286556</v>
      </c>
      <c r="J144" s="47">
        <f t="shared" si="39"/>
        <v>0.13508370055286556</v>
      </c>
      <c r="K144" s="47">
        <f t="shared" si="39"/>
        <v>0.13508370055286556</v>
      </c>
      <c r="M144" s="335"/>
      <c r="N144" s="33"/>
      <c r="O144" s="42"/>
    </row>
    <row r="145" spans="1:15" s="17" customFormat="1">
      <c r="A145" s="56"/>
      <c r="C145" s="40"/>
      <c r="D145" s="32"/>
      <c r="E145" s="6" t="s">
        <v>22</v>
      </c>
      <c r="F145" s="55"/>
      <c r="G145" s="55"/>
      <c r="H145" s="55">
        <f>'Init. énergie'!C69</f>
        <v>2.0851083900283521E-2</v>
      </c>
      <c r="I145" s="47">
        <f t="shared" ref="I145:K145" si="40">H145</f>
        <v>2.0851083900283521E-2</v>
      </c>
      <c r="J145" s="47">
        <f t="shared" si="40"/>
        <v>2.0851083900283521E-2</v>
      </c>
      <c r="K145" s="47">
        <f t="shared" si="40"/>
        <v>2.0851083900283521E-2</v>
      </c>
      <c r="M145" s="335"/>
      <c r="N145" s="33"/>
      <c r="O145" s="42"/>
    </row>
    <row r="146" spans="1:15" s="17" customFormat="1">
      <c r="A146" s="56"/>
      <c r="C146" s="40"/>
      <c r="D146" s="32"/>
      <c r="E146" s="6" t="s">
        <v>42</v>
      </c>
      <c r="F146" s="55"/>
      <c r="G146" s="55"/>
      <c r="H146" s="55">
        <f>'Init. énergie'!C70</f>
        <v>2.1412462228474215E-2</v>
      </c>
      <c r="I146" s="47">
        <f t="shared" ref="I146:K146" si="41">H146</f>
        <v>2.1412462228474215E-2</v>
      </c>
      <c r="J146" s="47">
        <f t="shared" si="41"/>
        <v>2.1412462228474215E-2</v>
      </c>
      <c r="K146" s="47">
        <f t="shared" si="41"/>
        <v>2.1412462228474215E-2</v>
      </c>
      <c r="M146" s="335"/>
      <c r="N146" s="33"/>
      <c r="O146" s="42"/>
    </row>
    <row r="147" spans="1:15" s="17" customFormat="1">
      <c r="A147" s="56"/>
      <c r="C147" s="40"/>
      <c r="D147" s="32"/>
      <c r="E147" s="6" t="s">
        <v>25</v>
      </c>
      <c r="F147" s="55"/>
      <c r="G147" s="85"/>
      <c r="H147" s="55">
        <f>'Init. énergie'!C71</f>
        <v>0.23233774569965782</v>
      </c>
      <c r="I147" s="47">
        <f t="shared" ref="I147:K147" si="42">H147</f>
        <v>0.23233774569965782</v>
      </c>
      <c r="J147" s="47">
        <f t="shared" si="42"/>
        <v>0.23233774569965782</v>
      </c>
      <c r="K147" s="47">
        <f t="shared" si="42"/>
        <v>0.23233774569965782</v>
      </c>
      <c r="M147" s="335"/>
      <c r="N147" s="33"/>
      <c r="O147" s="42"/>
    </row>
    <row r="148" spans="1:15" s="17" customFormat="1">
      <c r="A148" s="56"/>
      <c r="C148" s="40"/>
      <c r="D148" s="32"/>
      <c r="E148" s="6" t="s">
        <v>26</v>
      </c>
      <c r="F148" s="55"/>
      <c r="G148" s="85"/>
      <c r="H148" s="55">
        <f>'Init. énergie'!C72</f>
        <v>0.46812100954476071</v>
      </c>
      <c r="I148" s="47">
        <f t="shared" ref="I148:K148" si="43">H148</f>
        <v>0.46812100954476071</v>
      </c>
      <c r="J148" s="47">
        <f t="shared" si="43"/>
        <v>0.46812100954476071</v>
      </c>
      <c r="K148" s="47">
        <f t="shared" si="43"/>
        <v>0.46812100954476071</v>
      </c>
      <c r="M148" s="335"/>
      <c r="N148" s="33"/>
      <c r="O148" s="42"/>
    </row>
    <row r="149" spans="1:15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1</v>
      </c>
      <c r="I149" s="15">
        <f t="shared" ref="I149:K149" si="44">SUM(I142:I148)</f>
        <v>1</v>
      </c>
      <c r="J149" s="15">
        <f t="shared" si="44"/>
        <v>1</v>
      </c>
      <c r="K149" s="15">
        <f t="shared" si="44"/>
        <v>1</v>
      </c>
      <c r="M149" s="336"/>
      <c r="N149" s="33"/>
      <c r="O149" s="42"/>
    </row>
    <row r="150" spans="1:15" s="17" customFormat="1">
      <c r="A150" s="56"/>
      <c r="C150" s="40"/>
      <c r="D150" s="32"/>
      <c r="M150" s="65"/>
      <c r="N150" s="33"/>
      <c r="O150" s="42"/>
    </row>
    <row r="151" spans="1:15" s="17" customFormat="1" ht="30.75" customHeight="1">
      <c r="A151" s="56"/>
      <c r="C151" s="40"/>
      <c r="D151" s="32"/>
      <c r="F151" s="333" t="s">
        <v>77</v>
      </c>
      <c r="G151" s="333"/>
      <c r="H151" s="333"/>
      <c r="I151" s="333"/>
      <c r="J151" s="333"/>
      <c r="K151" s="333"/>
      <c r="M151" s="65"/>
      <c r="N151" s="33"/>
      <c r="O151" s="42"/>
    </row>
    <row r="152" spans="1:15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5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65.647550081725754</v>
      </c>
      <c r="J153" s="45">
        <f>K153</f>
        <v>65.647550081725754</v>
      </c>
      <c r="K153" s="45">
        <f t="shared" ref="K153:K159" si="45">K77</f>
        <v>65.647550081725754</v>
      </c>
      <c r="M153" s="334" t="s">
        <v>38</v>
      </c>
      <c r="N153" s="33"/>
      <c r="O153" s="42"/>
    </row>
    <row r="154" spans="1:15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J159" si="46">J154</f>
        <v>68.16582721334693</v>
      </c>
      <c r="J154" s="45">
        <f t="shared" si="46"/>
        <v>68.16582721334693</v>
      </c>
      <c r="K154" s="45">
        <f t="shared" si="45"/>
        <v>68.16582721334693</v>
      </c>
      <c r="M154" s="335"/>
      <c r="N154" s="33"/>
      <c r="O154" s="42"/>
    </row>
    <row r="155" spans="1:15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46"/>
        <v>56.877082364815593</v>
      </c>
      <c r="J155" s="45">
        <f t="shared" si="46"/>
        <v>56.877082364815593</v>
      </c>
      <c r="K155" s="45">
        <f t="shared" si="45"/>
        <v>56.877082364815593</v>
      </c>
      <c r="M155" s="335"/>
      <c r="N155" s="33"/>
      <c r="O155" s="42"/>
    </row>
    <row r="156" spans="1:15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46"/>
        <v>56.04948378156773</v>
      </c>
      <c r="J156" s="45">
        <f t="shared" si="46"/>
        <v>56.04948378156773</v>
      </c>
      <c r="K156" s="45">
        <f t="shared" si="45"/>
        <v>56.04948378156773</v>
      </c>
      <c r="M156" s="335"/>
      <c r="N156" s="33"/>
      <c r="O156" s="42"/>
    </row>
    <row r="157" spans="1:15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46"/>
        <v>57.918857169178565</v>
      </c>
      <c r="J157" s="45">
        <f t="shared" si="46"/>
        <v>57.918857169178565</v>
      </c>
      <c r="K157" s="45">
        <f t="shared" si="45"/>
        <v>57.918857169178565</v>
      </c>
      <c r="M157" s="335"/>
      <c r="N157" s="33"/>
      <c r="O157" s="42"/>
    </row>
    <row r="158" spans="1:15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46"/>
        <v>33.630902227350475</v>
      </c>
      <c r="J158" s="45">
        <f t="shared" si="46"/>
        <v>33.630902227350475</v>
      </c>
      <c r="K158" s="45">
        <f t="shared" si="45"/>
        <v>33.630902227350475</v>
      </c>
      <c r="M158" s="335"/>
      <c r="N158" s="33"/>
      <c r="O158" s="42"/>
    </row>
    <row r="159" spans="1:15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46"/>
        <v>21.629502430304509</v>
      </c>
      <c r="J159" s="45">
        <f t="shared" si="46"/>
        <v>21.629502430304509</v>
      </c>
      <c r="K159" s="45">
        <f t="shared" si="45"/>
        <v>21.629502430304509</v>
      </c>
      <c r="M159" s="336"/>
      <c r="N159" s="33"/>
      <c r="O159" s="42"/>
    </row>
    <row r="160" spans="1:15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73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47">I$35*I142*I153/1000</f>
        <v>8.2186166599532609E-2</v>
      </c>
      <c r="J163" s="10">
        <f t="shared" si="47"/>
        <v>7.9224382512804767E-2</v>
      </c>
      <c r="K163" s="10">
        <f t="shared" si="47"/>
        <v>6.2143926358367907E-2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9" si="48">H$35*H143*H154/1000</f>
        <v>0</v>
      </c>
      <c r="I164" s="10">
        <f t="shared" si="48"/>
        <v>12.087322118020817</v>
      </c>
      <c r="J164" s="10">
        <f t="shared" si="48"/>
        <v>11.651725231323935</v>
      </c>
      <c r="K164" s="10">
        <f t="shared" si="48"/>
        <v>9.1396604398437642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si="48"/>
        <v>0</v>
      </c>
      <c r="I165" s="10">
        <f t="shared" si="48"/>
        <v>11.228175769724364</v>
      </c>
      <c r="J165" s="10">
        <f t="shared" si="48"/>
        <v>10.82354037068214</v>
      </c>
      <c r="K165" s="10">
        <f t="shared" si="48"/>
        <v>8.4900288825069747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si="48"/>
        <v>0</v>
      </c>
      <c r="I166" s="10">
        <f t="shared" si="48"/>
        <v>1.7079265739952469</v>
      </c>
      <c r="J166" s="10">
        <f t="shared" si="48"/>
        <v>1.6463771678426613</v>
      </c>
      <c r="K166" s="10">
        <f t="shared" si="48"/>
        <v>1.2914249153027637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si="48"/>
        <v>0</v>
      </c>
      <c r="I167" s="10">
        <f t="shared" si="48"/>
        <v>1.8124061902231099</v>
      </c>
      <c r="J167" s="10">
        <f t="shared" si="48"/>
        <v>1.7470915997635474</v>
      </c>
      <c r="K167" s="10">
        <f t="shared" si="48"/>
        <v>1.370425723412626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si="48"/>
        <v>0</v>
      </c>
      <c r="I168" s="10">
        <f t="shared" si="48"/>
        <v>11.418977905583496</v>
      </c>
      <c r="J168" s="10">
        <f t="shared" si="48"/>
        <v>11.007466474319758</v>
      </c>
      <c r="K168" s="10">
        <f t="shared" si="48"/>
        <v>8.6343012627680658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si="48"/>
        <v>0</v>
      </c>
      <c r="I169" s="10">
        <f t="shared" si="48"/>
        <v>14.796997652315371</v>
      </c>
      <c r="J169" s="10">
        <f t="shared" si="48"/>
        <v>14.263750829993983</v>
      </c>
      <c r="K169" s="10">
        <f t="shared" si="48"/>
        <v>11.188543893415495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49">SUM(I163:I169)</f>
        <v>53.13399237646194</v>
      </c>
      <c r="J170" s="11">
        <f t="shared" si="49"/>
        <v>51.219176056438826</v>
      </c>
      <c r="K170" s="11">
        <f t="shared" si="49"/>
        <v>40.176529043608056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M174" s="65"/>
    </row>
    <row r="175" spans="1:15" s="17" customFormat="1">
      <c r="A175" s="56"/>
      <c r="M175" s="65"/>
    </row>
    <row r="176" spans="1:15" s="17" customFormat="1">
      <c r="A176" s="56"/>
      <c r="M176" s="65"/>
    </row>
    <row r="177" spans="1:13" s="17" customFormat="1">
      <c r="A177" s="56"/>
      <c r="M177" s="65"/>
    </row>
    <row r="178" spans="1:13" s="17" customFormat="1">
      <c r="A178" s="56"/>
      <c r="M178" s="65"/>
    </row>
    <row r="179" spans="1:13" s="17" customFormat="1">
      <c r="A179" s="56"/>
      <c r="M179" s="65"/>
    </row>
    <row r="180" spans="1:13" s="17" customFormat="1">
      <c r="A180" s="56"/>
      <c r="M180" s="65"/>
    </row>
    <row r="181" spans="1:13" s="17" customFormat="1">
      <c r="A181" s="56"/>
      <c r="M181" s="65"/>
    </row>
    <row r="182" spans="1:13" s="17" customFormat="1">
      <c r="A182" s="56"/>
      <c r="M182" s="65"/>
    </row>
    <row r="183" spans="1:13" s="17" customFormat="1">
      <c r="A183" s="56"/>
      <c r="M183" s="65"/>
    </row>
    <row r="184" spans="1:13" s="17" customFormat="1">
      <c r="A184" s="56"/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0">
    <mergeCell ref="F161:K161"/>
    <mergeCell ref="F85:G85"/>
    <mergeCell ref="M87:M93"/>
    <mergeCell ref="F95:K95"/>
    <mergeCell ref="F105:K105"/>
    <mergeCell ref="F116:K116"/>
    <mergeCell ref="F127:K127"/>
    <mergeCell ref="E138:M138"/>
    <mergeCell ref="F140:K140"/>
    <mergeCell ref="M142:M149"/>
    <mergeCell ref="F151:K151"/>
    <mergeCell ref="M153:M159"/>
    <mergeCell ref="M77:M83"/>
    <mergeCell ref="D29:N29"/>
    <mergeCell ref="F32:K32"/>
    <mergeCell ref="D39:N39"/>
    <mergeCell ref="E41:M41"/>
    <mergeCell ref="F43:K43"/>
    <mergeCell ref="M45:M51"/>
    <mergeCell ref="F54:K54"/>
    <mergeCell ref="F57:K57"/>
    <mergeCell ref="M59:M65"/>
    <mergeCell ref="F68:K68"/>
    <mergeCell ref="F75:K75"/>
    <mergeCell ref="C27:O27"/>
    <mergeCell ref="C1:O1"/>
    <mergeCell ref="C3:O3"/>
    <mergeCell ref="F5:K5"/>
    <mergeCell ref="F11:K11"/>
    <mergeCell ref="F22:K22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R130"/>
  <sheetViews>
    <sheetView zoomScaleNormal="100" workbookViewId="0">
      <pane ySplit="1" topLeftCell="A65" activePane="bottomLeft" state="frozen"/>
      <selection pane="bottomLeft" activeCell="C86" sqref="C86"/>
    </sheetView>
  </sheetViews>
  <sheetFormatPr baseColWidth="10" defaultRowHeight="14.5"/>
  <cols>
    <col min="1" max="1" width="23.6328125" customWidth="1"/>
    <col min="2" max="2" width="16.7265625" customWidth="1"/>
    <col min="3" max="3" width="17.90625" customWidth="1"/>
    <col min="4" max="4" width="19" customWidth="1"/>
    <col min="7" max="7" width="17.54296875" customWidth="1"/>
    <col min="8" max="8" width="17.26953125" bestFit="1" customWidth="1"/>
  </cols>
  <sheetData>
    <row r="1" spans="1:14" ht="43.5">
      <c r="A1" t="s">
        <v>52</v>
      </c>
      <c r="B1" s="104" t="s">
        <v>44</v>
      </c>
      <c r="C1" s="104" t="s">
        <v>43</v>
      </c>
      <c r="D1" s="104" t="s">
        <v>50</v>
      </c>
    </row>
    <row r="2" spans="1:14">
      <c r="A2" s="358" t="s">
        <v>0</v>
      </c>
      <c r="B2" s="358"/>
      <c r="C2" s="358"/>
      <c r="D2" s="358"/>
      <c r="H2" s="16" t="s">
        <v>218</v>
      </c>
      <c r="I2" s="360" t="s">
        <v>18</v>
      </c>
      <c r="J2" s="360"/>
      <c r="K2" s="360"/>
      <c r="L2" s="360"/>
    </row>
    <row r="3" spans="1:14">
      <c r="A3" s="6" t="s">
        <v>15</v>
      </c>
      <c r="B3" s="55">
        <v>8.9924733284390393E-2</v>
      </c>
      <c r="C3" s="55">
        <v>2.5832473286687414E-3</v>
      </c>
      <c r="D3" s="127">
        <v>143.27774761989451</v>
      </c>
      <c r="E3" s="128"/>
      <c r="H3" t="s">
        <v>219</v>
      </c>
      <c r="I3" s="16">
        <v>2020</v>
      </c>
      <c r="J3" s="16">
        <v>2030</v>
      </c>
      <c r="K3" s="16">
        <v>2040</v>
      </c>
      <c r="L3" s="16">
        <v>2050</v>
      </c>
      <c r="N3" t="s">
        <v>300</v>
      </c>
    </row>
    <row r="4" spans="1:14">
      <c r="A4" s="6" t="s">
        <v>16</v>
      </c>
      <c r="B4" s="55">
        <v>0.42450974789018903</v>
      </c>
      <c r="C4" s="55">
        <v>0.18262447255667691</v>
      </c>
      <c r="D4" s="127">
        <v>143.46337556823548</v>
      </c>
      <c r="E4" s="128"/>
      <c r="H4" s="6" t="s">
        <v>15</v>
      </c>
      <c r="I4" s="107">
        <v>270.95450323639699</v>
      </c>
      <c r="J4" s="107">
        <v>270.95450323639699</v>
      </c>
      <c r="K4" s="107">
        <v>270.95450323639699</v>
      </c>
      <c r="L4" s="107">
        <v>270.95450323639699</v>
      </c>
      <c r="N4" t="s">
        <v>301</v>
      </c>
    </row>
    <row r="5" spans="1:14">
      <c r="A5" s="6" t="s">
        <v>75</v>
      </c>
      <c r="B5" s="55">
        <v>8.0340172710777702E-2</v>
      </c>
      <c r="C5" s="55">
        <v>0.13911656645249823</v>
      </c>
      <c r="D5" s="127">
        <v>120.33544112585447</v>
      </c>
      <c r="E5" s="128"/>
      <c r="H5" s="6" t="s">
        <v>16</v>
      </c>
      <c r="I5" s="107">
        <v>205.21567582745899</v>
      </c>
      <c r="J5" s="107">
        <v>205.21567582745899</v>
      </c>
      <c r="K5" s="107">
        <v>205.21567582745899</v>
      </c>
      <c r="L5" s="107">
        <v>205.21567582745899</v>
      </c>
      <c r="N5" t="s">
        <v>301</v>
      </c>
    </row>
    <row r="6" spans="1:14">
      <c r="A6" s="6" t="s">
        <v>22</v>
      </c>
      <c r="B6" s="55">
        <v>1.3267227564659348E-2</v>
      </c>
      <c r="C6" s="55">
        <v>2.2541262662018457E-2</v>
      </c>
      <c r="D6" s="127">
        <v>105.48221754152573</v>
      </c>
      <c r="E6" s="128"/>
      <c r="H6" s="6" t="s">
        <v>75</v>
      </c>
      <c r="I6" s="107">
        <v>150</v>
      </c>
      <c r="J6" s="107">
        <f>I6+(L6-I6)*(J3-I3)/30</f>
        <v>116.66666666666666</v>
      </c>
      <c r="K6" s="107">
        <f>J6+(M6-J6)*(K3-J3)/30</f>
        <v>77.777777777777771</v>
      </c>
      <c r="L6" s="107">
        <v>50</v>
      </c>
      <c r="N6" t="s">
        <v>303</v>
      </c>
    </row>
    <row r="7" spans="1:14">
      <c r="A7" s="6" t="s">
        <v>42</v>
      </c>
      <c r="B7" s="55">
        <v>1.2451501862338604E-2</v>
      </c>
      <c r="C7" s="55">
        <v>2.2378153328661055E-2</v>
      </c>
      <c r="D7" s="127">
        <v>119.38786370580362</v>
      </c>
      <c r="E7" s="128"/>
      <c r="H7" s="6" t="s">
        <v>22</v>
      </c>
      <c r="I7" s="107">
        <v>270.95450323639699</v>
      </c>
      <c r="J7" s="107">
        <v>270.95450323639699</v>
      </c>
      <c r="K7" s="107">
        <v>270.95450323639699</v>
      </c>
      <c r="L7" s="107">
        <v>270.95450323639699</v>
      </c>
      <c r="N7" t="s">
        <v>301</v>
      </c>
    </row>
    <row r="8" spans="1:14">
      <c r="A8" s="6" t="s">
        <v>25</v>
      </c>
      <c r="B8" s="55">
        <v>0.30626447562213699</v>
      </c>
      <c r="C8" s="55">
        <v>0.17192765066376023</v>
      </c>
      <c r="D8" s="127">
        <v>86.09707654211212</v>
      </c>
      <c r="E8" s="128"/>
      <c r="H8" s="6" t="s">
        <v>42</v>
      </c>
      <c r="I8" s="107">
        <v>0</v>
      </c>
      <c r="J8" s="107">
        <v>0</v>
      </c>
      <c r="K8" s="107">
        <v>0</v>
      </c>
      <c r="L8" s="107">
        <v>0</v>
      </c>
      <c r="N8" t="s">
        <v>301</v>
      </c>
    </row>
    <row r="9" spans="1:14">
      <c r="A9" s="6" t="s">
        <v>26</v>
      </c>
      <c r="B9" s="55">
        <v>7.3242141065507804E-2</v>
      </c>
      <c r="C9" s="55">
        <v>0.45882864700771653</v>
      </c>
      <c r="D9" s="127">
        <v>54.925506119527036</v>
      </c>
      <c r="E9" s="128"/>
      <c r="H9" s="6" t="s">
        <v>25</v>
      </c>
      <c r="I9" s="107">
        <v>79</v>
      </c>
      <c r="J9" s="107">
        <f>I9+(L9-I9)*(J3-I3)/30</f>
        <v>69.333333333333329</v>
      </c>
      <c r="K9" s="107">
        <f>J9+(M9-J9)*(K3-J3)/30</f>
        <v>46.222222222222221</v>
      </c>
      <c r="L9" s="107">
        <v>50</v>
      </c>
      <c r="N9" t="s">
        <v>302</v>
      </c>
    </row>
    <row r="10" spans="1:14">
      <c r="B10" s="55">
        <f>SUM(B3:B9)</f>
        <v>0.99999999999999978</v>
      </c>
      <c r="C10" s="55">
        <f>SUM(C3:C9)</f>
        <v>1</v>
      </c>
      <c r="H10" s="6" t="s">
        <v>26</v>
      </c>
      <c r="I10" s="107">
        <v>79</v>
      </c>
      <c r="J10" s="107">
        <f>I10+(L10-I10)*(J3-I3)/30</f>
        <v>69.333333333333329</v>
      </c>
      <c r="K10" s="107">
        <f>J10+(M10-J10)*(K3-J3)/30</f>
        <v>46.222222222222221</v>
      </c>
      <c r="L10" s="107">
        <v>50</v>
      </c>
      <c r="N10" t="s">
        <v>302</v>
      </c>
    </row>
    <row r="11" spans="1:14">
      <c r="A11" s="358" t="s">
        <v>51</v>
      </c>
      <c r="B11" s="358"/>
      <c r="C11" s="358"/>
      <c r="D11" s="358"/>
    </row>
    <row r="12" spans="1:14">
      <c r="A12" s="6" t="s">
        <v>15</v>
      </c>
      <c r="B12" s="55">
        <v>7.9577911246311389E-2</v>
      </c>
      <c r="C12" s="55">
        <v>0</v>
      </c>
      <c r="D12" s="54">
        <v>213.18589628380153</v>
      </c>
    </row>
    <row r="13" spans="1:14">
      <c r="A13" s="6" t="s">
        <v>16</v>
      </c>
      <c r="B13" s="55">
        <v>0.34462030283054329</v>
      </c>
      <c r="C13" s="55">
        <v>0.38923402073260943</v>
      </c>
      <c r="D13" s="54">
        <v>158.46053551606883</v>
      </c>
      <c r="H13" s="16" t="s">
        <v>218</v>
      </c>
      <c r="I13" s="360" t="s">
        <v>19</v>
      </c>
      <c r="J13" s="360"/>
      <c r="K13" s="360"/>
      <c r="L13" s="360"/>
    </row>
    <row r="14" spans="1:14">
      <c r="A14" s="6" t="s">
        <v>75</v>
      </c>
      <c r="B14" s="55">
        <v>6.6086937326922057E-2</v>
      </c>
      <c r="C14" s="55">
        <v>6.6076657693018501E-2</v>
      </c>
      <c r="D14" s="54">
        <v>140.53752265291996</v>
      </c>
      <c r="H14" t="s">
        <v>219</v>
      </c>
      <c r="I14" s="16">
        <v>2020</v>
      </c>
      <c r="J14" s="16">
        <v>2030</v>
      </c>
      <c r="K14" s="16">
        <v>2040</v>
      </c>
      <c r="L14" s="16">
        <v>2050</v>
      </c>
      <c r="N14" t="s">
        <v>300</v>
      </c>
    </row>
    <row r="15" spans="1:14">
      <c r="A15" s="6" t="s">
        <v>22</v>
      </c>
      <c r="B15" s="55">
        <v>1.4148263803273525E-2</v>
      </c>
      <c r="C15" s="55">
        <v>1.4740928196769911E-2</v>
      </c>
      <c r="D15" s="54">
        <v>133.41371741069062</v>
      </c>
      <c r="H15" s="6" t="s">
        <v>15</v>
      </c>
      <c r="I15" s="107">
        <v>270.95450323639699</v>
      </c>
      <c r="J15" s="107">
        <v>270.95450323639699</v>
      </c>
      <c r="K15" s="107">
        <v>270.95450323639699</v>
      </c>
      <c r="L15" s="107">
        <v>270.95450323639699</v>
      </c>
      <c r="N15" t="s">
        <v>301</v>
      </c>
    </row>
    <row r="16" spans="1:14">
      <c r="A16" s="6" t="s">
        <v>42</v>
      </c>
      <c r="B16" s="55">
        <v>2.6562983479710957E-2</v>
      </c>
      <c r="C16" s="55">
        <v>2.5736644706610589E-2</v>
      </c>
      <c r="D16" s="54">
        <v>117.86752281231102</v>
      </c>
      <c r="H16" s="6" t="s">
        <v>16</v>
      </c>
      <c r="I16" s="107">
        <v>205.21567582745899</v>
      </c>
      <c r="J16" s="107">
        <f>I16*0.85</f>
        <v>174.43332445334013</v>
      </c>
      <c r="K16" s="107">
        <f>J16*0.5</f>
        <v>87.216662226670067</v>
      </c>
      <c r="L16" s="107">
        <v>0</v>
      </c>
      <c r="N16" t="s">
        <v>301</v>
      </c>
    </row>
    <row r="17" spans="1:18">
      <c r="A17" s="6" t="s">
        <v>25</v>
      </c>
      <c r="B17" s="55">
        <v>0.36221493246354636</v>
      </c>
      <c r="C17" s="55">
        <v>8.0042733231366181E-2</v>
      </c>
      <c r="D17" s="54">
        <v>61.616279427836453</v>
      </c>
      <c r="H17" s="6" t="s">
        <v>75</v>
      </c>
      <c r="I17" s="107">
        <v>150</v>
      </c>
      <c r="J17" s="107">
        <f>I17+(L17-I17)*(J14-I14)/30</f>
        <v>116.66666666666666</v>
      </c>
      <c r="K17" s="107">
        <f>J17+(M17-J17)*(K14-J14)/30</f>
        <v>77.777777777777771</v>
      </c>
      <c r="L17" s="107">
        <f>I17/3</f>
        <v>50</v>
      </c>
      <c r="N17" t="s">
        <v>303</v>
      </c>
    </row>
    <row r="18" spans="1:18">
      <c r="A18" s="6" t="s">
        <v>26</v>
      </c>
      <c r="B18" s="55">
        <v>0.10678866884969246</v>
      </c>
      <c r="C18" s="55">
        <v>0.42416901543962537</v>
      </c>
      <c r="D18" s="54">
        <v>45.999932951694888</v>
      </c>
      <c r="H18" s="6" t="s">
        <v>22</v>
      </c>
      <c r="I18" s="107">
        <v>270.95450323639699</v>
      </c>
      <c r="J18" s="107">
        <v>270.95450323639699</v>
      </c>
      <c r="K18" s="107">
        <v>270.95450323639699</v>
      </c>
      <c r="L18" s="107">
        <v>270.95450323639699</v>
      </c>
      <c r="N18" t="s">
        <v>301</v>
      </c>
    </row>
    <row r="19" spans="1:18">
      <c r="B19" s="55">
        <f>SUM(B12:B18)</f>
        <v>1</v>
      </c>
      <c r="C19" s="55">
        <f>SUM(C12:C18)</f>
        <v>1</v>
      </c>
      <c r="H19" s="6" t="s">
        <v>42</v>
      </c>
      <c r="I19" s="107">
        <v>0</v>
      </c>
      <c r="J19" s="107">
        <v>0</v>
      </c>
      <c r="K19" s="107">
        <v>0</v>
      </c>
      <c r="L19" s="107">
        <v>0</v>
      </c>
      <c r="N19" t="s">
        <v>301</v>
      </c>
    </row>
    <row r="20" spans="1:18">
      <c r="A20" s="358" t="s">
        <v>3</v>
      </c>
      <c r="B20" s="358"/>
      <c r="C20" s="358"/>
      <c r="D20" s="358"/>
      <c r="H20" s="6" t="s">
        <v>25</v>
      </c>
      <c r="I20" s="107">
        <v>79</v>
      </c>
      <c r="J20" s="107">
        <f>I20+(L20-I20)*(J14-I14)/30</f>
        <v>66</v>
      </c>
      <c r="K20" s="107">
        <f>J20+(M20-J20)*(K14-J14)/30</f>
        <v>44</v>
      </c>
      <c r="L20" s="107">
        <v>40</v>
      </c>
      <c r="N20" t="s">
        <v>302</v>
      </c>
    </row>
    <row r="21" spans="1:18">
      <c r="A21" s="6" t="s">
        <v>15</v>
      </c>
      <c r="B21" s="55">
        <v>0.1836452867363588</v>
      </c>
      <c r="C21" s="55">
        <v>4.1021151124009851E-5</v>
      </c>
      <c r="D21" s="54">
        <v>101.20496711697824</v>
      </c>
      <c r="H21" s="6" t="s">
        <v>26</v>
      </c>
      <c r="I21" s="107">
        <v>79</v>
      </c>
      <c r="J21" s="107">
        <f>I21+(L21-I21)*(J14-I14)/30</f>
        <v>66</v>
      </c>
      <c r="K21" s="107">
        <f>J21+(M21-J21)*(K14-J14)/30</f>
        <v>44</v>
      </c>
      <c r="L21" s="107">
        <v>40</v>
      </c>
      <c r="N21" t="s">
        <v>302</v>
      </c>
    </row>
    <row r="22" spans="1:18">
      <c r="A22" s="6" t="s">
        <v>16</v>
      </c>
      <c r="B22" s="55">
        <v>0.39294128743187395</v>
      </c>
      <c r="C22" s="55">
        <v>0.24387457929202933</v>
      </c>
      <c r="D22" s="54">
        <v>108.58725762596659</v>
      </c>
    </row>
    <row r="23" spans="1:18">
      <c r="A23" s="6" t="s">
        <v>75</v>
      </c>
      <c r="B23" s="55">
        <v>4.1639881083029275E-2</v>
      </c>
      <c r="C23" s="55">
        <v>3.8798739172946649E-2</v>
      </c>
      <c r="D23" s="54">
        <v>50.751277606007875</v>
      </c>
    </row>
    <row r="24" spans="1:18">
      <c r="A24" s="6" t="s">
        <v>22</v>
      </c>
      <c r="B24" s="55">
        <v>1.8191868324415598E-2</v>
      </c>
      <c r="C24" s="55">
        <v>1.4755157309534661E-2</v>
      </c>
      <c r="D24" s="54">
        <v>47.976367366236985</v>
      </c>
    </row>
    <row r="25" spans="1:18">
      <c r="A25" s="6" t="s">
        <v>42</v>
      </c>
      <c r="B25" s="55">
        <v>1.3815793734488184E-2</v>
      </c>
      <c r="C25" s="55">
        <v>1.1548604741342878E-2</v>
      </c>
      <c r="D25" s="54">
        <v>55.138631733186472</v>
      </c>
    </row>
    <row r="26" spans="1:18">
      <c r="A26" s="6" t="s">
        <v>25</v>
      </c>
      <c r="B26" s="55">
        <v>0.26215626418619603</v>
      </c>
      <c r="C26" s="55">
        <v>0.37540666329243721</v>
      </c>
      <c r="D26" s="54">
        <v>71.83715823596377</v>
      </c>
      <c r="H26" t="s">
        <v>272</v>
      </c>
    </row>
    <row r="27" spans="1:18">
      <c r="A27" s="6" t="s">
        <v>26</v>
      </c>
      <c r="B27" s="55">
        <v>8.7609618503638187E-2</v>
      </c>
      <c r="C27" s="55">
        <v>0.31557523504058516</v>
      </c>
      <c r="D27" s="54">
        <v>50.720582443629688</v>
      </c>
    </row>
    <row r="28" spans="1:18" ht="43.5">
      <c r="B28" s="55">
        <f>SUM(B21:B27)</f>
        <v>1</v>
      </c>
      <c r="C28" s="55">
        <f>SUM(C21:C27)</f>
        <v>0.99999999999999989</v>
      </c>
      <c r="H28" s="275" t="s">
        <v>247</v>
      </c>
      <c r="I28" s="276" t="s">
        <v>139</v>
      </c>
      <c r="J28" s="276" t="s">
        <v>240</v>
      </c>
      <c r="K28" s="276" t="s">
        <v>241</v>
      </c>
      <c r="L28" s="276" t="s">
        <v>16</v>
      </c>
      <c r="M28" s="276" t="s">
        <v>242</v>
      </c>
      <c r="N28" s="276" t="s">
        <v>243</v>
      </c>
      <c r="O28" s="276" t="s">
        <v>244</v>
      </c>
      <c r="P28" s="276" t="s">
        <v>86</v>
      </c>
      <c r="Q28" s="276" t="s">
        <v>245</v>
      </c>
      <c r="R28" s="276" t="s">
        <v>17</v>
      </c>
    </row>
    <row r="29" spans="1:18">
      <c r="A29" s="358" t="s">
        <v>45</v>
      </c>
      <c r="B29" s="358"/>
      <c r="C29" s="358"/>
      <c r="D29" s="358"/>
      <c r="G29">
        <v>2019</v>
      </c>
      <c r="H29" t="s">
        <v>246</v>
      </c>
      <c r="I29" s="231">
        <v>0.40432760307999993</v>
      </c>
      <c r="J29" s="231">
        <v>0</v>
      </c>
      <c r="K29" s="231">
        <v>32.93541245267501</v>
      </c>
      <c r="L29" s="231">
        <v>70.504948999999996</v>
      </c>
      <c r="M29" s="231">
        <v>0</v>
      </c>
      <c r="N29" s="231">
        <v>0</v>
      </c>
      <c r="O29" s="231">
        <v>11.474464380852645</v>
      </c>
      <c r="P29" s="231">
        <v>137.76608700000003</v>
      </c>
      <c r="Q29" s="231">
        <v>9.3080608682609078</v>
      </c>
      <c r="R29" s="277">
        <v>262.3933013048686</v>
      </c>
    </row>
    <row r="30" spans="1:18">
      <c r="A30" s="6" t="s">
        <v>15</v>
      </c>
      <c r="B30" s="55">
        <v>0.20223518285214698</v>
      </c>
      <c r="C30" s="55">
        <v>5.6584972145073235E-2</v>
      </c>
      <c r="D30" s="54">
        <v>106.20162996399759</v>
      </c>
      <c r="G30">
        <v>2020</v>
      </c>
      <c r="H30" t="s">
        <v>246</v>
      </c>
      <c r="I30" s="231">
        <v>0.35525487623000002</v>
      </c>
      <c r="J30" s="231">
        <v>0</v>
      </c>
      <c r="K30" s="231">
        <v>32.886842187182005</v>
      </c>
      <c r="L30" s="231">
        <v>62.61667825</v>
      </c>
      <c r="M30" s="231">
        <v>0</v>
      </c>
      <c r="N30" s="231">
        <v>0</v>
      </c>
      <c r="O30" s="231">
        <v>11.563797787814609</v>
      </c>
      <c r="P30" s="231">
        <v>127.63966800000001</v>
      </c>
      <c r="Q30" s="231">
        <v>9.5330378016015072</v>
      </c>
      <c r="R30" s="277">
        <v>244.59527890282811</v>
      </c>
    </row>
    <row r="31" spans="1:18">
      <c r="A31" s="6" t="s">
        <v>16</v>
      </c>
      <c r="B31" s="55">
        <v>0.58817685192014335</v>
      </c>
      <c r="C31" s="55">
        <v>0.5881912261494745</v>
      </c>
      <c r="D31" s="54">
        <v>91.367679124341691</v>
      </c>
      <c r="G31">
        <v>2021</v>
      </c>
      <c r="H31" t="s">
        <v>246</v>
      </c>
      <c r="I31" s="231">
        <v>0.42171975636000003</v>
      </c>
      <c r="J31" s="231">
        <v>0</v>
      </c>
      <c r="K31" s="231">
        <v>31.687498104564003</v>
      </c>
      <c r="L31" s="231">
        <v>75.02500775</v>
      </c>
      <c r="M31" s="231">
        <v>0</v>
      </c>
      <c r="N31" s="231">
        <v>0</v>
      </c>
      <c r="O31" s="231">
        <v>13.583177007092438</v>
      </c>
      <c r="P31" s="231">
        <v>133.36982900000001</v>
      </c>
      <c r="Q31" s="231">
        <v>10.601388055555557</v>
      </c>
      <c r="R31" s="277">
        <v>264.68861967357202</v>
      </c>
    </row>
    <row r="32" spans="1:18">
      <c r="A32" s="6" t="s">
        <v>75</v>
      </c>
      <c r="B32" s="55">
        <v>8.4009548274215404E-2</v>
      </c>
      <c r="C32" s="55">
        <v>8.0741361547576412E-2</v>
      </c>
      <c r="D32" s="54">
        <v>96.691613105737261</v>
      </c>
    </row>
    <row r="33" spans="1:14">
      <c r="A33" s="6" t="s">
        <v>22</v>
      </c>
      <c r="B33" s="55">
        <v>1.3320407248410885E-2</v>
      </c>
      <c r="C33" s="55">
        <v>1.2731783152525081E-2</v>
      </c>
      <c r="D33" s="54">
        <v>98.676610154660196</v>
      </c>
      <c r="K33" s="357" t="s">
        <v>269</v>
      </c>
      <c r="L33" s="357"/>
      <c r="M33" s="16" t="s">
        <v>190</v>
      </c>
    </row>
    <row r="34" spans="1:14">
      <c r="A34" s="6" t="s">
        <v>42</v>
      </c>
      <c r="B34" s="55">
        <v>9.3630592275931179E-3</v>
      </c>
      <c r="C34" s="55">
        <v>9.0821371602788342E-3</v>
      </c>
      <c r="D34" s="54">
        <v>94.25487452068927</v>
      </c>
      <c r="J34" s="8" t="s">
        <v>20</v>
      </c>
      <c r="K34" s="9">
        <v>2019</v>
      </c>
      <c r="L34" s="9" t="s">
        <v>270</v>
      </c>
      <c r="M34" s="9" t="s">
        <v>271</v>
      </c>
      <c r="N34" t="s">
        <v>248</v>
      </c>
    </row>
    <row r="35" spans="1:14">
      <c r="A35" s="6" t="s">
        <v>25</v>
      </c>
      <c r="B35" s="55">
        <v>8.9833717887786435E-2</v>
      </c>
      <c r="C35" s="55">
        <v>2.1278159067402536E-2</v>
      </c>
      <c r="D35" s="54">
        <v>57.990998529575918</v>
      </c>
      <c r="J35" s="125" t="s">
        <v>15</v>
      </c>
      <c r="K35" s="280">
        <f>Résultats!Y35</f>
        <v>22575.747147702648</v>
      </c>
      <c r="L35" s="231">
        <f>K35/1000</f>
        <v>22.57574714770265</v>
      </c>
      <c r="M35" s="231">
        <f>K29</f>
        <v>32.93541245267501</v>
      </c>
      <c r="N35" s="231">
        <f>L35-M35</f>
        <v>-10.35966530497236</v>
      </c>
    </row>
    <row r="36" spans="1:14">
      <c r="A36" s="6" t="s">
        <v>26</v>
      </c>
      <c r="B36" s="55">
        <v>1.3061232589703731E-2</v>
      </c>
      <c r="C36" s="55">
        <v>0.23139036077766945</v>
      </c>
      <c r="D36" s="54">
        <v>53.512424377058124</v>
      </c>
      <c r="J36" s="125" t="s">
        <v>16</v>
      </c>
      <c r="K36" s="280">
        <f>Résultats!Y36</f>
        <v>72833.038691413894</v>
      </c>
      <c r="L36" s="231">
        <f>(K38+K36)/1000</f>
        <v>74.122790463416777</v>
      </c>
      <c r="M36" s="231">
        <f>L29</f>
        <v>70.504948999999996</v>
      </c>
      <c r="N36" s="231">
        <f t="shared" ref="N36:N40" si="0">L36-M36</f>
        <v>3.6178414634167808</v>
      </c>
    </row>
    <row r="37" spans="1:14">
      <c r="B37" s="55">
        <f>SUM(B30:B36)</f>
        <v>0.99999999999999978</v>
      </c>
      <c r="C37" s="55">
        <f>SUM(C30:C36)</f>
        <v>1</v>
      </c>
      <c r="J37" s="125" t="s">
        <v>21</v>
      </c>
      <c r="K37" s="280">
        <f>Résultats!Y37</f>
        <v>8954.3605099020479</v>
      </c>
      <c r="L37" s="231">
        <f t="shared" ref="L37:L40" si="1">K37/1000</f>
        <v>8.9543605099020471</v>
      </c>
      <c r="M37" s="231">
        <f>Q29</f>
        <v>9.3080608682609078</v>
      </c>
      <c r="N37" s="231">
        <f t="shared" si="0"/>
        <v>-0.35370035835886071</v>
      </c>
    </row>
    <row r="38" spans="1:14">
      <c r="A38" s="358"/>
      <c r="B38" s="358"/>
      <c r="C38" s="358"/>
      <c r="D38" s="358"/>
      <c r="J38" s="125" t="s">
        <v>22</v>
      </c>
      <c r="K38" s="280">
        <f>Résultats!Y38</f>
        <v>1289.7517720028777</v>
      </c>
      <c r="L38" s="231"/>
      <c r="N38" s="231"/>
    </row>
    <row r="39" spans="1:14">
      <c r="A39" s="6"/>
      <c r="B39" s="55"/>
      <c r="C39" s="55"/>
      <c r="D39" s="54"/>
      <c r="J39" s="125" t="s">
        <v>42</v>
      </c>
      <c r="K39" s="280">
        <f>Résultats!Y39</f>
        <v>1534.7132211306516</v>
      </c>
      <c r="L39" s="231">
        <f t="shared" si="1"/>
        <v>1.5347132211306516</v>
      </c>
      <c r="M39" s="231">
        <f>O29</f>
        <v>11.474464380852645</v>
      </c>
      <c r="N39" s="231">
        <f>L39-M39</f>
        <v>-9.9397511597219932</v>
      </c>
    </row>
    <row r="40" spans="1:14">
      <c r="A40" s="6"/>
      <c r="B40" s="55"/>
      <c r="C40" s="55"/>
      <c r="D40" s="54"/>
      <c r="J40" s="125" t="s">
        <v>210</v>
      </c>
      <c r="K40" s="280">
        <f>Résultats!Y40</f>
        <v>150555.18450184294</v>
      </c>
      <c r="L40" s="231">
        <f t="shared" si="1"/>
        <v>150.55518450184294</v>
      </c>
      <c r="M40" s="231">
        <f>P29</f>
        <v>137.76608700000003</v>
      </c>
      <c r="N40" s="231">
        <f t="shared" si="0"/>
        <v>12.789097501842917</v>
      </c>
    </row>
    <row r="41" spans="1:14">
      <c r="A41" s="6"/>
      <c r="B41" s="55"/>
      <c r="C41" s="55"/>
      <c r="D41" s="54"/>
      <c r="J41" s="243" t="s">
        <v>17</v>
      </c>
      <c r="K41" s="281">
        <f>SUM(K35:K40)</f>
        <v>257742.79584399506</v>
      </c>
      <c r="L41" s="231">
        <f>SUM(L35:L40)</f>
        <v>257.74279584399505</v>
      </c>
      <c r="M41" s="231">
        <f>SUM(M35:M40)</f>
        <v>261.98897370178861</v>
      </c>
      <c r="N41" s="231">
        <f>L41-M41</f>
        <v>-4.2461778577935547</v>
      </c>
    </row>
    <row r="42" spans="1:14">
      <c r="A42" s="6"/>
      <c r="B42" s="55"/>
      <c r="C42" s="55"/>
      <c r="D42" s="54"/>
    </row>
    <row r="43" spans="1:14">
      <c r="A43" s="6"/>
      <c r="B43" s="55"/>
      <c r="C43" s="55"/>
      <c r="D43" s="54"/>
    </row>
    <row r="44" spans="1:14">
      <c r="A44" s="6"/>
      <c r="B44" s="55"/>
      <c r="C44" s="55"/>
      <c r="D44" s="54"/>
    </row>
    <row r="45" spans="1:14">
      <c r="A45" s="6"/>
      <c r="B45" s="55"/>
      <c r="C45" s="55"/>
      <c r="D45" s="54"/>
    </row>
    <row r="46" spans="1:14">
      <c r="B46" s="55"/>
      <c r="C46" s="55"/>
    </row>
    <row r="47" spans="1:14">
      <c r="A47" s="358" t="s">
        <v>47</v>
      </c>
      <c r="B47" s="358"/>
      <c r="C47" s="358"/>
      <c r="D47" s="358"/>
    </row>
    <row r="48" spans="1:14">
      <c r="A48" s="6" t="s">
        <v>15</v>
      </c>
      <c r="B48" s="55">
        <v>0.15758395350413734</v>
      </c>
      <c r="C48" s="55">
        <v>1.1068404808735261E-2</v>
      </c>
      <c r="D48" s="54">
        <v>134.52715105091531</v>
      </c>
    </row>
    <row r="49" spans="1:4">
      <c r="A49" s="6" t="s">
        <v>16</v>
      </c>
      <c r="B49" s="55">
        <v>0.52707670990322253</v>
      </c>
      <c r="C49" s="55">
        <v>0.44151844048973238</v>
      </c>
      <c r="D49" s="54">
        <v>111.57561660808248</v>
      </c>
    </row>
    <row r="50" spans="1:4">
      <c r="A50" s="6" t="s">
        <v>75</v>
      </c>
      <c r="B50" s="55">
        <v>8.5504311043289719E-2</v>
      </c>
      <c r="C50" s="55">
        <v>0.19276276753541544</v>
      </c>
      <c r="D50" s="54">
        <v>113.21212196009803</v>
      </c>
    </row>
    <row r="51" spans="1:4">
      <c r="A51" s="6" t="s">
        <v>22</v>
      </c>
      <c r="B51" s="55">
        <v>1.5048165554765945E-2</v>
      </c>
      <c r="C51" s="55">
        <v>3.6575030316210601E-2</v>
      </c>
      <c r="D51" s="54">
        <v>99.969165808532892</v>
      </c>
    </row>
    <row r="52" spans="1:4">
      <c r="A52" s="6" t="s">
        <v>42</v>
      </c>
      <c r="B52" s="55">
        <v>1.3459722901950799E-2</v>
      </c>
      <c r="C52" s="55">
        <v>3.1736685713051743E-2</v>
      </c>
      <c r="D52" s="54">
        <v>124.11158383895697</v>
      </c>
    </row>
    <row r="53" spans="1:4">
      <c r="A53" s="6" t="s">
        <v>25</v>
      </c>
      <c r="B53" s="55">
        <v>0.16942946687247459</v>
      </c>
      <c r="C53" s="55">
        <v>8.5410409228175652E-2</v>
      </c>
      <c r="D53" s="54">
        <v>77.303407078620509</v>
      </c>
    </row>
    <row r="54" spans="1:4">
      <c r="A54" s="6" t="s">
        <v>26</v>
      </c>
      <c r="B54" s="55">
        <v>3.1897670220158943E-2</v>
      </c>
      <c r="C54" s="55">
        <v>0.20092826190867891</v>
      </c>
      <c r="D54" s="54">
        <v>44.991916579518737</v>
      </c>
    </row>
    <row r="55" spans="1:4">
      <c r="B55" s="55">
        <f>SUM(B48:B54)</f>
        <v>0.99999999999999989</v>
      </c>
      <c r="C55" s="55">
        <f>SUM(C48:C54)</f>
        <v>1</v>
      </c>
    </row>
    <row r="56" spans="1:4">
      <c r="A56" s="358" t="s">
        <v>46</v>
      </c>
      <c r="B56" s="358"/>
      <c r="C56" s="358"/>
      <c r="D56" s="358"/>
    </row>
    <row r="57" spans="1:4">
      <c r="A57" s="6" t="s">
        <v>15</v>
      </c>
      <c r="B57" s="55">
        <v>0.11535851755011599</v>
      </c>
      <c r="C57" s="55">
        <v>1.9344819899405983E-2</v>
      </c>
      <c r="D57" s="54">
        <v>119.26323797509556</v>
      </c>
    </row>
    <row r="58" spans="1:4">
      <c r="A58" s="6" t="s">
        <v>16</v>
      </c>
      <c r="B58" s="55">
        <v>0.47397594912324764</v>
      </c>
      <c r="C58" s="55">
        <v>0.52399466367463399</v>
      </c>
      <c r="D58" s="54">
        <v>173.97195732387533</v>
      </c>
    </row>
    <row r="59" spans="1:4">
      <c r="A59" s="6" t="s">
        <v>75</v>
      </c>
      <c r="B59" s="55">
        <v>7.5347621054706812E-2</v>
      </c>
      <c r="C59" s="55">
        <v>6.7035227617333368E-2</v>
      </c>
      <c r="D59" s="54">
        <v>46.324694613006521</v>
      </c>
    </row>
    <row r="60" spans="1:4">
      <c r="A60" s="6" t="s">
        <v>22</v>
      </c>
      <c r="B60" s="55">
        <v>8.5578093947910449E-3</v>
      </c>
      <c r="C60" s="55">
        <v>7.5158331919586794E-3</v>
      </c>
      <c r="D60" s="54">
        <v>45.319861012282082</v>
      </c>
    </row>
    <row r="61" spans="1:4">
      <c r="A61" s="6" t="s">
        <v>42</v>
      </c>
      <c r="B61" s="55">
        <v>7.8229288904559831E-3</v>
      </c>
      <c r="C61" s="55">
        <v>6.8921199229294077E-3</v>
      </c>
      <c r="D61" s="54">
        <v>47.018121478275241</v>
      </c>
    </row>
    <row r="62" spans="1:4">
      <c r="A62" s="6" t="s">
        <v>25</v>
      </c>
      <c r="B62" s="55">
        <v>0.25511815548729244</v>
      </c>
      <c r="C62" s="55">
        <v>0.16762986130287999</v>
      </c>
      <c r="D62" s="54">
        <v>75.488510275224129</v>
      </c>
    </row>
    <row r="63" spans="1:4">
      <c r="A63" s="6" t="s">
        <v>26</v>
      </c>
      <c r="B63" s="55">
        <v>6.3819018499390159E-2</v>
      </c>
      <c r="C63" s="55">
        <v>0.20758747439085867</v>
      </c>
      <c r="D63" s="54">
        <v>45.44029309187578</v>
      </c>
    </row>
    <row r="64" spans="1:4">
      <c r="B64" s="55">
        <f>SUM(B57:B63)</f>
        <v>1</v>
      </c>
      <c r="C64" s="55">
        <f>SUM(C57:C63)</f>
        <v>1</v>
      </c>
    </row>
    <row r="65" spans="1:16">
      <c r="A65" s="358" t="s">
        <v>4</v>
      </c>
      <c r="B65" s="358"/>
      <c r="C65" s="358"/>
      <c r="D65" s="358"/>
    </row>
    <row r="66" spans="1:16">
      <c r="A66" s="6" t="s">
        <v>15</v>
      </c>
      <c r="B66" s="55">
        <v>0.19595605807562935</v>
      </c>
      <c r="C66" s="55">
        <v>8.566654622007622E-4</v>
      </c>
      <c r="D66" s="54">
        <v>144.57255544511395</v>
      </c>
    </row>
    <row r="67" spans="1:16">
      <c r="A67" s="6" t="s">
        <v>16</v>
      </c>
      <c r="B67" s="55">
        <v>0.40960771079475461</v>
      </c>
      <c r="C67" s="55">
        <v>0.12133733261175747</v>
      </c>
      <c r="D67" s="54">
        <v>150.1184403986914</v>
      </c>
    </row>
    <row r="68" spans="1:16">
      <c r="A68" s="6" t="s">
        <v>75</v>
      </c>
      <c r="B68" s="55">
        <v>6.1629340994289197E-2</v>
      </c>
      <c r="C68" s="55">
        <v>0.13508370055286556</v>
      </c>
      <c r="D68" s="54">
        <v>125.25776108181995</v>
      </c>
    </row>
    <row r="69" spans="1:16">
      <c r="A69" s="6" t="s">
        <v>22</v>
      </c>
      <c r="B69" s="55">
        <v>1.720027863130175E-2</v>
      </c>
      <c r="C69" s="55">
        <v>2.0851083900283521E-2</v>
      </c>
      <c r="D69" s="54">
        <v>123.43517909796911</v>
      </c>
    </row>
    <row r="70" spans="1:16">
      <c r="A70" s="6" t="s">
        <v>42</v>
      </c>
      <c r="B70" s="55">
        <v>1.3962097437388757E-2</v>
      </c>
      <c r="C70" s="55">
        <v>2.1412462228474215E-2</v>
      </c>
      <c r="D70" s="54">
        <v>127.55201342600625</v>
      </c>
    </row>
    <row r="71" spans="1:16">
      <c r="A71" s="6" t="s">
        <v>25</v>
      </c>
      <c r="B71" s="55">
        <v>0.23589207259794331</v>
      </c>
      <c r="C71" s="55">
        <v>0.23233774569965782</v>
      </c>
      <c r="D71" s="54">
        <v>74.063776498588524</v>
      </c>
    </row>
    <row r="72" spans="1:16">
      <c r="A72" s="6" t="s">
        <v>26</v>
      </c>
      <c r="B72" s="55">
        <v>6.5752441468692954E-2</v>
      </c>
      <c r="C72" s="55">
        <v>0.46812100954476071</v>
      </c>
      <c r="D72" s="54">
        <v>47.633650234662667</v>
      </c>
    </row>
    <row r="73" spans="1:16">
      <c r="B73" s="55">
        <f>SUM(B66:B72)</f>
        <v>1</v>
      </c>
      <c r="C73" s="55">
        <f>SUM(C66:C72)</f>
        <v>1</v>
      </c>
    </row>
    <row r="75" spans="1:16">
      <c r="A75" s="358" t="s">
        <v>88</v>
      </c>
      <c r="B75" s="359"/>
      <c r="C75" s="359"/>
      <c r="D75" s="359"/>
    </row>
    <row r="76" spans="1:16" ht="26">
      <c r="B76" s="134">
        <v>1990</v>
      </c>
      <c r="C76" s="135">
        <v>1995</v>
      </c>
      <c r="D76" s="135">
        <v>2000</v>
      </c>
      <c r="E76" s="135">
        <v>2005</v>
      </c>
      <c r="F76" s="135">
        <v>2010</v>
      </c>
      <c r="G76" s="135">
        <v>2015</v>
      </c>
      <c r="H76" s="136">
        <v>2020</v>
      </c>
      <c r="I76" s="145" t="s">
        <v>310</v>
      </c>
      <c r="J76" s="146" t="s">
        <v>81</v>
      </c>
      <c r="K76" s="146" t="s">
        <v>82</v>
      </c>
      <c r="L76" s="146" t="s">
        <v>87</v>
      </c>
      <c r="M76" s="132"/>
      <c r="N76" s="132"/>
      <c r="O76" s="132"/>
      <c r="P76" s="132"/>
    </row>
    <row r="77" spans="1:16">
      <c r="A77" s="133" t="s">
        <v>83</v>
      </c>
      <c r="B77" s="137">
        <v>155.67567874468344</v>
      </c>
      <c r="C77" s="267">
        <v>144.20029880566577</v>
      </c>
      <c r="D77" s="267">
        <v>146.2666517582841</v>
      </c>
      <c r="E77" s="267">
        <v>136.57421239289641</v>
      </c>
      <c r="F77" s="267">
        <v>128.44733116483138</v>
      </c>
      <c r="G77" s="267">
        <v>119.12615737447211</v>
      </c>
      <c r="H77" s="138">
        <v>106.21213396312017</v>
      </c>
      <c r="I77" s="142">
        <f>G77/F77-1</f>
        <v>-7.2568061211001567E-2</v>
      </c>
      <c r="J77" s="143">
        <f>1+I77</f>
        <v>0.92743193878899843</v>
      </c>
      <c r="K77" s="323">
        <f>J77^0.2</f>
        <v>0.98504576820130418</v>
      </c>
      <c r="L77" s="147">
        <f>K77-1</f>
        <v>-1.4954231798695816E-2</v>
      </c>
      <c r="M77" s="132"/>
      <c r="N77" s="132"/>
      <c r="O77" s="132"/>
      <c r="P77" s="132"/>
    </row>
    <row r="78" spans="1:16">
      <c r="A78" s="133" t="s">
        <v>84</v>
      </c>
      <c r="B78" s="137">
        <v>172.69278962269081</v>
      </c>
      <c r="C78" s="267">
        <v>168.53255767943179</v>
      </c>
      <c r="D78" s="267">
        <v>172.66010876844641</v>
      </c>
      <c r="E78" s="267">
        <v>166.38819521289994</v>
      </c>
      <c r="F78" s="267">
        <v>151.95478449153515</v>
      </c>
      <c r="G78" s="267">
        <v>135.1534989915672</v>
      </c>
      <c r="H78" s="138">
        <v>121.74809106277199</v>
      </c>
      <c r="I78" s="142">
        <f t="shared" ref="I78:I81" si="2">G78/F78-1</f>
        <v>-0.11056766363881021</v>
      </c>
      <c r="J78" s="143">
        <f t="shared" ref="J78:J80" si="3">1+I78</f>
        <v>0.88943233636118979</v>
      </c>
      <c r="K78" s="323">
        <f t="shared" ref="K78:K81" si="4">J78^0.2</f>
        <v>0.97683808360784841</v>
      </c>
      <c r="L78" s="147">
        <f t="shared" ref="L78:L80" si="5">K78-1</f>
        <v>-2.3161916392151594E-2</v>
      </c>
      <c r="M78" s="132"/>
      <c r="N78" s="132"/>
      <c r="O78" s="132"/>
      <c r="P78" s="132"/>
    </row>
    <row r="79" spans="1:16">
      <c r="A79" s="133" t="s">
        <v>85</v>
      </c>
      <c r="B79" s="137">
        <v>142.50282984737828</v>
      </c>
      <c r="C79" s="267">
        <v>131.49727536036906</v>
      </c>
      <c r="D79" s="267">
        <v>129.25631328722389</v>
      </c>
      <c r="E79" s="267">
        <v>121.23847603268428</v>
      </c>
      <c r="F79" s="267">
        <v>116.16490775888079</v>
      </c>
      <c r="G79" s="267">
        <v>109.392662901202</v>
      </c>
      <c r="H79" s="138">
        <v>102.77327280480316</v>
      </c>
      <c r="I79" s="142">
        <f t="shared" si="2"/>
        <v>-5.8298542893312377E-2</v>
      </c>
      <c r="J79" s="143">
        <f t="shared" si="3"/>
        <v>0.94170145710668762</v>
      </c>
      <c r="K79" s="323">
        <f t="shared" si="4"/>
        <v>0.9880584769094648</v>
      </c>
      <c r="L79" s="147">
        <f t="shared" si="5"/>
        <v>-1.19415230905352E-2</v>
      </c>
      <c r="M79" s="132"/>
      <c r="N79" s="132"/>
      <c r="O79" s="132"/>
      <c r="P79" s="132"/>
    </row>
    <row r="80" spans="1:16">
      <c r="A80" s="133" t="s">
        <v>86</v>
      </c>
      <c r="B80" s="139">
        <v>96.931239928014833</v>
      </c>
      <c r="C80" s="140">
        <v>87.004717391657124</v>
      </c>
      <c r="D80" s="140">
        <v>87.395910050408347</v>
      </c>
      <c r="E80" s="140">
        <v>80.416397613434597</v>
      </c>
      <c r="F80" s="140">
        <v>74.878682749879246</v>
      </c>
      <c r="G80" s="140">
        <v>67.802754050118168</v>
      </c>
      <c r="H80" s="141">
        <v>55.958701433044055</v>
      </c>
      <c r="I80" s="142">
        <f t="shared" si="2"/>
        <v>-9.4498573424390164E-2</v>
      </c>
      <c r="J80" s="144">
        <f t="shared" si="3"/>
        <v>0.90550142657560984</v>
      </c>
      <c r="K80" s="323">
        <f t="shared" si="4"/>
        <v>0.98034249346915125</v>
      </c>
      <c r="L80" s="148">
        <f t="shared" si="5"/>
        <v>-1.9657506530848745E-2</v>
      </c>
      <c r="M80" s="132"/>
      <c r="N80" s="132"/>
      <c r="O80" s="132"/>
      <c r="P80" s="132"/>
    </row>
    <row r="81" spans="1:12">
      <c r="B81" s="267">
        <f>SUM(B77:B80)</f>
        <v>567.80253814276739</v>
      </c>
      <c r="C81" s="267">
        <f t="shared" ref="C81:H81" si="6">SUM(C77:C80)</f>
        <v>531.23484923712374</v>
      </c>
      <c r="D81" s="267">
        <f t="shared" si="6"/>
        <v>535.57898386436273</v>
      </c>
      <c r="E81" s="267">
        <f t="shared" si="6"/>
        <v>504.61728125191519</v>
      </c>
      <c r="F81" s="267">
        <f t="shared" si="6"/>
        <v>471.44570616512652</v>
      </c>
      <c r="G81" s="267">
        <f>SUM(G77:G80)</f>
        <v>431.47507331735949</v>
      </c>
      <c r="H81" s="267">
        <f t="shared" si="6"/>
        <v>386.69219926373938</v>
      </c>
      <c r="I81" s="142">
        <f t="shared" si="2"/>
        <v>-8.4783109327476014E-2</v>
      </c>
      <c r="J81" s="144">
        <f t="shared" ref="J81" si="7">1+I81</f>
        <v>0.91521689067252399</v>
      </c>
      <c r="K81" s="323">
        <f t="shared" si="4"/>
        <v>0.98243721502613446</v>
      </c>
      <c r="L81" s="148">
        <f t="shared" ref="L81" si="8">K81-1</f>
        <v>-1.7562784973865542E-2</v>
      </c>
    </row>
    <row r="83" spans="1:12">
      <c r="H83" s="74"/>
    </row>
    <row r="85" spans="1:12" ht="15.5">
      <c r="A85" s="308" t="s">
        <v>304</v>
      </c>
      <c r="B85" s="309"/>
      <c r="C85" s="309"/>
      <c r="D85" s="132"/>
      <c r="E85" s="132"/>
      <c r="F85" s="132"/>
      <c r="G85" s="132"/>
      <c r="H85" s="132"/>
    </row>
    <row r="86" spans="1:12">
      <c r="A86" s="132"/>
      <c r="B86" s="309"/>
      <c r="C86" s="309"/>
      <c r="D86" s="132"/>
      <c r="E86" s="310"/>
      <c r="F86" s="310"/>
      <c r="G86" s="132"/>
      <c r="H86" s="311" t="s">
        <v>305</v>
      </c>
    </row>
    <row r="87" spans="1:12">
      <c r="A87" s="312" t="s">
        <v>306</v>
      </c>
      <c r="B87" s="313">
        <v>1990</v>
      </c>
      <c r="C87" s="313">
        <v>1995</v>
      </c>
      <c r="D87" s="313">
        <v>2000</v>
      </c>
      <c r="E87" s="313">
        <v>2005</v>
      </c>
      <c r="F87" s="313">
        <v>2010</v>
      </c>
      <c r="G87" s="313">
        <v>2015</v>
      </c>
      <c r="H87" s="313">
        <v>2021</v>
      </c>
    </row>
    <row r="88" spans="1:12">
      <c r="A88" s="314" t="s">
        <v>83</v>
      </c>
      <c r="B88" s="315">
        <v>47.551331056918293</v>
      </c>
      <c r="C88" s="315">
        <v>55.909669220699968</v>
      </c>
      <c r="D88" s="315">
        <v>65.172740116307438</v>
      </c>
      <c r="E88" s="315">
        <v>69.089794014273409</v>
      </c>
      <c r="F88" s="315">
        <v>72.0224629382882</v>
      </c>
      <c r="G88" s="315">
        <v>71.062475043151011</v>
      </c>
      <c r="H88" s="315">
        <v>64.827811411054228</v>
      </c>
    </row>
    <row r="89" spans="1:12">
      <c r="A89" s="314" t="s">
        <v>84</v>
      </c>
      <c r="B89" s="315">
        <v>48.153213440620156</v>
      </c>
      <c r="C89" s="315">
        <v>43.697644780433826</v>
      </c>
      <c r="D89" s="315">
        <v>43.757611498699482</v>
      </c>
      <c r="E89" s="315">
        <v>39.945124003700919</v>
      </c>
      <c r="F89" s="315">
        <v>33.363774316458318</v>
      </c>
      <c r="G89" s="315">
        <v>27.751703026362769</v>
      </c>
      <c r="H89" s="315">
        <v>24.211952086576176</v>
      </c>
    </row>
    <row r="90" spans="1:12">
      <c r="A90" s="314" t="s">
        <v>85</v>
      </c>
      <c r="B90" s="315">
        <v>14.598803135801351</v>
      </c>
      <c r="C90" s="315">
        <v>14.91931314401527</v>
      </c>
      <c r="D90" s="315">
        <v>15.526643266808657</v>
      </c>
      <c r="E90" s="315">
        <v>15.176376956698309</v>
      </c>
      <c r="F90" s="315">
        <v>15.35320711625268</v>
      </c>
      <c r="G90" s="315">
        <v>15.27078889607626</v>
      </c>
      <c r="H90" s="315">
        <v>15.037796103445643</v>
      </c>
    </row>
    <row r="91" spans="1:12">
      <c r="A91" s="314" t="s">
        <v>86</v>
      </c>
      <c r="B91" s="315">
        <v>62.40239288529159</v>
      </c>
      <c r="C91" s="315">
        <v>72.741542996202099</v>
      </c>
      <c r="D91" s="315">
        <v>82.892225838476108</v>
      </c>
      <c r="E91" s="315">
        <v>92.446416644105639</v>
      </c>
      <c r="F91" s="315">
        <v>103.14676230845362</v>
      </c>
      <c r="G91" s="315">
        <v>109.11822248749205</v>
      </c>
      <c r="H91" s="315">
        <v>92.930291910746931</v>
      </c>
    </row>
    <row r="92" spans="1:12">
      <c r="A92" s="312" t="s">
        <v>278</v>
      </c>
      <c r="B92" s="316">
        <v>172.70574051863139</v>
      </c>
      <c r="C92" s="316">
        <v>187.26817014135116</v>
      </c>
      <c r="D92" s="316">
        <v>207.34922072029167</v>
      </c>
      <c r="E92" s="316">
        <v>216.65771161877825</v>
      </c>
      <c r="F92" s="316">
        <v>223.88620667945281</v>
      </c>
      <c r="G92" s="316">
        <v>223.20318945308208</v>
      </c>
      <c r="H92" s="316">
        <v>197.00785151182299</v>
      </c>
    </row>
    <row r="93" spans="1:12">
      <c r="A93" s="309"/>
      <c r="B93" s="317"/>
      <c r="C93" s="132"/>
      <c r="D93" s="132"/>
      <c r="E93" s="132"/>
      <c r="F93" s="132"/>
      <c r="G93" s="132"/>
      <c r="H93" s="318"/>
    </row>
    <row r="94" spans="1:12">
      <c r="A94" s="132"/>
      <c r="B94" s="317"/>
      <c r="C94" s="317"/>
      <c r="D94" s="132"/>
      <c r="E94" s="132"/>
      <c r="F94" s="132"/>
      <c r="G94" s="132" t="s">
        <v>308</v>
      </c>
      <c r="H94" s="320">
        <f>H92/F92-1</f>
        <v>-0.12005364495773818</v>
      </c>
      <c r="I94" s="326">
        <f>1+H94</f>
        <v>0.87994635504226182</v>
      </c>
    </row>
    <row r="95" spans="1:12">
      <c r="G95" t="s">
        <v>309</v>
      </c>
      <c r="H95" s="321">
        <f>1-I95</f>
        <v>1.1559428043207531E-2</v>
      </c>
      <c r="I95" s="326">
        <f>I94^(1/11)</f>
        <v>0.98844057195679247</v>
      </c>
    </row>
    <row r="97" spans="1:8">
      <c r="H97" s="319"/>
    </row>
    <row r="102" spans="1:8">
      <c r="A102" s="358" t="s">
        <v>273</v>
      </c>
      <c r="B102" s="359"/>
      <c r="C102" s="359"/>
      <c r="D102" s="359"/>
    </row>
    <row r="104" spans="1:8">
      <c r="A104" s="282" t="s">
        <v>274</v>
      </c>
      <c r="B104" s="361" t="s">
        <v>129</v>
      </c>
      <c r="C104" s="361"/>
    </row>
    <row r="105" spans="1:8">
      <c r="A105" s="282"/>
      <c r="B105" s="282"/>
    </row>
    <row r="106" spans="1:8">
      <c r="A106" s="282" t="s">
        <v>275</v>
      </c>
      <c r="B106" s="282" t="s">
        <v>276</v>
      </c>
    </row>
    <row r="107" spans="1:8">
      <c r="A107" s="283" t="s">
        <v>188</v>
      </c>
      <c r="B107" s="284">
        <v>1550.4931364675842</v>
      </c>
      <c r="C107" s="266">
        <f>B107/1000</f>
        <v>1.5504931364675842</v>
      </c>
      <c r="D107" s="166">
        <f t="shared" ref="D107:D113" si="9">C107/C$113</f>
        <v>6.5264849886638152E-2</v>
      </c>
    </row>
    <row r="108" spans="1:8">
      <c r="A108" s="283" t="s">
        <v>86</v>
      </c>
      <c r="B108" s="284">
        <v>7230.8991560964541</v>
      </c>
      <c r="C108" s="266">
        <f t="shared" ref="C108:C113" si="10">B108/1000</f>
        <v>7.230899156096454</v>
      </c>
      <c r="D108" s="166">
        <f t="shared" si="9"/>
        <v>0.30436996905591907</v>
      </c>
    </row>
    <row r="109" spans="1:8">
      <c r="A109" s="283" t="s">
        <v>277</v>
      </c>
      <c r="B109" s="284">
        <v>143.55334794427199</v>
      </c>
      <c r="C109" s="266">
        <f t="shared" si="10"/>
        <v>0.14355334794427199</v>
      </c>
      <c r="D109" s="166">
        <f t="shared" si="9"/>
        <v>6.0425857322091549E-3</v>
      </c>
    </row>
    <row r="110" spans="1:8">
      <c r="A110" s="283" t="s">
        <v>84</v>
      </c>
      <c r="B110" s="284">
        <v>3076.9537814650894</v>
      </c>
      <c r="C110" s="266">
        <f t="shared" si="10"/>
        <v>3.0769537814650896</v>
      </c>
      <c r="D110" s="166">
        <f t="shared" si="9"/>
        <v>0.12951810100427433</v>
      </c>
    </row>
    <row r="111" spans="1:8">
      <c r="A111" s="283" t="s">
        <v>16</v>
      </c>
      <c r="B111" s="284">
        <v>11298.680810932789</v>
      </c>
      <c r="C111" s="266">
        <f t="shared" si="10"/>
        <v>11.298680810932789</v>
      </c>
      <c r="D111" s="166">
        <f t="shared" si="9"/>
        <v>0.4755949508570973</v>
      </c>
    </row>
    <row r="112" spans="1:8">
      <c r="A112" s="283" t="s">
        <v>22</v>
      </c>
      <c r="B112" s="284">
        <v>456.35997550177865</v>
      </c>
      <c r="C112" s="266">
        <f t="shared" si="10"/>
        <v>0.45635997550177865</v>
      </c>
      <c r="D112" s="166">
        <f t="shared" si="9"/>
        <v>1.9209543463861788E-2</v>
      </c>
    </row>
    <row r="113" spans="1:4">
      <c r="A113" s="285" t="s">
        <v>278</v>
      </c>
      <c r="B113" s="286">
        <v>23756.94020840797</v>
      </c>
      <c r="C113" s="287">
        <f t="shared" si="10"/>
        <v>23.756940208407972</v>
      </c>
      <c r="D113" s="166">
        <f t="shared" si="9"/>
        <v>1</v>
      </c>
    </row>
    <row r="115" spans="1:4">
      <c r="A115" s="282" t="s">
        <v>274</v>
      </c>
      <c r="B115" s="361" t="s">
        <v>279</v>
      </c>
      <c r="C115" s="361"/>
    </row>
    <row r="116" spans="1:4">
      <c r="A116" s="282"/>
      <c r="B116" s="282"/>
    </row>
    <row r="117" spans="1:4">
      <c r="A117" s="282" t="s">
        <v>275</v>
      </c>
      <c r="B117" s="282" t="s">
        <v>276</v>
      </c>
    </row>
    <row r="118" spans="1:4">
      <c r="A118" s="283" t="s">
        <v>188</v>
      </c>
      <c r="B118" s="284">
        <v>0</v>
      </c>
      <c r="C118" s="266">
        <f>B118/1000</f>
        <v>0</v>
      </c>
      <c r="D118" s="166">
        <f t="shared" ref="D118:D124" si="11">C118/C$124</f>
        <v>0</v>
      </c>
    </row>
    <row r="119" spans="1:4">
      <c r="A119" s="283" t="s">
        <v>86</v>
      </c>
      <c r="B119" s="284">
        <v>4470.645462660219</v>
      </c>
      <c r="C119" s="266">
        <f t="shared" ref="C119:C124" si="12">B119/1000</f>
        <v>4.4706454626602188</v>
      </c>
      <c r="D119" s="166">
        <f t="shared" si="11"/>
        <v>0.38145894795856289</v>
      </c>
    </row>
    <row r="120" spans="1:4">
      <c r="A120" s="283" t="s">
        <v>277</v>
      </c>
      <c r="B120" s="284">
        <v>71.062001966179707</v>
      </c>
      <c r="C120" s="266">
        <f t="shared" si="12"/>
        <v>7.1062001966179705E-2</v>
      </c>
      <c r="D120" s="166">
        <f t="shared" si="11"/>
        <v>6.0633831817471636E-3</v>
      </c>
    </row>
    <row r="121" spans="1:4">
      <c r="A121" s="283" t="s">
        <v>84</v>
      </c>
      <c r="B121" s="284">
        <v>76.356542304426611</v>
      </c>
      <c r="C121" s="266">
        <f t="shared" si="12"/>
        <v>7.6356542304426608E-2</v>
      </c>
      <c r="D121" s="166">
        <f t="shared" si="11"/>
        <v>6.5151411670806873E-3</v>
      </c>
    </row>
    <row r="122" spans="1:4">
      <c r="A122" s="283" t="s">
        <v>16</v>
      </c>
      <c r="B122" s="284">
        <v>5752.6702586794472</v>
      </c>
      <c r="C122" s="266">
        <f t="shared" si="12"/>
        <v>5.7526702586794469</v>
      </c>
      <c r="D122" s="166">
        <f t="shared" si="11"/>
        <v>0.4908480359618167</v>
      </c>
    </row>
    <row r="123" spans="1:4">
      <c r="A123" s="283" t="s">
        <v>22</v>
      </c>
      <c r="B123" s="284">
        <v>1349.1257261020071</v>
      </c>
      <c r="C123" s="266">
        <f t="shared" si="12"/>
        <v>1.3491257261020071</v>
      </c>
      <c r="D123" s="166">
        <f t="shared" si="11"/>
        <v>0.11511449173079231</v>
      </c>
    </row>
    <row r="124" spans="1:4">
      <c r="A124" s="285" t="s">
        <v>278</v>
      </c>
      <c r="B124" s="286">
        <v>11719.859991712281</v>
      </c>
      <c r="C124" s="287">
        <f t="shared" si="12"/>
        <v>11.719859991712282</v>
      </c>
      <c r="D124" s="166">
        <f t="shared" si="11"/>
        <v>1</v>
      </c>
    </row>
    <row r="126" spans="1:4">
      <c r="A126" s="282" t="s">
        <v>274</v>
      </c>
      <c r="B126" s="306" t="s">
        <v>280</v>
      </c>
      <c r="C126" s="306"/>
    </row>
    <row r="127" spans="1:4">
      <c r="A127" s="282"/>
      <c r="B127" s="282"/>
    </row>
    <row r="128" spans="1:4">
      <c r="A128" s="282" t="s">
        <v>275</v>
      </c>
      <c r="B128" s="282" t="s">
        <v>276</v>
      </c>
    </row>
    <row r="129" spans="1:3">
      <c r="A129" s="283" t="s">
        <v>86</v>
      </c>
      <c r="B129" s="284">
        <v>70302.699550271558</v>
      </c>
      <c r="C129" s="266">
        <f>B129/1000</f>
        <v>70.302699550271555</v>
      </c>
    </row>
    <row r="130" spans="1:3">
      <c r="A130" s="285" t="s">
        <v>278</v>
      </c>
      <c r="B130" s="286">
        <v>70302.699550271558</v>
      </c>
      <c r="C130" s="287">
        <f t="shared" ref="C130" si="13">B130/1000</f>
        <v>70.302699550271555</v>
      </c>
    </row>
  </sheetData>
  <mergeCells count="15">
    <mergeCell ref="B104:C104"/>
    <mergeCell ref="B115:C115"/>
    <mergeCell ref="A75:D75"/>
    <mergeCell ref="A65:D65"/>
    <mergeCell ref="A29:D29"/>
    <mergeCell ref="A47:D47"/>
    <mergeCell ref="A38:D38"/>
    <mergeCell ref="K33:L33"/>
    <mergeCell ref="A102:D102"/>
    <mergeCell ref="A56:D56"/>
    <mergeCell ref="I13:L13"/>
    <mergeCell ref="I2:L2"/>
    <mergeCell ref="A2:D2"/>
    <mergeCell ref="A11:D11"/>
    <mergeCell ref="A20:D20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DB84B"/>
  </sheetPr>
  <dimension ref="B2:U51"/>
  <sheetViews>
    <sheetView zoomScaleNormal="100" workbookViewId="0">
      <selection activeCell="H45" sqref="H45"/>
    </sheetView>
  </sheetViews>
  <sheetFormatPr baseColWidth="10" defaultRowHeight="14.5"/>
  <cols>
    <col min="2" max="2" width="8.08984375" customWidth="1"/>
    <col min="3" max="3" width="22.81640625" customWidth="1"/>
    <col min="4" max="4" width="14.08984375" style="74" customWidth="1"/>
    <col min="5" max="5" width="13.36328125" customWidth="1"/>
    <col min="6" max="6" width="16.26953125" customWidth="1"/>
    <col min="7" max="7" width="10" bestFit="1" customWidth="1"/>
    <col min="8" max="8" width="13" bestFit="1" customWidth="1"/>
    <col min="9" max="9" width="14.7265625" customWidth="1"/>
    <col min="11" max="11" width="11.81640625" customWidth="1"/>
    <col min="13" max="13" width="11.90625" style="180" customWidth="1"/>
  </cols>
  <sheetData>
    <row r="2" spans="2:20">
      <c r="B2" s="369" t="s">
        <v>284</v>
      </c>
      <c r="C2" s="370"/>
      <c r="D2" s="370"/>
      <c r="E2" s="370"/>
      <c r="F2" s="370"/>
      <c r="G2" s="370"/>
      <c r="H2" s="370"/>
      <c r="I2" s="370"/>
      <c r="J2" s="370"/>
      <c r="K2" s="370"/>
      <c r="L2" s="370"/>
      <c r="M2" s="371"/>
    </row>
    <row r="3" spans="2:20">
      <c r="B3" s="169"/>
      <c r="C3" s="169"/>
      <c r="D3" s="170"/>
      <c r="E3" s="169"/>
      <c r="F3" s="169"/>
      <c r="G3" s="169"/>
      <c r="H3" s="169"/>
      <c r="I3" s="169"/>
      <c r="J3" s="169"/>
      <c r="K3" s="169"/>
      <c r="L3" s="169"/>
    </row>
    <row r="4" spans="2:20" ht="29">
      <c r="B4" s="169"/>
      <c r="C4" s="169"/>
      <c r="D4" s="170"/>
      <c r="E4" s="176" t="s">
        <v>0</v>
      </c>
      <c r="F4" s="176" t="s">
        <v>51</v>
      </c>
      <c r="G4" s="176" t="s">
        <v>3</v>
      </c>
      <c r="H4" s="176" t="s">
        <v>45</v>
      </c>
      <c r="I4" s="176" t="s">
        <v>1</v>
      </c>
      <c r="J4" s="176" t="s">
        <v>47</v>
      </c>
      <c r="K4" s="176" t="s">
        <v>46</v>
      </c>
      <c r="L4" s="176" t="s">
        <v>4</v>
      </c>
      <c r="M4" s="177" t="s">
        <v>17</v>
      </c>
    </row>
    <row r="5" spans="2:20">
      <c r="B5" s="169"/>
      <c r="C5" s="169"/>
      <c r="D5"/>
      <c r="Q5" s="16"/>
      <c r="R5" s="16"/>
      <c r="S5" s="16"/>
    </row>
    <row r="6" spans="2:20">
      <c r="B6" s="169"/>
      <c r="C6" s="389" t="s">
        <v>109</v>
      </c>
      <c r="D6" s="389"/>
      <c r="E6" s="261">
        <v>239113.67300849396</v>
      </c>
      <c r="F6" s="261">
        <v>67389.90174661066</v>
      </c>
      <c r="G6" s="261">
        <v>215959</v>
      </c>
      <c r="H6" s="261">
        <v>190850</v>
      </c>
      <c r="I6" s="261">
        <v>72592</v>
      </c>
      <c r="J6" s="261">
        <v>118445.13907375958</v>
      </c>
      <c r="K6" s="261">
        <v>74481</v>
      </c>
      <c r="L6" s="261">
        <v>25839.303197908266</v>
      </c>
      <c r="M6" s="178">
        <f>SUM(E6:L6)</f>
        <v>1004670.0170267724</v>
      </c>
      <c r="Q6" s="16"/>
      <c r="R6" s="16"/>
      <c r="S6" s="16"/>
    </row>
    <row r="7" spans="2:20">
      <c r="B7" s="169"/>
      <c r="C7" s="169"/>
      <c r="D7"/>
      <c r="Q7" s="16"/>
      <c r="R7" s="16"/>
      <c r="S7" s="16"/>
    </row>
    <row r="8" spans="2:20">
      <c r="C8" s="387" t="s">
        <v>100</v>
      </c>
      <c r="D8" s="388"/>
      <c r="E8" s="171">
        <v>0.1</v>
      </c>
      <c r="F8" s="171">
        <v>0</v>
      </c>
      <c r="G8" s="171">
        <v>0</v>
      </c>
      <c r="H8" s="171">
        <v>7.0000000000000007E-2</v>
      </c>
      <c r="I8" s="171">
        <v>0</v>
      </c>
      <c r="J8" s="171">
        <v>0.6</v>
      </c>
      <c r="K8" s="171">
        <v>0.06</v>
      </c>
      <c r="L8" s="171">
        <v>0.5</v>
      </c>
      <c r="M8" s="179">
        <f>SUMPRODUCT(E$6:L$6,E8:L8)/M$6</f>
        <v>0.12514204685448369</v>
      </c>
      <c r="N8" s="107"/>
      <c r="Q8" s="16"/>
      <c r="R8" s="16"/>
      <c r="S8" s="16"/>
    </row>
    <row r="9" spans="2:20" ht="14.5" customHeight="1">
      <c r="C9" s="387" t="s">
        <v>102</v>
      </c>
      <c r="D9" s="388"/>
      <c r="E9" s="171">
        <v>0.1</v>
      </c>
      <c r="F9" s="171">
        <v>0</v>
      </c>
      <c r="G9" s="171">
        <v>0</v>
      </c>
      <c r="H9" s="171">
        <v>0.72</v>
      </c>
      <c r="I9" s="171">
        <v>0.1</v>
      </c>
      <c r="J9" s="171">
        <v>0.08</v>
      </c>
      <c r="K9" s="171">
        <v>0.85</v>
      </c>
      <c r="L9" s="171">
        <v>0</v>
      </c>
      <c r="M9" s="179">
        <f>SUMPRODUCT(E$6:L$6,E9:L9)/M$6</f>
        <v>0.24024507981342322</v>
      </c>
      <c r="N9" s="168"/>
      <c r="Q9" s="16"/>
      <c r="S9" s="16"/>
    </row>
    <row r="10" spans="2:20" ht="14.5" customHeight="1">
      <c r="C10" s="387" t="s">
        <v>101</v>
      </c>
      <c r="D10" s="388"/>
      <c r="E10" s="171">
        <v>0.8</v>
      </c>
      <c r="F10" s="171">
        <v>1</v>
      </c>
      <c r="G10" s="171">
        <v>1</v>
      </c>
      <c r="H10" s="171">
        <v>0.21</v>
      </c>
      <c r="I10" s="171">
        <v>0.9</v>
      </c>
      <c r="J10" s="171">
        <v>0.32</v>
      </c>
      <c r="K10" s="171">
        <v>0.09</v>
      </c>
      <c r="L10" s="171">
        <v>0.5</v>
      </c>
      <c r="M10" s="179">
        <f>SUMPRODUCT(E$6:L$6,E10:L10)/M$6</f>
        <v>0.63461287333209315</v>
      </c>
      <c r="Q10" s="385" t="s">
        <v>232</v>
      </c>
      <c r="R10" s="385"/>
      <c r="S10" s="385"/>
      <c r="T10" s="385"/>
    </row>
    <row r="11" spans="2:20" ht="14.5" customHeight="1">
      <c r="C11" s="169"/>
      <c r="D11" s="172"/>
      <c r="E11" s="173"/>
      <c r="F11" s="173"/>
      <c r="G11" s="173"/>
      <c r="H11" s="173"/>
      <c r="I11" s="173"/>
      <c r="J11" s="173"/>
      <c r="K11" s="173"/>
      <c r="L11" s="173"/>
      <c r="M11" s="181"/>
      <c r="Q11" s="386"/>
      <c r="R11" s="386"/>
      <c r="S11" s="386"/>
      <c r="T11" s="386"/>
    </row>
    <row r="12" spans="2:20" ht="28.5" customHeight="1">
      <c r="C12" s="387" t="s">
        <v>120</v>
      </c>
      <c r="D12" s="388"/>
      <c r="E12" s="171">
        <v>0.65</v>
      </c>
      <c r="F12" s="171">
        <v>0.65</v>
      </c>
      <c r="G12" s="171">
        <v>0.55000000000000004</v>
      </c>
      <c r="H12" s="171">
        <v>0.85</v>
      </c>
      <c r="I12" s="171">
        <v>0.8</v>
      </c>
      <c r="J12" s="171">
        <v>0.93</v>
      </c>
      <c r="K12" s="171">
        <v>0.56999999999999995</v>
      </c>
      <c r="L12" s="171">
        <v>0.78</v>
      </c>
      <c r="M12" s="179">
        <f>SUMPRODUCT(E$6:L$6,E12:L12)/M$6</f>
        <v>0.7077584354792531</v>
      </c>
      <c r="Q12" s="295" t="s">
        <v>233</v>
      </c>
      <c r="R12" s="305" t="s">
        <v>8</v>
      </c>
      <c r="S12" s="305" t="s">
        <v>9</v>
      </c>
      <c r="T12" s="305" t="s">
        <v>10</v>
      </c>
    </row>
    <row r="13" spans="2:20" ht="28.5" customHeight="1">
      <c r="C13" s="387" t="s">
        <v>121</v>
      </c>
      <c r="D13" s="388"/>
      <c r="E13" s="171">
        <f>MIN(100%, E12+0.175)</f>
        <v>0.82499999999999996</v>
      </c>
      <c r="F13" s="171">
        <f t="shared" ref="F13:L13" si="0">MIN(100%, F12+0.175)</f>
        <v>0.82499999999999996</v>
      </c>
      <c r="G13" s="171">
        <f t="shared" si="0"/>
        <v>0.72500000000000009</v>
      </c>
      <c r="H13" s="171">
        <f t="shared" si="0"/>
        <v>1</v>
      </c>
      <c r="I13" s="171">
        <v>0.9</v>
      </c>
      <c r="J13" s="171">
        <f t="shared" si="0"/>
        <v>1</v>
      </c>
      <c r="K13" s="171">
        <f t="shared" si="0"/>
        <v>0.74499999999999988</v>
      </c>
      <c r="L13" s="171">
        <f t="shared" si="0"/>
        <v>0.95500000000000007</v>
      </c>
      <c r="M13" s="179">
        <f t="shared" ref="M13" si="1">SUMPRODUCT(E$6:L$6,E13:L13)/M$6</f>
        <v>0.86021134119073972</v>
      </c>
      <c r="Q13" s="105"/>
      <c r="R13" s="93"/>
      <c r="S13" s="93"/>
      <c r="T13" s="93"/>
    </row>
    <row r="14" spans="2:20">
      <c r="B14" s="169"/>
      <c r="C14" s="172"/>
      <c r="D14" s="172"/>
      <c r="E14" s="169"/>
      <c r="F14" s="169"/>
      <c r="G14" s="169"/>
      <c r="H14" s="169"/>
      <c r="I14" s="169"/>
      <c r="J14" s="169"/>
      <c r="K14" s="169"/>
      <c r="L14" s="169"/>
      <c r="Q14" s="93" t="s">
        <v>0</v>
      </c>
      <c r="R14" s="102">
        <v>0.65</v>
      </c>
      <c r="S14" s="102">
        <v>0.65</v>
      </c>
      <c r="T14" s="102">
        <v>0.55000000000000004</v>
      </c>
    </row>
    <row r="15" spans="2:20" ht="14.5" customHeight="1">
      <c r="B15" s="373" t="s">
        <v>18</v>
      </c>
      <c r="C15" s="374" t="s">
        <v>231</v>
      </c>
      <c r="D15" s="167" t="s">
        <v>103</v>
      </c>
      <c r="E15" s="174">
        <v>0.6</v>
      </c>
      <c r="F15" s="174">
        <v>0.6</v>
      </c>
      <c r="G15" s="174">
        <v>0.6</v>
      </c>
      <c r="H15" s="174">
        <v>0.6</v>
      </c>
      <c r="I15" s="174">
        <v>0.6</v>
      </c>
      <c r="J15" s="174">
        <v>0.6</v>
      </c>
      <c r="K15" s="174">
        <v>0.6</v>
      </c>
      <c r="L15" s="174">
        <v>0.6</v>
      </c>
      <c r="M15" s="182">
        <f>SUMPRODUCT(E$6:L$6,E15:L15)/M$6</f>
        <v>0.6</v>
      </c>
      <c r="Q15" s="93" t="s">
        <v>11</v>
      </c>
      <c r="R15" s="102">
        <v>0.66</v>
      </c>
      <c r="S15" s="102">
        <v>0.66</v>
      </c>
      <c r="T15" s="102">
        <v>0.55000000000000004</v>
      </c>
    </row>
    <row r="16" spans="2:20">
      <c r="B16" s="373"/>
      <c r="C16" s="374"/>
      <c r="D16" s="167" t="s">
        <v>105</v>
      </c>
      <c r="E16" s="174">
        <v>0.5</v>
      </c>
      <c r="F16" s="174">
        <v>0.5</v>
      </c>
      <c r="G16" s="174">
        <v>0.5</v>
      </c>
      <c r="H16" s="174">
        <v>0.5</v>
      </c>
      <c r="I16" s="174">
        <v>0.5</v>
      </c>
      <c r="J16" s="174">
        <v>0.5</v>
      </c>
      <c r="K16" s="174">
        <v>0.5</v>
      </c>
      <c r="L16" s="174">
        <v>0.5</v>
      </c>
      <c r="M16" s="182">
        <f>SUMPRODUCT(E$6:L$6,E16:L16)/M$6</f>
        <v>0.5</v>
      </c>
      <c r="Q16" s="93" t="s">
        <v>3</v>
      </c>
      <c r="R16" s="102">
        <v>0.52</v>
      </c>
      <c r="S16" s="102">
        <v>0.52</v>
      </c>
      <c r="T16" s="102">
        <v>0.42</v>
      </c>
    </row>
    <row r="17" spans="2:21" ht="27" customHeight="1">
      <c r="B17" s="373"/>
      <c r="C17" s="374"/>
      <c r="D17" s="167" t="s">
        <v>104</v>
      </c>
      <c r="E17" s="174">
        <v>0.45</v>
      </c>
      <c r="F17" s="174">
        <v>0.45</v>
      </c>
      <c r="G17" s="174">
        <v>0.45</v>
      </c>
      <c r="H17" s="174">
        <v>0.45</v>
      </c>
      <c r="I17" s="174">
        <v>0.45</v>
      </c>
      <c r="J17" s="174">
        <v>0.45</v>
      </c>
      <c r="K17" s="174">
        <v>0.45</v>
      </c>
      <c r="L17" s="174">
        <v>0.45</v>
      </c>
      <c r="M17" s="182">
        <f t="shared" ref="M17" si="2">SUMPRODUCT(E$6:L$6,E17:L17)/M$6</f>
        <v>0.45000000000000012</v>
      </c>
      <c r="Q17" s="93" t="s">
        <v>12</v>
      </c>
      <c r="R17" s="102">
        <v>0.85</v>
      </c>
      <c r="S17" s="102">
        <v>0.85</v>
      </c>
      <c r="T17" s="102">
        <v>0.75</v>
      </c>
    </row>
    <row r="18" spans="2:21">
      <c r="B18" s="169"/>
      <c r="C18" s="268"/>
      <c r="D18" s="172"/>
      <c r="E18" s="169"/>
      <c r="F18" s="169"/>
      <c r="G18" s="169"/>
      <c r="H18" s="169"/>
      <c r="I18" s="169"/>
      <c r="J18" s="169"/>
      <c r="K18" s="169"/>
      <c r="L18" s="169"/>
      <c r="Q18" s="93" t="s">
        <v>1</v>
      </c>
      <c r="R18" s="102">
        <v>0.78</v>
      </c>
      <c r="S18" s="102">
        <v>0.78</v>
      </c>
      <c r="T18" s="102">
        <v>0.68</v>
      </c>
    </row>
    <row r="19" spans="2:21">
      <c r="B19" s="372" t="s">
        <v>19</v>
      </c>
      <c r="C19" s="374" t="s">
        <v>231</v>
      </c>
      <c r="D19" s="167" t="s">
        <v>103</v>
      </c>
      <c r="E19" s="174">
        <v>1</v>
      </c>
      <c r="F19" s="174">
        <v>1</v>
      </c>
      <c r="G19" s="174">
        <v>1</v>
      </c>
      <c r="H19" s="174">
        <v>1</v>
      </c>
      <c r="I19" s="174">
        <v>1</v>
      </c>
      <c r="J19" s="174">
        <v>1</v>
      </c>
      <c r="K19" s="174">
        <v>1</v>
      </c>
      <c r="L19" s="174">
        <v>1</v>
      </c>
      <c r="M19" s="182">
        <f>SUMPRODUCT(E$6:L$6,E19:L19)/M$6</f>
        <v>1</v>
      </c>
      <c r="Q19" s="93" t="s">
        <v>2</v>
      </c>
      <c r="R19" s="102">
        <v>0.99</v>
      </c>
      <c r="S19" s="102">
        <v>0.99</v>
      </c>
      <c r="T19" s="102">
        <v>0.89</v>
      </c>
    </row>
    <row r="20" spans="2:21">
      <c r="B20" s="372"/>
      <c r="C20" s="374"/>
      <c r="D20" s="167" t="s">
        <v>105</v>
      </c>
      <c r="E20" s="174">
        <v>0.95</v>
      </c>
      <c r="F20" s="174">
        <v>0.95</v>
      </c>
      <c r="G20" s="174">
        <v>0.95</v>
      </c>
      <c r="H20" s="174">
        <v>0.95</v>
      </c>
      <c r="I20" s="174">
        <v>0.95</v>
      </c>
      <c r="J20" s="174">
        <v>0.95</v>
      </c>
      <c r="K20" s="174">
        <v>0.95</v>
      </c>
      <c r="L20" s="174">
        <v>0.95</v>
      </c>
      <c r="M20" s="182">
        <f t="shared" ref="M20:M21" si="3">SUMPRODUCT(E$6:L$6,E20:L20)/M$6</f>
        <v>0.95</v>
      </c>
      <c r="Q20" s="93" t="s">
        <v>13</v>
      </c>
      <c r="R20" s="102">
        <v>0.59</v>
      </c>
      <c r="S20" s="102">
        <v>0.59</v>
      </c>
      <c r="T20" s="102">
        <v>0.49</v>
      </c>
    </row>
    <row r="21" spans="2:21" ht="34" customHeight="1">
      <c r="B21" s="372"/>
      <c r="C21" s="374"/>
      <c r="D21" s="167" t="s">
        <v>104</v>
      </c>
      <c r="E21" s="174">
        <v>0.9</v>
      </c>
      <c r="F21" s="174">
        <v>0.9</v>
      </c>
      <c r="G21" s="174">
        <v>0.9</v>
      </c>
      <c r="H21" s="174">
        <v>0.9</v>
      </c>
      <c r="I21" s="174">
        <v>0.9</v>
      </c>
      <c r="J21" s="174">
        <v>0.9</v>
      </c>
      <c r="K21" s="174">
        <v>0.9</v>
      </c>
      <c r="L21" s="174">
        <v>0.9</v>
      </c>
      <c r="M21" s="182">
        <f t="shared" si="3"/>
        <v>0.90000000000000024</v>
      </c>
      <c r="Q21" s="93" t="s">
        <v>4</v>
      </c>
      <c r="R21" s="102">
        <v>0.78</v>
      </c>
      <c r="S21" s="102">
        <v>0.57999999999999996</v>
      </c>
      <c r="T21" s="102">
        <v>0.57999999999999996</v>
      </c>
    </row>
    <row r="22" spans="2:21">
      <c r="B22" s="169"/>
      <c r="C22" s="269"/>
      <c r="D22" s="170"/>
      <c r="E22" s="169"/>
      <c r="F22" s="169"/>
      <c r="G22" s="169"/>
      <c r="H22" s="169"/>
      <c r="I22" s="169"/>
      <c r="J22" s="169"/>
      <c r="K22" s="169"/>
      <c r="L22" s="169"/>
      <c r="Q22" s="105" t="s">
        <v>14</v>
      </c>
      <c r="R22" s="106">
        <v>0.70855330401002814</v>
      </c>
      <c r="S22" s="106">
        <v>0.71522962558045855</v>
      </c>
      <c r="T22" s="106">
        <v>0.61947513903282436</v>
      </c>
    </row>
    <row r="23" spans="2:21" ht="15" thickBot="1">
      <c r="B23" s="169"/>
      <c r="C23" s="269"/>
      <c r="D23" s="170"/>
      <c r="E23" s="169"/>
      <c r="F23" s="169"/>
      <c r="G23" s="169"/>
      <c r="H23" s="169"/>
      <c r="I23" s="169"/>
      <c r="J23" s="169"/>
      <c r="K23" s="169"/>
      <c r="L23" s="169"/>
    </row>
    <row r="24" spans="2:21" ht="14.5" customHeight="1">
      <c r="B24" s="129" t="s">
        <v>18</v>
      </c>
      <c r="C24" s="374" t="s">
        <v>236</v>
      </c>
      <c r="D24" s="175" t="s">
        <v>17</v>
      </c>
      <c r="E24" s="174">
        <f>E8*E15+E9*E16+E10*E17</f>
        <v>0.47000000000000003</v>
      </c>
      <c r="F24" s="174">
        <f>F8*F15+F9*F16+F10*F17</f>
        <v>0.45</v>
      </c>
      <c r="G24" s="174">
        <f t="shared" ref="G24:L24" si="4">G8*G15+G9*G16+G10*G17</f>
        <v>0.45</v>
      </c>
      <c r="H24" s="174">
        <f t="shared" si="4"/>
        <v>0.49649999999999994</v>
      </c>
      <c r="I24" s="174">
        <f t="shared" ref="I24" si="5">I8*I15+I9*I16+I10*I17</f>
        <v>0.45500000000000002</v>
      </c>
      <c r="J24" s="174">
        <f t="shared" si="4"/>
        <v>0.54400000000000004</v>
      </c>
      <c r="K24" s="174">
        <f t="shared" si="4"/>
        <v>0.50149999999999995</v>
      </c>
      <c r="L24" s="184">
        <f t="shared" si="4"/>
        <v>0.52500000000000002</v>
      </c>
      <c r="M24" s="185">
        <f t="shared" ref="M24:M25" si="6">SUMPRODUCT(E$6:L$6,E24:L24)/M$6</f>
        <v>0.48078356101884373</v>
      </c>
    </row>
    <row r="25" spans="2:21" ht="43.5" customHeight="1" thickBot="1">
      <c r="B25" s="129" t="s">
        <v>19</v>
      </c>
      <c r="C25" s="374"/>
      <c r="D25" s="175" t="s">
        <v>17</v>
      </c>
      <c r="E25" s="174">
        <f>E8*E19+E9*E20+E10*E21</f>
        <v>0.91500000000000004</v>
      </c>
      <c r="F25" s="174">
        <f t="shared" ref="F25:L25" si="7">F8*F19+F9*F20+F10*F21</f>
        <v>0.9</v>
      </c>
      <c r="G25" s="174">
        <f t="shared" si="7"/>
        <v>0.9</v>
      </c>
      <c r="H25" s="174">
        <f t="shared" si="7"/>
        <v>0.94300000000000006</v>
      </c>
      <c r="I25" s="174">
        <f t="shared" ref="I25" si="8">I8*I19+I9*I20+I10*I21</f>
        <v>0.90500000000000003</v>
      </c>
      <c r="J25" s="174">
        <f t="shared" si="7"/>
        <v>0.96399999999999997</v>
      </c>
      <c r="K25" s="174">
        <f t="shared" si="7"/>
        <v>0.9484999999999999</v>
      </c>
      <c r="L25" s="184">
        <f t="shared" si="7"/>
        <v>0.95</v>
      </c>
      <c r="M25" s="186">
        <f t="shared" si="6"/>
        <v>0.92452645867611971</v>
      </c>
    </row>
    <row r="26" spans="2:21" ht="15" thickBot="1">
      <c r="C26" s="270"/>
      <c r="L26" s="166"/>
      <c r="M26" s="183"/>
      <c r="N26" s="166"/>
      <c r="S26" s="166"/>
      <c r="T26" s="166"/>
      <c r="U26" s="166"/>
    </row>
    <row r="27" spans="2:21">
      <c r="B27" s="129" t="s">
        <v>18</v>
      </c>
      <c r="C27" s="374" t="s">
        <v>232</v>
      </c>
      <c r="D27" s="175" t="s">
        <v>17</v>
      </c>
      <c r="E27" s="174">
        <f>E12*E24</f>
        <v>0.30550000000000005</v>
      </c>
      <c r="F27" s="174">
        <f t="shared" ref="F27:K27" si="9">F12*F24</f>
        <v>0.29250000000000004</v>
      </c>
      <c r="G27" s="174">
        <f t="shared" si="9"/>
        <v>0.24750000000000003</v>
      </c>
      <c r="H27" s="174">
        <f t="shared" si="9"/>
        <v>0.42202499999999993</v>
      </c>
      <c r="I27" s="174">
        <f t="shared" ref="I27" si="10">I12*I24</f>
        <v>0.36400000000000005</v>
      </c>
      <c r="J27" s="174">
        <f t="shared" si="9"/>
        <v>0.50592000000000004</v>
      </c>
      <c r="K27" s="174">
        <f t="shared" si="9"/>
        <v>0.28585499999999997</v>
      </c>
      <c r="L27" s="184">
        <f>L12*L24</f>
        <v>0.40950000000000003</v>
      </c>
      <c r="M27" s="185">
        <f t="shared" ref="M27:M28" si="11">SUMPRODUCT(E$6:L$6,E27:L27)/M$6</f>
        <v>0.34336976812609077</v>
      </c>
      <c r="S27" s="166"/>
      <c r="T27" s="166"/>
      <c r="U27" s="166"/>
    </row>
    <row r="28" spans="2:21" ht="45" customHeight="1" thickBot="1">
      <c r="B28" s="129" t="s">
        <v>19</v>
      </c>
      <c r="C28" s="374"/>
      <c r="D28" s="175" t="s">
        <v>17</v>
      </c>
      <c r="E28" s="174">
        <f>E13*E25</f>
        <v>0.75487499999999996</v>
      </c>
      <c r="F28" s="174">
        <f t="shared" ref="F28:L28" si="12">F13*F25</f>
        <v>0.74249999999999994</v>
      </c>
      <c r="G28" s="174">
        <f t="shared" si="12"/>
        <v>0.65250000000000008</v>
      </c>
      <c r="H28" s="174">
        <f t="shared" si="12"/>
        <v>0.94300000000000006</v>
      </c>
      <c r="I28" s="174">
        <f t="shared" ref="I28" si="13">I13*I25</f>
        <v>0.8145</v>
      </c>
      <c r="J28" s="174">
        <f t="shared" si="12"/>
        <v>0.96399999999999997</v>
      </c>
      <c r="K28" s="174">
        <f t="shared" si="12"/>
        <v>0.70663249999999977</v>
      </c>
      <c r="L28" s="174">
        <f t="shared" si="12"/>
        <v>0.90725</v>
      </c>
      <c r="M28" s="186">
        <f t="shared" si="11"/>
        <v>0.79708105249816774</v>
      </c>
    </row>
    <row r="29" spans="2:21">
      <c r="S29" s="166"/>
      <c r="T29" s="166"/>
      <c r="U29" s="166"/>
    </row>
    <row r="31" spans="2:21" ht="14.5" customHeight="1">
      <c r="B31" s="369" t="s">
        <v>295</v>
      </c>
      <c r="C31" s="370"/>
      <c r="D31" s="370"/>
      <c r="E31" s="370"/>
      <c r="F31" s="370"/>
      <c r="G31" s="370"/>
      <c r="H31" s="370"/>
      <c r="I31" s="370"/>
      <c r="J31" s="370"/>
      <c r="K31" s="370"/>
      <c r="L31" s="370"/>
      <c r="M31" s="371"/>
    </row>
    <row r="33" spans="2:18" ht="60.5" customHeight="1">
      <c r="B33" s="372" t="s">
        <v>19</v>
      </c>
      <c r="C33" s="372"/>
      <c r="D33" s="372"/>
      <c r="E33" s="301" t="s">
        <v>288</v>
      </c>
      <c r="F33" s="301" t="s">
        <v>292</v>
      </c>
      <c r="G33" s="375" t="s">
        <v>291</v>
      </c>
      <c r="H33" s="376"/>
      <c r="I33" s="376"/>
      <c r="J33" s="376"/>
      <c r="K33" s="376"/>
      <c r="L33" s="376"/>
      <c r="M33" s="377"/>
      <c r="P33" s="166"/>
      <c r="Q33" s="166"/>
      <c r="R33" s="166"/>
    </row>
    <row r="34" spans="2:18" ht="108" customHeight="1">
      <c r="B34" s="367" t="s">
        <v>294</v>
      </c>
      <c r="C34" s="367"/>
      <c r="D34" s="367"/>
      <c r="E34" s="174">
        <v>0.25</v>
      </c>
      <c r="F34" s="174">
        <v>0.2</v>
      </c>
      <c r="G34" s="378" t="s">
        <v>285</v>
      </c>
      <c r="H34" s="379"/>
      <c r="I34" s="379"/>
      <c r="J34" s="379"/>
      <c r="K34" s="379"/>
      <c r="L34" s="379"/>
      <c r="M34" s="380"/>
      <c r="P34" s="166"/>
      <c r="Q34" s="166"/>
      <c r="R34" s="166"/>
    </row>
    <row r="35" spans="2:18">
      <c r="B35" s="367" t="s">
        <v>289</v>
      </c>
      <c r="C35" s="367"/>
      <c r="D35" s="367"/>
      <c r="E35" s="174">
        <v>0.25</v>
      </c>
      <c r="F35" s="174">
        <f>AVERAGE(F34,F36)</f>
        <v>0.32500000000000001</v>
      </c>
      <c r="G35" s="381" t="s">
        <v>287</v>
      </c>
      <c r="H35" s="382"/>
      <c r="I35" s="382"/>
      <c r="J35" s="382"/>
      <c r="K35" s="382"/>
      <c r="L35" s="382"/>
      <c r="M35" s="383"/>
      <c r="P35" s="166"/>
      <c r="Q35" s="166"/>
      <c r="R35" s="166"/>
    </row>
    <row r="36" spans="2:18" ht="15" thickBot="1">
      <c r="B36" s="367" t="s">
        <v>290</v>
      </c>
      <c r="C36" s="367"/>
      <c r="D36" s="367"/>
      <c r="E36" s="174">
        <v>0.5</v>
      </c>
      <c r="F36" s="302">
        <v>0.45</v>
      </c>
      <c r="G36" s="384" t="s">
        <v>286</v>
      </c>
      <c r="H36" s="384"/>
      <c r="I36" s="384"/>
      <c r="J36" s="384"/>
      <c r="K36" s="384"/>
      <c r="L36" s="384"/>
      <c r="M36" s="384"/>
      <c r="P36" s="166"/>
      <c r="Q36" s="166"/>
      <c r="R36" s="166"/>
    </row>
    <row r="37" spans="2:18" ht="30" customHeight="1" thickBot="1">
      <c r="B37" s="368" t="s">
        <v>17</v>
      </c>
      <c r="C37" s="368"/>
      <c r="D37" s="368"/>
      <c r="E37" s="184">
        <f>SUM(E34:E36)</f>
        <v>1</v>
      </c>
      <c r="F37" s="303" cm="1">
        <f t="array" ref="F37">MMULT(TRANSPOSE(E34:E36),F34:F36)</f>
        <v>0.35625000000000001</v>
      </c>
      <c r="G37" s="362" t="s">
        <v>307</v>
      </c>
      <c r="H37" s="363"/>
      <c r="I37" s="363"/>
      <c r="J37" s="363"/>
      <c r="K37" s="363"/>
      <c r="L37" s="363"/>
      <c r="M37" s="364"/>
      <c r="P37" s="166"/>
      <c r="Q37" s="166"/>
      <c r="R37" s="166"/>
    </row>
    <row r="38" spans="2:18">
      <c r="D38"/>
      <c r="M38"/>
      <c r="P38" s="166"/>
      <c r="Q38" s="166"/>
      <c r="R38" s="166"/>
    </row>
    <row r="39" spans="2:18">
      <c r="O39" s="298"/>
      <c r="P39" s="166"/>
      <c r="Q39" s="166"/>
      <c r="R39" s="166"/>
    </row>
    <row r="40" spans="2:18">
      <c r="B40" s="365" t="s">
        <v>296</v>
      </c>
      <c r="C40" s="365"/>
      <c r="D40" s="365"/>
      <c r="E40" s="365"/>
      <c r="F40" s="365"/>
      <c r="G40" s="365"/>
      <c r="H40" s="365"/>
      <c r="I40" s="365"/>
      <c r="J40" s="365"/>
      <c r="K40" s="365"/>
      <c r="L40" s="365"/>
      <c r="M40" s="365"/>
      <c r="P40" s="166"/>
      <c r="Q40" s="166"/>
      <c r="R40" s="166"/>
    </row>
    <row r="41" spans="2:18">
      <c r="B41" s="366" t="s">
        <v>297</v>
      </c>
      <c r="C41" s="366"/>
      <c r="D41" s="366"/>
      <c r="E41" s="366"/>
      <c r="F41" s="366"/>
      <c r="G41" s="366"/>
      <c r="H41" s="366"/>
      <c r="I41" s="366"/>
      <c r="J41" s="366"/>
      <c r="K41" s="366"/>
      <c r="L41" s="366"/>
      <c r="M41" s="366"/>
      <c r="P41" s="166"/>
      <c r="Q41" s="166"/>
      <c r="R41" s="166"/>
    </row>
    <row r="42" spans="2:18">
      <c r="C42" s="166"/>
      <c r="D42" s="166"/>
      <c r="M42"/>
      <c r="P42" s="166"/>
      <c r="Q42" s="166"/>
      <c r="R42" s="166"/>
    </row>
    <row r="43" spans="2:18">
      <c r="C43" s="166"/>
      <c r="D43" s="166"/>
      <c r="M43"/>
      <c r="P43" s="166"/>
      <c r="Q43" s="166"/>
      <c r="R43" s="166"/>
    </row>
    <row r="44" spans="2:18">
      <c r="C44" s="166"/>
      <c r="D44" s="166"/>
      <c r="M44"/>
      <c r="P44" s="166"/>
      <c r="Q44" s="166"/>
      <c r="R44" s="166"/>
    </row>
    <row r="45" spans="2:18">
      <c r="C45" s="166"/>
      <c r="D45" s="166"/>
      <c r="M45"/>
      <c r="P45" s="166"/>
      <c r="Q45" s="166"/>
      <c r="R45" s="166"/>
    </row>
    <row r="46" spans="2:18">
      <c r="C46" s="166"/>
      <c r="D46" s="166"/>
      <c r="M46"/>
      <c r="P46" s="166"/>
      <c r="Q46" s="166"/>
      <c r="R46" s="166"/>
    </row>
    <row r="47" spans="2:18">
      <c r="C47" s="166"/>
      <c r="D47" s="166"/>
      <c r="M47"/>
      <c r="P47" s="166"/>
      <c r="Q47" s="166"/>
      <c r="R47" s="166"/>
    </row>
    <row r="48" spans="2:18">
      <c r="C48" s="166"/>
      <c r="D48" s="166"/>
      <c r="M48"/>
      <c r="P48" s="166"/>
      <c r="Q48" s="166"/>
      <c r="R48" s="166"/>
    </row>
    <row r="49" spans="3:18">
      <c r="C49" s="166"/>
      <c r="D49" s="166"/>
      <c r="M49"/>
      <c r="P49" s="166"/>
      <c r="Q49" s="166"/>
      <c r="R49" s="166"/>
    </row>
    <row r="50" spans="3:18">
      <c r="C50" s="166"/>
      <c r="D50" s="166"/>
      <c r="E50" s="166"/>
      <c r="F50" s="166"/>
      <c r="M50"/>
      <c r="O50" s="166"/>
      <c r="P50" s="166"/>
      <c r="Q50" s="166"/>
      <c r="R50" s="166"/>
    </row>
    <row r="51" spans="3:18"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</row>
  </sheetData>
  <mergeCells count="27">
    <mergeCell ref="Q10:T11"/>
    <mergeCell ref="C27:C28"/>
    <mergeCell ref="C24:C25"/>
    <mergeCell ref="C13:D13"/>
    <mergeCell ref="C6:D6"/>
    <mergeCell ref="C8:D8"/>
    <mergeCell ref="C9:D9"/>
    <mergeCell ref="C10:D10"/>
    <mergeCell ref="C12:D12"/>
    <mergeCell ref="B2:M2"/>
    <mergeCell ref="B31:M31"/>
    <mergeCell ref="B33:D33"/>
    <mergeCell ref="B34:D34"/>
    <mergeCell ref="B36:D36"/>
    <mergeCell ref="B15:B17"/>
    <mergeCell ref="C15:C17"/>
    <mergeCell ref="C19:C21"/>
    <mergeCell ref="B19:B21"/>
    <mergeCell ref="G33:M33"/>
    <mergeCell ref="G34:M34"/>
    <mergeCell ref="G35:M35"/>
    <mergeCell ref="G36:M36"/>
    <mergeCell ref="G37:M37"/>
    <mergeCell ref="B40:M40"/>
    <mergeCell ref="B41:M41"/>
    <mergeCell ref="B35:D35"/>
    <mergeCell ref="B37:D37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3DB84B"/>
  </sheetPr>
  <dimension ref="A1:AL163"/>
  <sheetViews>
    <sheetView tabSelected="1" topLeftCell="K118" zoomScale="115" zoomScaleNormal="115" workbookViewId="0">
      <selection activeCell="V125" sqref="V125"/>
    </sheetView>
  </sheetViews>
  <sheetFormatPr baseColWidth="10" defaultRowHeight="14.5"/>
  <cols>
    <col min="1" max="1" width="19.08984375" customWidth="1"/>
    <col min="2" max="2" width="12.453125" bestFit="1" customWidth="1"/>
    <col min="24" max="24" width="14.1796875" customWidth="1"/>
  </cols>
  <sheetData>
    <row r="1" spans="1:29">
      <c r="A1" s="393" t="s">
        <v>116</v>
      </c>
      <c r="B1" s="393"/>
      <c r="C1" s="393"/>
      <c r="D1" s="393"/>
      <c r="E1" s="393"/>
      <c r="F1" s="393"/>
      <c r="G1" s="393"/>
      <c r="H1" s="393"/>
      <c r="I1" s="393"/>
      <c r="J1" s="393"/>
      <c r="K1" s="393"/>
      <c r="L1" s="393"/>
      <c r="M1" s="393"/>
      <c r="N1" s="393"/>
      <c r="O1" s="192"/>
      <c r="P1" s="393" t="s">
        <v>117</v>
      </c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</row>
    <row r="2" spans="1:29">
      <c r="A2" s="393"/>
      <c r="B2" s="393"/>
      <c r="C2" s="393"/>
      <c r="D2" s="393"/>
      <c r="E2" s="393"/>
      <c r="F2" s="393"/>
      <c r="G2" s="393"/>
      <c r="H2" s="393"/>
      <c r="I2" s="393"/>
      <c r="J2" s="393"/>
      <c r="K2" s="393"/>
      <c r="L2" s="393"/>
      <c r="M2" s="393"/>
      <c r="N2" s="393"/>
      <c r="O2" s="192"/>
      <c r="P2" s="393"/>
      <c r="Q2" s="393"/>
      <c r="R2" s="393"/>
      <c r="S2" s="393"/>
      <c r="T2" s="393"/>
      <c r="U2" s="393"/>
      <c r="V2" s="393"/>
      <c r="W2" s="393"/>
      <c r="X2" s="393"/>
      <c r="Y2" s="393"/>
      <c r="Z2" s="393"/>
      <c r="AA2" s="393"/>
      <c r="AB2" s="393"/>
      <c r="AC2" s="393"/>
    </row>
    <row r="3" spans="1:29" ht="14.5" customHeight="1">
      <c r="A3" s="390" t="s">
        <v>208</v>
      </c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  <c r="O3" s="192"/>
      <c r="P3" s="390" t="s">
        <v>208</v>
      </c>
      <c r="Q3" s="390"/>
      <c r="R3" s="390"/>
      <c r="S3" s="390"/>
      <c r="T3" s="390"/>
      <c r="U3" s="390"/>
      <c r="V3" s="390"/>
      <c r="W3" s="390"/>
      <c r="X3" s="390"/>
      <c r="Y3" s="390"/>
      <c r="Z3" s="390"/>
      <c r="AA3" s="390"/>
      <c r="AB3" s="390"/>
      <c r="AC3" s="390"/>
    </row>
    <row r="4" spans="1:29" ht="14.5" customHeight="1">
      <c r="A4" s="390"/>
      <c r="B4" s="390"/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192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/>
      <c r="AC4" s="390"/>
    </row>
    <row r="5" spans="1:29">
      <c r="O5" s="192"/>
    </row>
    <row r="6" spans="1:29">
      <c r="O6" s="192"/>
    </row>
    <row r="7" spans="1:29">
      <c r="A7" s="58"/>
      <c r="B7" s="345" t="s">
        <v>66</v>
      </c>
      <c r="C7" s="346"/>
      <c r="D7" s="346"/>
      <c r="E7" s="346"/>
      <c r="F7" s="347"/>
      <c r="O7" s="192"/>
      <c r="X7" s="58"/>
      <c r="Y7" s="345" t="s">
        <v>226</v>
      </c>
      <c r="Z7" s="346"/>
      <c r="AA7" s="346"/>
      <c r="AB7" s="346"/>
      <c r="AC7" s="347"/>
    </row>
    <row r="8" spans="1:29">
      <c r="A8" s="8" t="s">
        <v>27</v>
      </c>
      <c r="B8" s="9"/>
      <c r="C8" s="9">
        <v>2020</v>
      </c>
      <c r="D8" s="9">
        <v>2030</v>
      </c>
      <c r="E8" s="9">
        <v>2040</v>
      </c>
      <c r="F8" s="9">
        <v>2050</v>
      </c>
      <c r="O8" s="192"/>
      <c r="X8" s="8" t="s">
        <v>27</v>
      </c>
      <c r="Y8" s="9"/>
      <c r="Z8" s="9">
        <v>2020</v>
      </c>
      <c r="AA8" s="9">
        <v>2030</v>
      </c>
      <c r="AB8" s="9">
        <v>2040</v>
      </c>
      <c r="AC8" s="9">
        <v>2050</v>
      </c>
    </row>
    <row r="9" spans="1:29">
      <c r="A9" t="s">
        <v>0</v>
      </c>
      <c r="B9" s="83" t="s">
        <v>111</v>
      </c>
      <c r="C9" s="189">
        <f>'Bureaux - AME'!H8</f>
        <v>0</v>
      </c>
      <c r="D9" s="189">
        <f>'Bureaux - AME'!I8</f>
        <v>6206.4099090819345</v>
      </c>
      <c r="E9" s="189">
        <f>'Bureaux - AME'!J8</f>
        <v>5879.5621355871563</v>
      </c>
      <c r="F9" s="189">
        <f>'Bureaux - AME'!K8</f>
        <v>5560.3891129297026</v>
      </c>
      <c r="O9" s="192"/>
      <c r="X9" t="s">
        <v>0</v>
      </c>
      <c r="Y9" s="83" t="s">
        <v>111</v>
      </c>
      <c r="Z9" s="189">
        <f>'Bureaux - AMS'!H8</f>
        <v>0</v>
      </c>
      <c r="AA9" s="189">
        <f>'Bureaux - AMS'!I8</f>
        <v>6206.4099090819345</v>
      </c>
      <c r="AB9" s="189">
        <f>'Bureaux - AMS'!J8</f>
        <v>5590.6991567017767</v>
      </c>
      <c r="AC9" s="189">
        <f>'Bureaux - AMS'!K8</f>
        <v>5027.4465423224901</v>
      </c>
    </row>
    <row r="10" spans="1:29">
      <c r="B10" s="83" t="s">
        <v>110</v>
      </c>
      <c r="C10" s="189">
        <f>'Bureaux - AME'!H9</f>
        <v>287333.79208712658</v>
      </c>
      <c r="D10" s="189">
        <f>'Bureaux - AME'!I9</f>
        <v>265995.54081254563</v>
      </c>
      <c r="E10" s="189">
        <f>'Bureaux - AME'!J9</f>
        <v>251545.85975930648</v>
      </c>
      <c r="F10" s="189">
        <f>'Bureaux - AME'!K9</f>
        <v>232641.65403225808</v>
      </c>
      <c r="O10" s="192"/>
      <c r="Y10" s="83" t="s">
        <v>110</v>
      </c>
      <c r="Z10" s="189">
        <f>'Bureaux - AMS'!H9</f>
        <v>287333.79208712658</v>
      </c>
      <c r="AA10" s="189">
        <f>'Bureaux - AMS'!I9</f>
        <v>252622.25475303738</v>
      </c>
      <c r="AB10" s="189">
        <f>'Bureaux - AMS'!J9</f>
        <v>227161.45558045057</v>
      </c>
      <c r="AC10" s="189">
        <f>'Bureaux - AMS'!K9</f>
        <v>199762.62504678449</v>
      </c>
    </row>
    <row r="11" spans="1:29">
      <c r="A11" t="s">
        <v>51</v>
      </c>
      <c r="B11" s="83" t="s">
        <v>111</v>
      </c>
      <c r="C11" s="189">
        <f>'CaHoREs - AME'!H8</f>
        <v>0</v>
      </c>
      <c r="D11" s="189">
        <f>'CaHoREs - AME'!I8</f>
        <v>2538.4223705281875</v>
      </c>
      <c r="E11" s="189">
        <f>'CaHoREs - AME'!J8</f>
        <v>2455.4142509161229</v>
      </c>
      <c r="F11" s="189">
        <f>'CaHoREs - AME'!K8</f>
        <v>1968.3972676496044</v>
      </c>
      <c r="O11" s="192"/>
      <c r="X11" t="s">
        <v>51</v>
      </c>
      <c r="Y11" s="83" t="s">
        <v>111</v>
      </c>
      <c r="Z11" s="189">
        <f>'CaHoREs - AMS'!H8</f>
        <v>0</v>
      </c>
      <c r="AA11" s="189">
        <f>'CaHoREs - AMS'!I8</f>
        <v>2538.4223705281875</v>
      </c>
      <c r="AB11" s="189">
        <f>'CaHoREs - AMS'!J8</f>
        <v>2455.4142509161229</v>
      </c>
      <c r="AC11" s="189">
        <f>'CaHoREs - AMS'!K8</f>
        <v>1968.3972676496044</v>
      </c>
    </row>
    <row r="12" spans="1:29">
      <c r="B12" s="83" t="s">
        <v>110</v>
      </c>
      <c r="C12" s="189">
        <f>'CaHoREs - AME'!H9</f>
        <v>67243.869415029592</v>
      </c>
      <c r="D12" s="189">
        <f>'CaHoREs - AME'!I9</f>
        <v>65307.245975876736</v>
      </c>
      <c r="E12" s="189">
        <f>'CaHoREs - AME'!J9</f>
        <v>65891.713098028471</v>
      </c>
      <c r="F12" s="189">
        <f>'CaHoREs - AME'!K9</f>
        <v>65411.016510782065</v>
      </c>
      <c r="O12" s="192"/>
      <c r="Y12" s="83" t="s">
        <v>110</v>
      </c>
      <c r="Z12" s="189">
        <f>'CaHoREs - AMS'!H9</f>
        <v>67243.869415029592</v>
      </c>
      <c r="AA12" s="189">
        <f>'CaHoREs - AMS'!I9</f>
        <v>65307.245975876736</v>
      </c>
      <c r="AB12" s="189">
        <f>'CaHoREs - AMS'!J9</f>
        <v>65891.713098028471</v>
      </c>
      <c r="AC12" s="189">
        <f>'CaHoREs - AMS'!K9</f>
        <v>65411.016510782065</v>
      </c>
    </row>
    <row r="13" spans="1:29">
      <c r="A13" t="s">
        <v>3</v>
      </c>
      <c r="B13" s="83" t="s">
        <v>111</v>
      </c>
      <c r="C13" s="189">
        <f>'Commerce - AME'!H8</f>
        <v>0</v>
      </c>
      <c r="D13" s="189">
        <f>'Commerce - AME'!I8</f>
        <v>8548.2555376449054</v>
      </c>
      <c r="E13" s="189">
        <f>'Commerce - AME'!J8</f>
        <v>8509.5989406365734</v>
      </c>
      <c r="F13" s="189">
        <f>'Commerce - AME'!K8</f>
        <v>8456.4844883645164</v>
      </c>
      <c r="O13" s="192"/>
      <c r="X13" t="s">
        <v>3</v>
      </c>
      <c r="Y13" s="83" t="s">
        <v>111</v>
      </c>
      <c r="Z13" s="189">
        <f>'Commerce - AMS'!H8</f>
        <v>0</v>
      </c>
      <c r="AA13" s="189">
        <f>'Commerce - AMS'!I8</f>
        <v>8548.2555376449054</v>
      </c>
      <c r="AB13" s="189">
        <f>'Commerce - AMS'!J8</f>
        <v>8509.5989406365734</v>
      </c>
      <c r="AC13" s="189">
        <f>'Commerce - AMS'!K8</f>
        <v>8456.4844883645164</v>
      </c>
    </row>
    <row r="14" spans="1:29">
      <c r="B14" s="83" t="s">
        <v>110</v>
      </c>
      <c r="C14" s="189">
        <f>'Commerce - AME'!H9</f>
        <v>184229.64520786435</v>
      </c>
      <c r="D14" s="189">
        <f>'Commerce - AME'!I9</f>
        <v>174848.27335538471</v>
      </c>
      <c r="E14" s="189">
        <f>'Commerce - AME'!J9</f>
        <v>173742.22192928832</v>
      </c>
      <c r="F14" s="189">
        <f>'Commerce - AME'!K9</f>
        <v>168750.04546033838</v>
      </c>
      <c r="O14" s="192"/>
      <c r="Y14" s="83" t="s">
        <v>110</v>
      </c>
      <c r="Z14" s="189">
        <f>'Commerce - AMS'!H9</f>
        <v>184229.64520786435</v>
      </c>
      <c r="AA14" s="189">
        <f>'Commerce - AMS'!I9</f>
        <v>174848.27335538471</v>
      </c>
      <c r="AB14" s="189">
        <f>'Commerce - AMS'!J9</f>
        <v>173742.22192928832</v>
      </c>
      <c r="AC14" s="189">
        <f>'Commerce - AMS'!K9</f>
        <v>168750.04546033838</v>
      </c>
    </row>
    <row r="15" spans="1:29">
      <c r="A15" t="s">
        <v>45</v>
      </c>
      <c r="B15" s="83" t="s">
        <v>111</v>
      </c>
      <c r="C15" s="189">
        <f>'Enseignement - AME'!H8</f>
        <v>0</v>
      </c>
      <c r="D15" s="189">
        <f>'Enseignement - AME'!I8</f>
        <v>3362.5337122163387</v>
      </c>
      <c r="E15" s="189">
        <f>'Enseignement - AME'!J8</f>
        <v>3313.9340429367594</v>
      </c>
      <c r="F15" s="189">
        <f>'Enseignement - AME'!K8</f>
        <v>3259.1536075350923</v>
      </c>
      <c r="O15" s="192"/>
      <c r="X15" t="s">
        <v>45</v>
      </c>
      <c r="Y15" s="83" t="s">
        <v>111</v>
      </c>
      <c r="Z15" s="189">
        <f>'Enseignement - AMS'!H8</f>
        <v>0</v>
      </c>
      <c r="AA15" s="189">
        <f>'Enseignement - AMS'!I8</f>
        <v>3362.5337122163387</v>
      </c>
      <c r="AB15" s="189">
        <f>'Enseignement - AMS'!J8</f>
        <v>3313.9340429367594</v>
      </c>
      <c r="AC15" s="189">
        <f>'Enseignement - AMS'!K8</f>
        <v>3259.1536075350923</v>
      </c>
    </row>
    <row r="16" spans="1:29">
      <c r="B16" s="83" t="s">
        <v>110</v>
      </c>
      <c r="C16" s="189">
        <f>'Enseignement - AME'!H9</f>
        <v>167106.71056882737</v>
      </c>
      <c r="D16" s="189">
        <f>'Enseignement - AME'!I9</f>
        <v>161328.9353860087</v>
      </c>
      <c r="E16" s="189">
        <f>'Enseignement - AME'!J9</f>
        <v>158655.13012288776</v>
      </c>
      <c r="F16" s="189">
        <f>'Enseignement - AME'!K9</f>
        <v>152532.73542913087</v>
      </c>
      <c r="O16" s="192"/>
      <c r="Y16" s="83" t="s">
        <v>110</v>
      </c>
      <c r="Z16" s="189">
        <f>'Enseignement - AMS'!H9</f>
        <v>167106.71056882737</v>
      </c>
      <c r="AA16" s="189">
        <f>'Enseignement - AMS'!I9</f>
        <v>161328.9353860087</v>
      </c>
      <c r="AB16" s="189">
        <f>'Enseignement - AMS'!J9</f>
        <v>158655.13012288776</v>
      </c>
      <c r="AC16" s="189">
        <f>'Enseignement - AMS'!K9</f>
        <v>152532.73542913087</v>
      </c>
    </row>
    <row r="17" spans="1:29">
      <c r="A17" t="s">
        <v>47</v>
      </c>
      <c r="B17" s="83" t="s">
        <v>111</v>
      </c>
      <c r="C17" s="189">
        <f>'Santé social - AME'!H8</f>
        <v>0</v>
      </c>
      <c r="D17" s="189">
        <f>'Santé social - AME'!I8</f>
        <v>16775.217201482246</v>
      </c>
      <c r="E17" s="189">
        <f>'Santé social - AME'!J8</f>
        <v>16977.546779760014</v>
      </c>
      <c r="F17" s="189">
        <f>'Santé social - AME'!K8</f>
        <v>12844.582647852752</v>
      </c>
      <c r="O17" s="192"/>
      <c r="X17" t="s">
        <v>47</v>
      </c>
      <c r="Y17" s="83" t="s">
        <v>111</v>
      </c>
      <c r="Z17" s="189">
        <f>'Santé social - AMS'!H8</f>
        <v>0</v>
      </c>
      <c r="AA17" s="189">
        <f>'Santé social - AMS'!I8</f>
        <v>16775.217201482246</v>
      </c>
      <c r="AB17" s="189">
        <f>'Santé social - AMS'!J8</f>
        <v>16977.546779760014</v>
      </c>
      <c r="AC17" s="189">
        <f>'Santé social - AMS'!K8</f>
        <v>12844.582647852752</v>
      </c>
    </row>
    <row r="18" spans="1:29">
      <c r="B18" s="83" t="s">
        <v>110</v>
      </c>
      <c r="C18" s="189">
        <f>'Santé social - AME'!H9</f>
        <v>179200.208348585</v>
      </c>
      <c r="D18" s="189">
        <f>'Santé social - AME'!I9</f>
        <v>174566.35174712935</v>
      </c>
      <c r="E18" s="189">
        <f>'Santé social - AME'!J9</f>
        <v>186393.75443111575</v>
      </c>
      <c r="F18" s="189">
        <f>'Santé social - AME'!K9</f>
        <v>198112.41532370384</v>
      </c>
      <c r="O18" s="192"/>
      <c r="Y18" s="83" t="s">
        <v>110</v>
      </c>
      <c r="Z18" s="189">
        <f>'Santé social - AMS'!H9</f>
        <v>179200.208348585</v>
      </c>
      <c r="AA18" s="189">
        <f>'Santé social - AMS'!I9</f>
        <v>174566.35174712935</v>
      </c>
      <c r="AB18" s="189">
        <f>'Santé social - AMS'!J9</f>
        <v>186393.75443111575</v>
      </c>
      <c r="AC18" s="189">
        <f>'Santé social - AMS'!K9</f>
        <v>198112.41532370384</v>
      </c>
    </row>
    <row r="19" spans="1:29">
      <c r="A19" t="s">
        <v>46</v>
      </c>
      <c r="B19" s="83" t="s">
        <v>111</v>
      </c>
      <c r="C19" s="189">
        <f>'Sport Loisir Culture - AME'!H8</f>
        <v>0</v>
      </c>
      <c r="D19" s="189">
        <f>'Sport Loisir Culture - AME'!I8</f>
        <v>1642.7890950831008</v>
      </c>
      <c r="E19" s="189">
        <f>'Sport Loisir Culture - AME'!J8</f>
        <v>1568.644542901045</v>
      </c>
      <c r="F19" s="189">
        <f>'Sport Loisir Culture - AME'!K8</f>
        <v>1155.7225806114329</v>
      </c>
      <c r="O19" s="192"/>
      <c r="X19" t="s">
        <v>46</v>
      </c>
      <c r="Y19" s="83" t="s">
        <v>111</v>
      </c>
      <c r="Z19" s="189">
        <f>'Sport Loisir Culture - AMS'!H8</f>
        <v>0</v>
      </c>
      <c r="AA19" s="189">
        <f>'Sport Loisir Culture - AMS'!I8</f>
        <v>1642.7890950831008</v>
      </c>
      <c r="AB19" s="189">
        <f>'Sport Loisir Culture - AMS'!J8</f>
        <v>1568.644542901045</v>
      </c>
      <c r="AC19" s="189">
        <f>'Sport Loisir Culture - AMS'!K8</f>
        <v>1155.7225806114329</v>
      </c>
    </row>
    <row r="20" spans="1:29">
      <c r="B20" s="83" t="s">
        <v>110</v>
      </c>
      <c r="C20" s="189">
        <f>'Sport Loisir Culture - AME'!H9</f>
        <v>56508.434021496716</v>
      </c>
      <c r="D20" s="189">
        <f>'Sport Loisir Culture - AME'!I9</f>
        <v>55371.367091179913</v>
      </c>
      <c r="E20" s="189">
        <f>'Sport Loisir Culture - AME'!J9</f>
        <v>55866.913076771518</v>
      </c>
      <c r="F20" s="189">
        <f>'Sport Loisir Culture - AME'!K9</f>
        <v>55466.61624414727</v>
      </c>
      <c r="O20" s="192"/>
      <c r="Y20" s="83" t="s">
        <v>110</v>
      </c>
      <c r="Z20" s="189">
        <f>'Sport Loisir Culture - AMS'!H9</f>
        <v>56508.434021496716</v>
      </c>
      <c r="AA20" s="189">
        <f>'Sport Loisir Culture - AMS'!I9</f>
        <v>55371.367091179913</v>
      </c>
      <c r="AB20" s="189">
        <f>'Sport Loisir Culture - AMS'!J9</f>
        <v>55866.913076771518</v>
      </c>
      <c r="AC20" s="189">
        <f>'Sport Loisir Culture - AMS'!K9</f>
        <v>55466.61624414727</v>
      </c>
    </row>
    <row r="21" spans="1:29">
      <c r="A21" t="s">
        <v>4</v>
      </c>
      <c r="B21" s="83" t="s">
        <v>111</v>
      </c>
      <c r="C21" s="189">
        <f>'Transport - AME'!H8</f>
        <v>0</v>
      </c>
      <c r="D21" s="189">
        <f>'Transport - AME'!I8</f>
        <v>1461.3994615530548</v>
      </c>
      <c r="E21" s="189">
        <f>'Transport - AME'!J8</f>
        <v>1408.7342765387548</v>
      </c>
      <c r="F21" s="189">
        <f>'Transport - AME'!K8</f>
        <v>1105.016869340491</v>
      </c>
      <c r="O21" s="192"/>
      <c r="X21" t="s">
        <v>4</v>
      </c>
      <c r="Y21" s="83" t="s">
        <v>111</v>
      </c>
      <c r="Z21" s="189">
        <f>'Transport - AMS'!H8</f>
        <v>0</v>
      </c>
      <c r="AA21" s="189">
        <f>'Transport - AMS'!I8</f>
        <v>1461.3994615530548</v>
      </c>
      <c r="AB21" s="189">
        <f>'Transport - AMS'!J8</f>
        <v>1408.7342765387548</v>
      </c>
      <c r="AC21" s="189">
        <f>'Transport - AMS'!K8</f>
        <v>1105.016869340491</v>
      </c>
    </row>
    <row r="22" spans="1:29">
      <c r="B22" s="83" t="s">
        <v>110</v>
      </c>
      <c r="C22" s="189">
        <f>'Transport - AME'!H9</f>
        <v>41814.604215450461</v>
      </c>
      <c r="D22" s="189">
        <f>'Transport - AME'!I9</f>
        <v>40727.42450584875</v>
      </c>
      <c r="E22" s="189">
        <f>'Transport - AME'!J9</f>
        <v>41091.914544249361</v>
      </c>
      <c r="F22" s="189">
        <f>'Transport - AME'!K9</f>
        <v>40793.873600880826</v>
      </c>
      <c r="O22" s="192"/>
      <c r="Y22" s="83" t="s">
        <v>110</v>
      </c>
      <c r="Z22" s="189">
        <f>'Transport - AMS'!H9</f>
        <v>41814.604215450461</v>
      </c>
      <c r="AA22" s="189">
        <f>'Transport - AMS'!I9</f>
        <v>40727.42450584875</v>
      </c>
      <c r="AB22" s="189">
        <f>'Transport - AMS'!J9</f>
        <v>41091.914544249361</v>
      </c>
      <c r="AC22" s="189">
        <f>'Transport - AMS'!K9</f>
        <v>40793.873600880826</v>
      </c>
    </row>
    <row r="23" spans="1:29">
      <c r="A23" t="s">
        <v>17</v>
      </c>
      <c r="B23" s="83" t="s">
        <v>111</v>
      </c>
      <c r="C23" s="189">
        <f>C9+C11+C13+C15+C17+C19+C21</f>
        <v>0</v>
      </c>
      <c r="D23" s="189">
        <f t="shared" ref="D23:F24" si="0">D9+D11+D13+D15+D17+D19+D21</f>
        <v>40535.027287589772</v>
      </c>
      <c r="E23" s="189">
        <f t="shared" si="0"/>
        <v>40113.434969276423</v>
      </c>
      <c r="F23" s="189">
        <f t="shared" si="0"/>
        <v>34349.746574283592</v>
      </c>
      <c r="O23" s="192"/>
      <c r="X23" t="s">
        <v>17</v>
      </c>
      <c r="Y23" s="83" t="s">
        <v>111</v>
      </c>
      <c r="Z23" s="189">
        <f>Z9+Z11+Z13+Z15+Z17+Z19+Z21</f>
        <v>0</v>
      </c>
      <c r="AA23" s="189">
        <f t="shared" ref="AA23:AC24" si="1">AA9+AA11+AA13+AA15+AA17+AA19+AA21</f>
        <v>40535.027287589772</v>
      </c>
      <c r="AB23" s="189">
        <f t="shared" si="1"/>
        <v>39824.571990391036</v>
      </c>
      <c r="AC23" s="189">
        <f t="shared" si="1"/>
        <v>33816.804003676378</v>
      </c>
    </row>
    <row r="24" spans="1:29">
      <c r="B24" s="83" t="s">
        <v>110</v>
      </c>
      <c r="C24" s="189">
        <f>C10+C12+C14+C16+C18+C20+C22</f>
        <v>983437.26386437996</v>
      </c>
      <c r="D24" s="189">
        <f t="shared" si="0"/>
        <v>938145.13887397386</v>
      </c>
      <c r="E24" s="189">
        <f t="shared" si="0"/>
        <v>933187.50696164765</v>
      </c>
      <c r="F24" s="189">
        <f t="shared" si="0"/>
        <v>913708.35660124128</v>
      </c>
      <c r="O24" s="192"/>
      <c r="Y24" s="83" t="s">
        <v>110</v>
      </c>
      <c r="Z24" s="189">
        <f>Z10+Z12+Z14+Z16+Z18+Z20+Z22</f>
        <v>983437.26386437996</v>
      </c>
      <c r="AA24" s="189">
        <f t="shared" si="1"/>
        <v>924771.85281446553</v>
      </c>
      <c r="AB24" s="189">
        <f t="shared" si="1"/>
        <v>908803.10278279171</v>
      </c>
      <c r="AC24" s="189">
        <f t="shared" si="1"/>
        <v>880829.32761576772</v>
      </c>
    </row>
    <row r="25" spans="1:29">
      <c r="B25" s="189"/>
      <c r="C25" s="189"/>
      <c r="D25" s="189"/>
      <c r="E25" s="189"/>
      <c r="F25" s="189"/>
      <c r="O25" s="192"/>
      <c r="Y25" s="189"/>
      <c r="Z25" s="189"/>
      <c r="AA25" s="189">
        <f>AA24*0.4/7</f>
        <v>52844.105875112313</v>
      </c>
      <c r="AB25" s="189"/>
      <c r="AC25" s="189">
        <f>AC24*0.3/10</f>
        <v>26424.879828473029</v>
      </c>
    </row>
    <row r="26" spans="1:29">
      <c r="B26" s="189"/>
      <c r="C26" s="189"/>
      <c r="D26" s="189"/>
      <c r="E26" s="189"/>
      <c r="F26" s="189"/>
      <c r="O26" s="192"/>
      <c r="Y26" s="189"/>
      <c r="Z26" s="189"/>
      <c r="AA26" s="189"/>
      <c r="AB26" s="189"/>
      <c r="AC26" s="189"/>
    </row>
    <row r="27" spans="1:29">
      <c r="A27" s="391" t="s">
        <v>113</v>
      </c>
      <c r="B27" s="392"/>
      <c r="C27" s="392"/>
      <c r="D27" s="392"/>
      <c r="E27" s="392"/>
      <c r="F27" s="189"/>
      <c r="O27" s="192"/>
      <c r="X27" s="391" t="s">
        <v>227</v>
      </c>
      <c r="Y27" s="392"/>
      <c r="Z27" s="392"/>
      <c r="AA27" s="392"/>
      <c r="AB27" s="392"/>
      <c r="AC27" s="189"/>
    </row>
    <row r="28" spans="1:29">
      <c r="A28" s="8" t="s">
        <v>214</v>
      </c>
      <c r="B28" s="9">
        <v>2020</v>
      </c>
      <c r="C28" s="9">
        <v>2030</v>
      </c>
      <c r="D28" s="9">
        <v>2040</v>
      </c>
      <c r="E28" s="9">
        <v>2050</v>
      </c>
      <c r="F28" s="189"/>
      <c r="O28" s="192"/>
      <c r="X28" s="8" t="s">
        <v>214</v>
      </c>
      <c r="Y28" s="9">
        <v>2020</v>
      </c>
      <c r="Z28" s="9">
        <v>2030</v>
      </c>
      <c r="AA28" s="9">
        <v>2040</v>
      </c>
      <c r="AB28" s="9">
        <v>2050</v>
      </c>
      <c r="AC28" s="189"/>
    </row>
    <row r="29" spans="1:29">
      <c r="A29" s="125" t="s">
        <v>207</v>
      </c>
      <c r="B29" s="86">
        <f>B76</f>
        <v>112000</v>
      </c>
      <c r="C29" s="86">
        <f t="shared" ref="C29:E29" si="2">C76</f>
        <v>87959.011379100833</v>
      </c>
      <c r="D29" s="86">
        <f t="shared" si="2"/>
        <v>78099.040432820562</v>
      </c>
      <c r="E29" s="86">
        <f t="shared" si="2"/>
        <v>67468.405968677718</v>
      </c>
      <c r="F29" s="189"/>
      <c r="O29" s="192"/>
      <c r="X29" s="125" t="s">
        <v>207</v>
      </c>
      <c r="Y29" s="86">
        <f>Y64</f>
        <v>103969.31000448181</v>
      </c>
      <c r="Z29" s="86">
        <f t="shared" ref="Z29:AB29" si="3">Z64</f>
        <v>77033.484539567493</v>
      </c>
      <c r="AA29" s="86">
        <f t="shared" si="3"/>
        <v>59332.361604267106</v>
      </c>
      <c r="AB29" s="86">
        <f t="shared" si="3"/>
        <v>46386.510848819322</v>
      </c>
      <c r="AC29" s="189"/>
    </row>
    <row r="30" spans="1:29">
      <c r="A30" s="125" t="s">
        <v>215</v>
      </c>
      <c r="B30" s="86">
        <f>B120</f>
        <v>149878.94190793534</v>
      </c>
      <c r="C30" s="86">
        <f t="shared" ref="C30:E30" si="4">C120</f>
        <v>149524.47597301926</v>
      </c>
      <c r="D30" s="86">
        <f t="shared" si="4"/>
        <v>139814.68644331917</v>
      </c>
      <c r="E30" s="86">
        <f t="shared" si="4"/>
        <v>165373.46480993007</v>
      </c>
      <c r="F30" s="189"/>
      <c r="O30" s="192"/>
      <c r="X30" s="125" t="s">
        <v>215</v>
      </c>
      <c r="Y30" s="86">
        <f>Y120</f>
        <v>153773.48583951325</v>
      </c>
      <c r="Z30" s="86">
        <f t="shared" ref="Z30:AB30" si="5">Z120</f>
        <v>126487.58127189633</v>
      </c>
      <c r="AA30" s="86">
        <f t="shared" si="5"/>
        <v>104468.33183783325</v>
      </c>
      <c r="AB30" s="86">
        <f t="shared" si="5"/>
        <v>104071.02509957238</v>
      </c>
      <c r="AC30" s="189"/>
    </row>
    <row r="31" spans="1:29">
      <c r="A31" s="12" t="s">
        <v>17</v>
      </c>
      <c r="B31" s="279">
        <f>SUM(B29:B30)</f>
        <v>261878.94190793534</v>
      </c>
      <c r="C31" s="279">
        <f t="shared" ref="C31" si="6">SUM(C29:C30)</f>
        <v>237483.48735212011</v>
      </c>
      <c r="D31" s="279">
        <f t="shared" ref="D31" si="7">SUM(D29:D30)</f>
        <v>217913.72687613973</v>
      </c>
      <c r="E31" s="279">
        <f t="shared" ref="E31" si="8">SUM(E29:E30)</f>
        <v>232841.87077860779</v>
      </c>
      <c r="F31" s="189"/>
      <c r="O31" s="192"/>
      <c r="X31" s="12" t="s">
        <v>17</v>
      </c>
      <c r="Y31" s="279">
        <f>SUM(Y29:Y30)</f>
        <v>257742.79584399506</v>
      </c>
      <c r="Z31" s="279">
        <f t="shared" ref="Z31:AB31" si="9">SUM(Z29:Z30)</f>
        <v>203521.06581146381</v>
      </c>
      <c r="AA31" s="279">
        <f t="shared" si="9"/>
        <v>163800.69344210037</v>
      </c>
      <c r="AB31" s="279">
        <f t="shared" si="9"/>
        <v>150457.53594839171</v>
      </c>
      <c r="AC31" s="189"/>
    </row>
    <row r="32" spans="1:29">
      <c r="B32" s="189"/>
      <c r="C32" s="189"/>
      <c r="D32" s="189"/>
      <c r="E32" s="189"/>
      <c r="F32" s="189"/>
      <c r="O32" s="192"/>
      <c r="Y32" s="189"/>
      <c r="Z32" s="189"/>
      <c r="AA32" s="189"/>
      <c r="AB32" s="189"/>
      <c r="AC32" s="189"/>
    </row>
    <row r="33" spans="1:29">
      <c r="A33" s="391" t="s">
        <v>113</v>
      </c>
      <c r="B33" s="392"/>
      <c r="C33" s="392"/>
      <c r="D33" s="392"/>
      <c r="E33" s="392"/>
      <c r="F33" s="189"/>
      <c r="O33" s="192"/>
      <c r="X33" s="391" t="s">
        <v>227</v>
      </c>
      <c r="Y33" s="392"/>
      <c r="Z33" s="392"/>
      <c r="AA33" s="392"/>
      <c r="AB33" s="392"/>
      <c r="AC33" s="189"/>
    </row>
    <row r="34" spans="1:29">
      <c r="A34" s="8" t="s">
        <v>20</v>
      </c>
      <c r="B34" s="9">
        <v>2020</v>
      </c>
      <c r="C34" s="9">
        <v>2030</v>
      </c>
      <c r="D34" s="9">
        <v>2040</v>
      </c>
      <c r="E34" s="9">
        <v>2050</v>
      </c>
      <c r="F34" s="189"/>
      <c r="O34" s="192"/>
      <c r="X34" s="8" t="s">
        <v>20</v>
      </c>
      <c r="Y34" s="9">
        <v>2020</v>
      </c>
      <c r="Z34" s="9">
        <v>2030</v>
      </c>
      <c r="AA34" s="9">
        <v>2040</v>
      </c>
      <c r="AB34" s="9">
        <v>2050</v>
      </c>
      <c r="AC34" s="189"/>
    </row>
    <row r="35" spans="1:29">
      <c r="A35" s="125" t="s">
        <v>15</v>
      </c>
      <c r="B35" s="86">
        <f>B57+B116</f>
        <v>22575.747147702648</v>
      </c>
      <c r="C35" s="86">
        <f t="shared" ref="C35:E35" si="10">C57+C116</f>
        <v>13559.997492593444</v>
      </c>
      <c r="D35" s="86">
        <f t="shared" si="10"/>
        <v>9653.5144072397889</v>
      </c>
      <c r="E35" s="86">
        <f t="shared" si="10"/>
        <v>6141.0868515703332</v>
      </c>
      <c r="F35" s="189"/>
      <c r="O35" s="192"/>
      <c r="X35" s="125" t="s">
        <v>15</v>
      </c>
      <c r="Y35" s="86">
        <f>Y57+Y116</f>
        <v>22575.747147702648</v>
      </c>
      <c r="Z35" s="86">
        <f>Z57+Z116</f>
        <v>1801.1648496163389</v>
      </c>
      <c r="AA35" s="86">
        <f>AA57+AA116</f>
        <v>0</v>
      </c>
      <c r="AB35" s="86">
        <f>AB57+AB116</f>
        <v>0</v>
      </c>
      <c r="AC35" s="189"/>
    </row>
    <row r="36" spans="1:29">
      <c r="A36" s="125" t="s">
        <v>16</v>
      </c>
      <c r="B36" s="86">
        <f>B58+B115</f>
        <v>72833.038691413894</v>
      </c>
      <c r="C36" s="86">
        <f t="shared" ref="C36:E36" si="11">C58+C115</f>
        <v>57523.250940248967</v>
      </c>
      <c r="D36" s="86">
        <f t="shared" si="11"/>
        <v>49605.727926283216</v>
      </c>
      <c r="E36" s="86">
        <f t="shared" si="11"/>
        <v>41561.338584982688</v>
      </c>
      <c r="F36" s="189"/>
      <c r="O36" s="192"/>
      <c r="X36" s="125" t="s">
        <v>16</v>
      </c>
      <c r="Y36" s="86">
        <f>Y58+Y115</f>
        <v>72833.038691413894</v>
      </c>
      <c r="Z36" s="86">
        <f>Z58+Z115</f>
        <v>47105.247492384035</v>
      </c>
      <c r="AA36" s="86">
        <f t="shared" ref="AA36" si="12">AA58+AA115</f>
        <v>20929.823477959391</v>
      </c>
      <c r="AB36" s="86">
        <f>AB58+AB115</f>
        <v>5878.3191431293026</v>
      </c>
      <c r="AC36" s="189"/>
    </row>
    <row r="37" spans="1:29">
      <c r="A37" s="125" t="s">
        <v>21</v>
      </c>
      <c r="B37" s="86">
        <f>B59+B118</f>
        <v>8954.3605099020479</v>
      </c>
      <c r="C37" s="86">
        <f t="shared" ref="C37:E37" si="13">C59+C118</f>
        <v>8803.0785967831234</v>
      </c>
      <c r="D37" s="86">
        <f t="shared" si="13"/>
        <v>8418.2108724525533</v>
      </c>
      <c r="E37" s="86">
        <f t="shared" si="13"/>
        <v>8788.3514649235367</v>
      </c>
      <c r="F37" s="189"/>
      <c r="O37" s="192"/>
      <c r="X37" s="125" t="s">
        <v>21</v>
      </c>
      <c r="Y37" s="86">
        <f>Y59+Y118</f>
        <v>8954.3605099020479</v>
      </c>
      <c r="Z37" s="86">
        <f>Z59+Z118</f>
        <v>17005.964757467656</v>
      </c>
      <c r="AA37" s="86">
        <f>AA59+AA118</f>
        <v>16005.214804247335</v>
      </c>
      <c r="AB37" s="86">
        <f>AB59+AB118</f>
        <v>16945.972546197409</v>
      </c>
      <c r="AC37" s="189"/>
    </row>
    <row r="38" spans="1:29">
      <c r="A38" s="125" t="s">
        <v>22</v>
      </c>
      <c r="B38" s="86">
        <f>B60</f>
        <v>1289.7517720028777</v>
      </c>
      <c r="C38" s="86">
        <f t="shared" ref="C38:E38" si="14">C60</f>
        <v>1058.5093222667954</v>
      </c>
      <c r="D38" s="86">
        <f t="shared" si="14"/>
        <v>973.07071323112552</v>
      </c>
      <c r="E38" s="86">
        <f t="shared" si="14"/>
        <v>872.91205314746082</v>
      </c>
      <c r="F38" s="189"/>
      <c r="O38" s="192"/>
      <c r="X38" s="125" t="s">
        <v>22</v>
      </c>
      <c r="Y38" s="86">
        <f>Y60</f>
        <v>1289.7517720028777</v>
      </c>
      <c r="Z38" s="86">
        <f>Z60</f>
        <v>735.22282381925186</v>
      </c>
      <c r="AA38" s="86">
        <f>AA60</f>
        <v>418.5514671352534</v>
      </c>
      <c r="AB38" s="86">
        <f>AB60</f>
        <v>45.884450268901659</v>
      </c>
      <c r="AC38" s="189"/>
    </row>
    <row r="39" spans="1:29">
      <c r="A39" s="125" t="s">
        <v>42</v>
      </c>
      <c r="B39" s="86">
        <f>B61+B117+B119</f>
        <v>1534.7132211306516</v>
      </c>
      <c r="C39" s="86">
        <f t="shared" ref="C39:E39" si="15">C61+C117+C119</f>
        <v>1511.6916395397911</v>
      </c>
      <c r="D39" s="86">
        <f t="shared" si="15"/>
        <v>1586.9344790575515</v>
      </c>
      <c r="E39" s="86">
        <f t="shared" si="15"/>
        <v>1600.6128318528688</v>
      </c>
      <c r="F39" s="189"/>
      <c r="O39" s="192"/>
      <c r="X39" s="125" t="s">
        <v>42</v>
      </c>
      <c r="Y39" s="86">
        <f>Y61+Y117+Y119</f>
        <v>1534.7132211306516</v>
      </c>
      <c r="Z39" s="86">
        <f>Z61+Z117+Z119</f>
        <v>2218.9562354164746</v>
      </c>
      <c r="AA39" s="86">
        <f>AA61+AA117+AA119</f>
        <v>2530.5477741914988</v>
      </c>
      <c r="AB39" s="86">
        <f t="shared" ref="AB39" si="16">AB61+AB117+AB119</f>
        <v>2515.0231301300641</v>
      </c>
      <c r="AC39" s="189"/>
    </row>
    <row r="40" spans="1:29">
      <c r="A40" s="125" t="s">
        <v>210</v>
      </c>
      <c r="B40" s="86">
        <f>B62+B63+B114</f>
        <v>146660.64057026504</v>
      </c>
      <c r="C40" s="86">
        <f t="shared" ref="C40:E40" si="17">C62+C63+C114</f>
        <v>148720.07049731462</v>
      </c>
      <c r="D40" s="86">
        <f t="shared" si="17"/>
        <v>142076.3650612378</v>
      </c>
      <c r="E40" s="86">
        <f t="shared" si="17"/>
        <v>169039.90959189678</v>
      </c>
      <c r="F40" s="189"/>
      <c r="O40" s="192"/>
      <c r="X40" s="125" t="s">
        <v>210</v>
      </c>
      <c r="Y40" s="86">
        <f>Y62+Y63+Y114</f>
        <v>150555.18450184294</v>
      </c>
      <c r="Z40" s="86">
        <f>Z62+Z63+Z114</f>
        <v>133717.6461657348</v>
      </c>
      <c r="AA40" s="86">
        <f>AA62+AA63+AA114</f>
        <v>122756.53152211031</v>
      </c>
      <c r="AB40" s="86">
        <f>AB62+AB63+AB114</f>
        <v>123778.67593982043</v>
      </c>
      <c r="AC40" s="189"/>
    </row>
    <row r="41" spans="1:29">
      <c r="A41" s="12" t="s">
        <v>17</v>
      </c>
      <c r="B41" s="13">
        <f>B76+B120</f>
        <v>261878.94190793534</v>
      </c>
      <c r="C41" s="13">
        <f t="shared" ref="C41:D41" si="18">C76+C120</f>
        <v>237483.48735212011</v>
      </c>
      <c r="D41" s="13">
        <f t="shared" si="18"/>
        <v>217913.72687613973</v>
      </c>
      <c r="E41" s="13">
        <f>E76+E120</f>
        <v>232841.87077860779</v>
      </c>
      <c r="F41" s="189"/>
      <c r="O41" s="192"/>
      <c r="X41" s="12" t="s">
        <v>17</v>
      </c>
      <c r="Y41" s="13">
        <f>Y64+Y120</f>
        <v>257742.79584399506</v>
      </c>
      <c r="Z41" s="13">
        <f>Z64+Z120</f>
        <v>203521.06581146381</v>
      </c>
      <c r="AA41" s="13">
        <f>AA64+AA120</f>
        <v>163800.69344210037</v>
      </c>
      <c r="AB41" s="13">
        <f>AB64+AB120</f>
        <v>150457.53594839171</v>
      </c>
      <c r="AC41" s="189"/>
    </row>
    <row r="42" spans="1:29" ht="18.5">
      <c r="A42" s="190" t="s">
        <v>112</v>
      </c>
      <c r="B42" s="191">
        <f>B41/$B41-1</f>
        <v>0</v>
      </c>
      <c r="C42" s="191">
        <f>C41/$B41-1</f>
        <v>-9.3155464804006827E-2</v>
      </c>
      <c r="D42" s="191">
        <f>D41/$B41-1</f>
        <v>-0.16788373555920266</v>
      </c>
      <c r="E42" s="196">
        <f>E41/$B41-1</f>
        <v>-0.11087974816828017</v>
      </c>
      <c r="F42" s="189"/>
      <c r="O42" s="192"/>
      <c r="X42" s="190" t="s">
        <v>112</v>
      </c>
      <c r="Y42" s="191">
        <f>Y41/$Y41-1</f>
        <v>0</v>
      </c>
      <c r="Z42" s="191">
        <f>Z41/$Y41-1</f>
        <v>-0.21037146685314234</v>
      </c>
      <c r="AA42" s="191">
        <f>AA41/$Y41-1</f>
        <v>-0.36448003170864718</v>
      </c>
      <c r="AB42" s="196">
        <f>AB41/$Y41-1</f>
        <v>-0.41624930599627818</v>
      </c>
      <c r="AC42" s="189"/>
    </row>
    <row r="43" spans="1:29">
      <c r="B43" s="189"/>
      <c r="C43" s="189"/>
      <c r="D43" s="189"/>
      <c r="E43" s="189"/>
      <c r="F43" s="189"/>
      <c r="O43" s="192"/>
      <c r="Y43" s="189"/>
      <c r="Z43" s="189"/>
      <c r="AA43" s="189"/>
      <c r="AB43" s="189"/>
      <c r="AC43" s="189"/>
    </row>
    <row r="44" spans="1:29">
      <c r="B44" s="189">
        <f>SUM(B35:B40)</f>
        <v>253848.25191241718</v>
      </c>
      <c r="C44" s="189">
        <f t="shared" ref="C44:D44" si="19">SUM(C35:C40)</f>
        <v>231176.59848874673</v>
      </c>
      <c r="D44" s="189">
        <f t="shared" si="19"/>
        <v>212313.82345950202</v>
      </c>
      <c r="E44" s="189">
        <f>SUM(E35:E40)</f>
        <v>228004.21137837367</v>
      </c>
      <c r="F44" s="189"/>
      <c r="O44" s="192"/>
      <c r="Y44" s="189"/>
      <c r="Z44" s="189"/>
      <c r="AA44" s="189"/>
      <c r="AB44" s="189"/>
      <c r="AC44" s="189"/>
    </row>
    <row r="45" spans="1:29">
      <c r="B45" s="189"/>
      <c r="C45" s="189"/>
      <c r="D45" s="189"/>
      <c r="E45" s="189"/>
      <c r="F45" s="189"/>
      <c r="O45" s="192"/>
      <c r="Y45" s="189"/>
      <c r="Z45" s="189"/>
      <c r="AA45" s="189"/>
      <c r="AB45" s="189"/>
      <c r="AC45" s="189"/>
    </row>
    <row r="46" spans="1:29">
      <c r="B46" s="189"/>
      <c r="C46" s="189"/>
      <c r="D46" s="189"/>
      <c r="E46" s="189"/>
      <c r="F46" s="189"/>
      <c r="O46" s="192"/>
      <c r="Y46" s="189"/>
      <c r="Z46" s="189"/>
      <c r="AA46" s="189"/>
      <c r="AB46" s="189"/>
      <c r="AC46" s="189"/>
    </row>
    <row r="47" spans="1:29">
      <c r="B47" s="189"/>
      <c r="C47" s="189"/>
      <c r="D47" s="189"/>
      <c r="E47" s="189"/>
      <c r="F47" s="189"/>
      <c r="O47" s="192"/>
      <c r="Y47" s="271"/>
      <c r="Z47" s="189"/>
      <c r="AA47" s="189"/>
      <c r="AB47" s="189"/>
      <c r="AC47" s="189"/>
    </row>
    <row r="48" spans="1:29">
      <c r="B48" s="189"/>
      <c r="O48" s="192"/>
      <c r="Y48" s="189"/>
      <c r="AA48" s="271"/>
    </row>
    <row r="49" spans="1:31" ht="14.5" customHeight="1">
      <c r="A49" s="390" t="s">
        <v>207</v>
      </c>
      <c r="B49" s="390"/>
      <c r="C49" s="390"/>
      <c r="D49" s="390"/>
      <c r="E49" s="390"/>
      <c r="F49" s="390"/>
      <c r="G49" s="390"/>
      <c r="H49" s="390"/>
      <c r="I49" s="390"/>
      <c r="J49" s="390"/>
      <c r="K49" s="390"/>
      <c r="L49" s="390"/>
      <c r="M49" s="390"/>
      <c r="N49" s="390"/>
      <c r="O49" s="192"/>
      <c r="P49" s="390" t="s">
        <v>207</v>
      </c>
      <c r="Q49" s="390"/>
      <c r="R49" s="390"/>
      <c r="S49" s="390"/>
      <c r="T49" s="390"/>
      <c r="U49" s="390"/>
      <c r="V49" s="390"/>
      <c r="W49" s="390"/>
      <c r="X49" s="390"/>
      <c r="Y49" s="390"/>
      <c r="Z49" s="390"/>
      <c r="AA49" s="390"/>
      <c r="AB49" s="390"/>
      <c r="AC49" s="390"/>
      <c r="AD49" s="242"/>
    </row>
    <row r="50" spans="1:31" ht="14.5" customHeight="1">
      <c r="A50" s="390"/>
      <c r="B50" s="390"/>
      <c r="C50" s="390"/>
      <c r="D50" s="390"/>
      <c r="E50" s="390"/>
      <c r="F50" s="390"/>
      <c r="G50" s="390"/>
      <c r="H50" s="390"/>
      <c r="I50" s="390"/>
      <c r="J50" s="390"/>
      <c r="K50" s="390"/>
      <c r="L50" s="390"/>
      <c r="M50" s="390"/>
      <c r="N50" s="390"/>
      <c r="O50" s="192"/>
      <c r="P50" s="390"/>
      <c r="Q50" s="390"/>
      <c r="R50" s="390"/>
      <c r="S50" s="390"/>
      <c r="T50" s="390"/>
      <c r="U50" s="390"/>
      <c r="V50" s="390"/>
      <c r="W50" s="390"/>
      <c r="X50" s="390"/>
      <c r="Y50" s="390"/>
      <c r="Z50" s="390"/>
      <c r="AA50" s="390"/>
      <c r="AB50" s="390"/>
      <c r="AC50" s="390"/>
      <c r="AD50" s="242"/>
    </row>
    <row r="51" spans="1:31">
      <c r="B51" s="189"/>
      <c r="C51" s="189"/>
      <c r="D51" s="189"/>
      <c r="E51" s="189"/>
      <c r="F51" s="189"/>
      <c r="O51" s="192"/>
      <c r="Y51" s="189"/>
      <c r="Z51" s="189"/>
      <c r="AA51" s="189"/>
      <c r="AB51" s="189"/>
      <c r="AC51" s="189"/>
    </row>
    <row r="52" spans="1:31">
      <c r="B52" s="189"/>
      <c r="C52" s="189"/>
      <c r="D52" s="189"/>
      <c r="E52" s="189"/>
      <c r="F52" s="189"/>
      <c r="O52" s="192"/>
      <c r="Y52" s="189"/>
      <c r="Z52" s="189"/>
      <c r="AA52" s="189"/>
      <c r="AB52" s="189"/>
      <c r="AC52" s="189"/>
    </row>
    <row r="53" spans="1:31">
      <c r="B53" s="189"/>
      <c r="O53" s="192"/>
      <c r="Y53" s="189"/>
    </row>
    <row r="54" spans="1:31">
      <c r="B54" s="189"/>
      <c r="O54" s="192"/>
      <c r="Y54" s="189"/>
    </row>
    <row r="55" spans="1:31">
      <c r="A55" s="391" t="s">
        <v>268</v>
      </c>
      <c r="B55" s="392"/>
      <c r="C55" s="392"/>
      <c r="D55" s="392"/>
      <c r="E55" s="392"/>
      <c r="O55" s="192"/>
      <c r="X55" s="391" t="s">
        <v>267</v>
      </c>
      <c r="Y55" s="392"/>
      <c r="Z55" s="392"/>
      <c r="AA55" s="392"/>
      <c r="AB55" s="392"/>
    </row>
    <row r="56" spans="1:31">
      <c r="A56" s="8" t="s">
        <v>20</v>
      </c>
      <c r="B56" s="9">
        <v>2020</v>
      </c>
      <c r="C56" s="9">
        <v>2030</v>
      </c>
      <c r="D56" s="9">
        <v>2040</v>
      </c>
      <c r="E56" s="9">
        <v>2050</v>
      </c>
      <c r="O56" s="192"/>
      <c r="X56" s="8" t="s">
        <v>20</v>
      </c>
      <c r="Y56" s="9">
        <v>2020</v>
      </c>
      <c r="Z56" s="9">
        <v>2030</v>
      </c>
      <c r="AA56" s="9">
        <v>2040</v>
      </c>
      <c r="AB56" s="9">
        <v>2050</v>
      </c>
    </row>
    <row r="57" spans="1:31">
      <c r="A57" s="125" t="s">
        <v>15</v>
      </c>
      <c r="B57" s="86">
        <f>'Bureaux - AME'!H13+'CaHoREs - AME'!H13+'Commerce - AME'!H13+'Enseignement - AME'!H13+'Santé social - AME'!H13+'Sport Loisir Culture - AME'!H13+'Transport - AME'!H13</f>
        <v>17616.951122329348</v>
      </c>
      <c r="C57" s="86">
        <f>'Bureaux - AME'!I13+'CaHoREs - AME'!I13+'Commerce - AME'!I13+'Enseignement - AME'!I13+'Santé social - AME'!I13+'Sport Loisir Culture - AME'!I13+'Transport - AME'!I13</f>
        <v>11297.468250807611</v>
      </c>
      <c r="D57" s="86">
        <f>'Bureaux - AME'!J13+'CaHoREs - AME'!J13+'Commerce - AME'!J13+'Enseignement - AME'!J13+'Santé social - AME'!J13+'Sport Loisir Culture - AME'!J13+'Transport - AME'!J13</f>
        <v>7941.0667241759329</v>
      </c>
      <c r="E57" s="86">
        <f>'Bureaux - AME'!K13+'CaHoREs - AME'!K13+'Commerce - AME'!K13+'Enseignement - AME'!K13+'Santé social - AME'!K13+'Sport Loisir Culture - AME'!K13+'Transport - AME'!K13</f>
        <v>4954.6476412171005</v>
      </c>
      <c r="O57" s="192"/>
      <c r="X57" s="125" t="s">
        <v>15</v>
      </c>
      <c r="Y57" s="86">
        <f>'Bureaux - AMS'!H13+'CaHoREs - AMS'!H13+'Commerce - AMS'!H13+'Enseignement - AMS'!H13+'Santé social - AMS'!H13+'Sport Loisir Culture - AMS'!H13+'Transport - AMS'!H13</f>
        <v>17616.951122329348</v>
      </c>
      <c r="Z57" s="86">
        <f>'Bureaux - AMS'!I13+'CaHoREs - AMS'!I13+'Commerce - AMS'!I13+'Enseignement - AMS'!I13+'Santé social - AMS'!I13+'Sport Loisir Culture - AMS'!I13+'Transport - AMS'!I13</f>
        <v>1426.0443342909086</v>
      </c>
      <c r="AA57" s="86">
        <f>'Bureaux - AMS'!J13+'CaHoREs - AMS'!J13+'Commerce - AMS'!J13+'Enseignement - AMS'!J13+'Santé social - AMS'!J13+'Sport Loisir Culture - AMS'!J13+'Transport - AMS'!J13</f>
        <v>0</v>
      </c>
      <c r="AB57" s="86">
        <f>'Bureaux - AMS'!K13+'CaHoREs - AMS'!K13+'Commerce - AMS'!K13+'Enseignement - AMS'!K13+'Santé social - AMS'!K13+'Sport Loisir Culture - AMS'!K13+'Transport - AMS'!K13</f>
        <v>0</v>
      </c>
    </row>
    <row r="58" spans="1:31">
      <c r="A58" s="125" t="s">
        <v>16</v>
      </c>
      <c r="B58" s="86">
        <f>'Bureaux - AME'!H14+'CaHoREs - AME'!H14+'Commerce - AME'!H14+'Enseignement - AME'!H14+'Santé social - AME'!H14+'Sport Loisir Culture - AME'!H14+'Transport - AME'!H14</f>
        <v>55781.687621801662</v>
      </c>
      <c r="C58" s="86">
        <f>'Bureaux - AME'!I14+'CaHoREs - AME'!I14+'Commerce - AME'!I14+'Enseignement - AME'!I14+'Santé social - AME'!I14+'Sport Loisir Culture - AME'!I14+'Transport - AME'!I14</f>
        <v>42002.457822620345</v>
      </c>
      <c r="D58" s="86">
        <f>'Bureaux - AME'!J14+'CaHoREs - AME'!J14+'Commerce - AME'!J14+'Enseignement - AME'!J14+'Santé social - AME'!J14+'Sport Loisir Culture - AME'!J14+'Transport - AME'!J14</f>
        <v>35696.678201983443</v>
      </c>
      <c r="E58" s="86">
        <f>'Bureaux - AME'!K14+'CaHoREs - AME'!K14+'Commerce - AME'!K14+'Enseignement - AME'!K14+'Santé social - AME'!K14+'Sport Loisir Culture - AME'!K14+'Transport - AME'!K14</f>
        <v>29361.621788966208</v>
      </c>
      <c r="O58" s="192"/>
      <c r="X58" s="125" t="s">
        <v>16</v>
      </c>
      <c r="Y58" s="86">
        <f>'Bureaux - AMS'!H14+'CaHoREs - AMS'!H14+'Commerce - AMS'!H14+'Enseignement - AMS'!H14+'Santé social - AMS'!H14+'Sport Loisir Culture - AMS'!H14+'Transport - AMS'!H14</f>
        <v>55781.687621801662</v>
      </c>
      <c r="Z58" s="86">
        <f>'Bureaux - AMS'!I14+'CaHoREs - AMS'!I14+'Commerce - AMS'!I14+'Enseignement - AMS'!I14+'Santé social - AMS'!I14+'Sport Loisir Culture - AMS'!I14+'Transport - AMS'!I14</f>
        <v>38700.098102229829</v>
      </c>
      <c r="AA58" s="86">
        <f>'Bureaux - AMS'!J14+'CaHoREs - AMS'!J14+'Commerce - AMS'!J14+'Enseignement - AMS'!J14+'Santé social - AMS'!J14+'Sport Loisir Culture - AMS'!J14+'Transport - AMS'!J14</f>
        <v>16342.910179259556</v>
      </c>
      <c r="AB58" s="86">
        <f>'Bureaux - AMS'!K14+'CaHoREs - AMS'!K14+'Commerce - AMS'!K14+'Enseignement - AMS'!K14+'Santé social - AMS'!K14+'Sport Loisir Culture - AMS'!K14+'Transport - AMS'!K14</f>
        <v>4008.4144285508805</v>
      </c>
    </row>
    <row r="59" spans="1:31">
      <c r="A59" s="125" t="s">
        <v>21</v>
      </c>
      <c r="B59" s="86">
        <f>'Bureaux - AME'!H15+'CaHoREs - AME'!H15+'Commerce - AME'!H15+'Enseignement - AME'!H15+'Santé social - AME'!H15+'Sport Loisir Culture - AME'!H15+'Transport - AME'!H15</f>
        <v>7403.8673734344638</v>
      </c>
      <c r="C59" s="86">
        <f>'Bureaux - AME'!I15+'CaHoREs - AME'!I15+'Commerce - AME'!I15+'Enseignement - AME'!I15+'Santé social - AME'!I15+'Sport Loisir Culture - AME'!I15+'Transport - AME'!I15</f>
        <v>7002.3070910458464</v>
      </c>
      <c r="D59" s="86">
        <f>'Bureaux - AME'!J15+'CaHoREs - AME'!J15+'Commerce - AME'!J15+'Enseignement - AME'!J15+'Santé social - AME'!J15+'Sport Loisir Culture - AME'!J15+'Transport - AME'!J15</f>
        <v>7231.7716620993215</v>
      </c>
      <c r="E59" s="86">
        <f>'Bureaux - AME'!K15+'CaHoREs - AME'!K15+'Commerce - AME'!K15+'Enseignement - AME'!K15+'Santé social - AME'!K15+'Sport Loisir Culture - AME'!K15+'Transport - AME'!K15</f>
        <v>7140.3089706562741</v>
      </c>
      <c r="O59" s="192"/>
      <c r="X59" s="125" t="s">
        <v>21</v>
      </c>
      <c r="Y59" s="86">
        <f>'Bureaux - AMS'!H15+'CaHoREs - AMS'!H15+'Commerce - AMS'!H15+'Enseignement - AMS'!H15+'Santé social - AMS'!H15+'Sport Loisir Culture - AMS'!H15+'Transport - AMS'!H15</f>
        <v>7403.8673734344629</v>
      </c>
      <c r="Z59" s="86">
        <f>'Bureaux - AMS'!I15+'CaHoREs - AMS'!I15+'Commerce - AMS'!I15+'Enseignement - AMS'!I15+'Santé social - AMS'!I15+'Sport Loisir Culture - AMS'!I15+'Transport - AMS'!I15</f>
        <v>15130.362180840504</v>
      </c>
      <c r="AA59" s="86">
        <f>'Bureaux - AMS'!J15+'CaHoREs - AMS'!J15+'Commerce - AMS'!J15+'Enseignement - AMS'!J15+'Santé social - AMS'!J15+'Sport Loisir Culture - AMS'!J15+'Transport - AMS'!J15</f>
        <v>16005.214804247335</v>
      </c>
      <c r="AB59" s="86">
        <f>'Bureaux - AMS'!K15+'CaHoREs - AMS'!K15+'Commerce - AMS'!K15+'Enseignement - AMS'!K15+'Santé social - AMS'!K15+'Sport Loisir Culture - AMS'!K15+'Transport - AMS'!K15</f>
        <v>15392.025712749264</v>
      </c>
      <c r="AE59" s="189"/>
    </row>
    <row r="60" spans="1:31">
      <c r="A60" s="125" t="s">
        <v>22</v>
      </c>
      <c r="B60" s="86">
        <f>'Bureaux - AME'!H16+'CaHoREs - AME'!H16+'Commerce - AME'!H16+'Enseignement - AME'!H16+'Santé social - AME'!H16+'Sport Loisir Culture - AME'!H16+'Transport - AME'!H16</f>
        <v>1289.7517720028777</v>
      </c>
      <c r="C60" s="86">
        <f>'Bureaux - AME'!I16+'CaHoREs - AME'!I16+'Commerce - AME'!I16+'Enseignement - AME'!I16+'Santé social - AME'!I16+'Sport Loisir Culture - AME'!I16+'Transport - AME'!I16</f>
        <v>1058.5093222667954</v>
      </c>
      <c r="D60" s="86">
        <f>'Bureaux - AME'!J16+'CaHoREs - AME'!J16+'Commerce - AME'!J16+'Enseignement - AME'!J16+'Santé social - AME'!J16+'Sport Loisir Culture - AME'!J16+'Transport - AME'!J16</f>
        <v>973.07071323112552</v>
      </c>
      <c r="E60" s="86">
        <f>'Bureaux - AME'!K16+'CaHoREs - AME'!K16+'Commerce - AME'!K16+'Enseignement - AME'!K16+'Santé social - AME'!K16+'Sport Loisir Culture - AME'!K16+'Transport - AME'!K16</f>
        <v>872.91205314746082</v>
      </c>
      <c r="O60" s="192"/>
      <c r="X60" s="125" t="s">
        <v>22</v>
      </c>
      <c r="Y60" s="86">
        <f>'Bureaux - AMS'!H16+'CaHoREs - AMS'!H16+'Commerce - AMS'!H16+'Enseignement - AMS'!H16+'Santé social - AMS'!H16+'Sport Loisir Culture - AMS'!H16+'Transport - AMS'!H16</f>
        <v>1289.7517720028777</v>
      </c>
      <c r="Z60" s="86">
        <f>'Bureaux - AMS'!I16+'CaHoREs - AMS'!I16+'Commerce - AMS'!I16+'Enseignement - AMS'!I16+'Santé social - AMS'!I16+'Sport Loisir Culture - AMS'!I16+'Transport - AMS'!I16</f>
        <v>735.22282381925186</v>
      </c>
      <c r="AA60" s="86">
        <f>'Bureaux - AMS'!J16+'CaHoREs - AMS'!J16+'Commerce - AMS'!J16+'Enseignement - AMS'!J16+'Santé social - AMS'!J16+'Sport Loisir Culture - AMS'!J16+'Transport - AMS'!J16</f>
        <v>418.5514671352534</v>
      </c>
      <c r="AB60" s="86">
        <f>'Bureaux - AMS'!K16+'CaHoREs - AMS'!K16+'Commerce - AMS'!K16+'Enseignement - AMS'!K16+'Santé social - AMS'!K16+'Sport Loisir Culture - AMS'!K16+'Transport - AMS'!K16</f>
        <v>45.884450268901659</v>
      </c>
    </row>
    <row r="61" spans="1:31">
      <c r="A61" s="125" t="s">
        <v>42</v>
      </c>
      <c r="B61" s="86">
        <f>'Bureaux - AME'!H17+'CaHoREs - AME'!H17+'Commerce - AME'!H17+'Enseignement - AME'!H17+'Santé social - AME'!H17+'Sport Loisir Culture - AME'!H17+'Transport - AME'!H17</f>
        <v>1320.0978712202</v>
      </c>
      <c r="C61" s="86">
        <f>'Bureaux - AME'!I17+'CaHoREs - AME'!I17+'Commerce - AME'!I17+'Enseignement - AME'!I17+'Santé social - AME'!I17+'Sport Loisir Culture - AME'!I17+'Transport - AME'!I17</f>
        <v>1263.3916659240613</v>
      </c>
      <c r="D61" s="86">
        <f>'Bureaux - AME'!J17+'CaHoREs - AME'!J17+'Commerce - AME'!J17+'Enseignement - AME'!J17+'Santé social - AME'!J17+'Sport Loisir Culture - AME'!J17+'Transport - AME'!J17</f>
        <v>1320.9315211125697</v>
      </c>
      <c r="E61" s="86">
        <f>'Bureaux - AME'!K17+'CaHoREs - AME'!K17+'Commerce - AME'!K17+'Enseignement - AME'!K17+'Santé social - AME'!K17+'Sport Loisir Culture - AME'!K17+'Transport - AME'!K17</f>
        <v>1323.4211674482669</v>
      </c>
      <c r="O61" s="192"/>
      <c r="X61" s="125" t="s">
        <v>42</v>
      </c>
      <c r="Y61" s="86">
        <f>'Bureaux - AMS'!H17+'CaHoREs - AMS'!H17+'Commerce - AMS'!H17+'Enseignement - AMS'!H17+'Santé social - AMS'!H17+'Sport Loisir Culture - AMS'!H17+'Transport - AMS'!H17</f>
        <v>1320.0978712202</v>
      </c>
      <c r="Z61" s="86">
        <f>'Bureaux - AMS'!I17+'CaHoREs - AMS'!I17+'Commerce - AMS'!I17+'Enseignement - AMS'!I17+'Santé social - AMS'!I17+'Sport Loisir Culture - AMS'!I17+'Transport - AMS'!I17</f>
        <v>1562.8097539039429</v>
      </c>
      <c r="AA61" s="86">
        <f>'Bureaux - AMS'!J17+'CaHoREs - AMS'!J17+'Commerce - AMS'!J17+'Enseignement - AMS'!J17+'Santé social - AMS'!J17+'Sport Loisir Culture - AMS'!J17+'Transport - AMS'!J17</f>
        <v>1988.5336508681992</v>
      </c>
      <c r="AB61" s="86">
        <f>'Bureaux - AMS'!K17+'CaHoREs - AMS'!K17+'Commerce - AMS'!K17+'Enseignement - AMS'!K17+'Santé social - AMS'!K17+'Sport Loisir Culture - AMS'!K17+'Transport - AMS'!K17</f>
        <v>2061.3582416247878</v>
      </c>
    </row>
    <row r="62" spans="1:31">
      <c r="A62" s="125" t="s">
        <v>48</v>
      </c>
      <c r="B62" s="86">
        <f>'Bureaux - AME'!H18+'CaHoREs - AME'!H18+'Commerce - AME'!H18+'Enseignement - AME'!H18+'Santé social - AME'!H18+'Sport Loisir Culture - AME'!H18+'Transport - AME'!H18</f>
        <v>17583.274511351989</v>
      </c>
      <c r="C62" s="86">
        <f>'Bureaux - AME'!I18+'CaHoREs - AME'!I18+'Commerce - AME'!I18+'Enseignement - AME'!I18+'Santé social - AME'!I18+'Sport Loisir Culture - AME'!I18+'Transport - AME'!I18</f>
        <v>15328.295166576165</v>
      </c>
      <c r="D62" s="86">
        <f>'Bureaux - AME'!J18+'CaHoREs - AME'!J18+'Commerce - AME'!J18+'Enseignement - AME'!J18+'Santé social - AME'!J18+'Sport Loisir Culture - AME'!J18+'Transport - AME'!J18</f>
        <v>15020.633449744862</v>
      </c>
      <c r="E62" s="86">
        <f>'Bureaux - AME'!K18+'CaHoREs - AME'!K18+'Commerce - AME'!K18+'Enseignement - AME'!K18+'Santé social - AME'!K18+'Sport Loisir Culture - AME'!K18+'Transport - AME'!K18</f>
        <v>14349.063756202755</v>
      </c>
      <c r="O62" s="192"/>
      <c r="X62" s="125" t="s">
        <v>48</v>
      </c>
      <c r="Y62" s="86">
        <f>'Bureaux - AMS'!H18+'CaHoREs - AMS'!H18+'Commerce - AMS'!H18+'Enseignement - AMS'!H18+'Santé social - AMS'!H18+'Sport Loisir Culture - AMS'!H18+'Transport - AMS'!H18</f>
        <v>17583.274511351989</v>
      </c>
      <c r="Z62" s="86">
        <f>'Bureaux - AMS'!I18+'CaHoREs - AMS'!I18+'Commerce - AMS'!I18+'Enseignement - AMS'!I18+'Santé social - AMS'!I18+'Sport Loisir Culture - AMS'!I18+'Transport - AMS'!I18</f>
        <v>10059.433627924773</v>
      </c>
      <c r="AA62" s="86">
        <f>'Bureaux - AMS'!J18+'CaHoREs - AMS'!J18+'Commerce - AMS'!J18+'Enseignement - AMS'!J18+'Santé social - AMS'!J18+'Sport Loisir Culture - AMS'!J18+'Transport - AMS'!J18</f>
        <v>9255.9972041701276</v>
      </c>
      <c r="AB62" s="86">
        <f>'Bureaux - AMS'!K18+'CaHoREs - AMS'!K18+'Commerce - AMS'!K18+'Enseignement - AMS'!K18+'Santé social - AMS'!K18+'Sport Loisir Culture - AMS'!K18+'Transport - AMS'!K18</f>
        <v>7119.8021388929701</v>
      </c>
    </row>
    <row r="63" spans="1:31">
      <c r="A63" s="125" t="s">
        <v>49</v>
      </c>
      <c r="B63" s="86">
        <f>'Bureaux - AME'!H19+'CaHoREs - AME'!H19+'Commerce - AME'!H19+'Enseignement - AME'!H19+'Santé social - AME'!H19+'Sport Loisir Culture - AME'!H19+'Transport - AME'!H19</f>
        <v>2973.6797323412607</v>
      </c>
      <c r="C63" s="86">
        <f>'Bureaux - AME'!I19+'CaHoREs - AME'!I19+'Commerce - AME'!I19+'Enseignement - AME'!I19+'Santé social - AME'!I19+'Sport Loisir Culture - AME'!I19+'Transport - AME'!I19</f>
        <v>3699.6931964866644</v>
      </c>
      <c r="D63" s="86">
        <f>'Bureaux - AME'!J19+'CaHoREs - AME'!J19+'Commerce - AME'!J19+'Enseignement - AME'!J19+'Santé social - AME'!J19+'Sport Loisir Culture - AME'!J19+'Transport - AME'!J19</f>
        <v>4314.9847438355873</v>
      </c>
      <c r="E63" s="86">
        <f>'Bureaux - AME'!K19+'CaHoREs - AME'!K19+'Commerce - AME'!K19+'Enseignement - AME'!K19+'Santé social - AME'!K19+'Sport Loisir Culture - AME'!K19+'Transport - AME'!K19</f>
        <v>4628.7711908055444</v>
      </c>
      <c r="O63" s="192"/>
      <c r="X63" s="125" t="s">
        <v>49</v>
      </c>
      <c r="Y63" s="86">
        <f>'Bureaux - AMS'!H19+'CaHoREs - AMS'!H19+'Commerce - AMS'!H19+'Enseignement - AMS'!H19+'Santé social - AMS'!H19+'Sport Loisir Culture - AMS'!H19+'Transport - AMS'!H19</f>
        <v>2973.6797323412607</v>
      </c>
      <c r="Z63" s="86">
        <f>'Bureaux - AMS'!I19+'CaHoREs - AMS'!I19+'Commerce - AMS'!I19+'Enseignement - AMS'!I19+'Santé social - AMS'!I19+'Sport Loisir Culture - AMS'!I19+'Transport - AMS'!I19</f>
        <v>9419.5137165582801</v>
      </c>
      <c r="AA63" s="86">
        <f>'Bureaux - AMS'!J19+'CaHoREs - AMS'!J19+'Commerce - AMS'!J19+'Enseignement - AMS'!J19+'Santé social - AMS'!J19+'Sport Loisir Culture - AMS'!J19+'Transport - AMS'!J19</f>
        <v>15321.15429858664</v>
      </c>
      <c r="AB63" s="86">
        <f>'Bureaux - AMS'!K19+'CaHoREs - AMS'!K19+'Commerce - AMS'!K19+'Enseignement - AMS'!K19+'Santé social - AMS'!K19+'Sport Loisir Culture - AMS'!K19+'Transport - AMS'!K19</f>
        <v>17759.025876732521</v>
      </c>
    </row>
    <row r="64" spans="1:31">
      <c r="A64" s="12" t="s">
        <v>17</v>
      </c>
      <c r="B64" s="13">
        <f>SUM(B57:B63)</f>
        <v>103969.31000448181</v>
      </c>
      <c r="C64" s="13">
        <f t="shared" ref="C64:E64" si="20">SUM(C57:C63)</f>
        <v>81652.122515727489</v>
      </c>
      <c r="D64" s="13">
        <f t="shared" si="20"/>
        <v>72499.137016182853</v>
      </c>
      <c r="E64" s="13">
        <f t="shared" si="20"/>
        <v>62630.74656844361</v>
      </c>
      <c r="O64" s="192"/>
      <c r="X64" s="12" t="s">
        <v>17</v>
      </c>
      <c r="Y64" s="13">
        <f>SUM(Y57:Y63)</f>
        <v>103969.31000448181</v>
      </c>
      <c r="Z64" s="13">
        <f t="shared" ref="Z64:AB64" si="21">SUM(Z57:Z63)</f>
        <v>77033.484539567493</v>
      </c>
      <c r="AA64" s="13">
        <f t="shared" si="21"/>
        <v>59332.361604267106</v>
      </c>
      <c r="AB64" s="13">
        <f t="shared" si="21"/>
        <v>46386.510848819322</v>
      </c>
    </row>
    <row r="65" spans="1:28" ht="31.5" customHeight="1">
      <c r="A65" s="190" t="s">
        <v>112</v>
      </c>
      <c r="B65" s="191">
        <f>B64/$B64-1</f>
        <v>0</v>
      </c>
      <c r="C65" s="191">
        <f>C64/$B64-1</f>
        <v>-0.2146516841151711</v>
      </c>
      <c r="D65" s="191">
        <f>D64/$B64-1</f>
        <v>-0.30268713899267363</v>
      </c>
      <c r="E65" s="196">
        <f>E64/$B64-1</f>
        <v>-0.39760351813680617</v>
      </c>
      <c r="O65" s="192"/>
      <c r="X65" s="329" t="s">
        <v>313</v>
      </c>
      <c r="Y65" s="191">
        <f>Y64/$Y64-1</f>
        <v>0</v>
      </c>
      <c r="Z65" s="191">
        <f>Z64/$Y64-1</f>
        <v>-0.25907477373614574</v>
      </c>
      <c r="AA65" s="191">
        <f t="shared" ref="AA65:AB65" si="22">AA64/$Y64-1</f>
        <v>-0.429328119983585</v>
      </c>
      <c r="AB65" s="196">
        <f t="shared" si="22"/>
        <v>-0.55384419838104404</v>
      </c>
    </row>
    <row r="66" spans="1:28">
      <c r="O66" s="192"/>
      <c r="Y66" s="189"/>
    </row>
    <row r="67" spans="1:28">
      <c r="A67" s="394" t="s">
        <v>212</v>
      </c>
      <c r="B67" s="395"/>
      <c r="C67" s="395"/>
      <c r="D67" s="395"/>
      <c r="E67" s="395"/>
      <c r="F67" s="247"/>
      <c r="G67" s="247"/>
      <c r="H67" s="247"/>
      <c r="I67" s="247"/>
      <c r="J67" s="247"/>
      <c r="K67" s="247"/>
      <c r="L67" s="247"/>
      <c r="M67" s="247"/>
      <c r="N67" s="247"/>
      <c r="O67" s="248"/>
      <c r="P67" s="247"/>
      <c r="Q67" s="247"/>
      <c r="R67" s="247"/>
      <c r="S67" s="247"/>
      <c r="T67" s="247"/>
      <c r="U67" s="247"/>
      <c r="V67" s="247"/>
      <c r="W67" s="247"/>
      <c r="X67" s="394" t="s">
        <v>213</v>
      </c>
      <c r="Y67" s="395"/>
      <c r="Z67" s="395"/>
      <c r="AA67" s="395"/>
      <c r="AB67" s="395"/>
    </row>
    <row r="68" spans="1:28">
      <c r="A68" s="249" t="s">
        <v>20</v>
      </c>
      <c r="B68" s="250">
        <v>2020</v>
      </c>
      <c r="C68" s="250">
        <v>2030</v>
      </c>
      <c r="D68" s="250">
        <v>2040</v>
      </c>
      <c r="E68" s="250">
        <v>2050</v>
      </c>
      <c r="F68" s="247"/>
      <c r="G68" s="247"/>
      <c r="H68" s="247"/>
      <c r="I68" s="247"/>
      <c r="J68" s="247"/>
      <c r="K68" s="247"/>
      <c r="L68" s="247"/>
      <c r="M68" s="247"/>
      <c r="N68" s="247"/>
      <c r="O68" s="248"/>
      <c r="P68" s="247"/>
      <c r="Q68" s="247"/>
      <c r="R68" s="247"/>
      <c r="S68" s="247"/>
      <c r="T68" s="247"/>
      <c r="U68" s="247"/>
      <c r="V68" s="247"/>
      <c r="W68" s="247"/>
      <c r="X68" s="249" t="s">
        <v>20</v>
      </c>
      <c r="Y68" s="250">
        <v>2020</v>
      </c>
      <c r="Z68" s="250">
        <v>2030</v>
      </c>
      <c r="AA68" s="250">
        <v>2040</v>
      </c>
      <c r="AB68" s="250">
        <v>2050</v>
      </c>
    </row>
    <row r="69" spans="1:28">
      <c r="A69" s="251" t="s">
        <v>15</v>
      </c>
      <c r="B69" s="252">
        <f>B57*$B$76/$B$64</f>
        <v>18977.701454552622</v>
      </c>
      <c r="C69" s="252">
        <f t="shared" ref="C69:E69" si="23">C57*$B$76/$B$64</f>
        <v>12170.095617984849</v>
      </c>
      <c r="D69" s="252">
        <f t="shared" si="23"/>
        <v>8554.4423933309281</v>
      </c>
      <c r="E69" s="252">
        <f t="shared" si="23"/>
        <v>5337.3494139029517</v>
      </c>
      <c r="F69" s="247"/>
      <c r="G69" s="247"/>
      <c r="H69" s="247"/>
      <c r="I69" s="247"/>
      <c r="J69" s="247"/>
      <c r="K69" s="247"/>
      <c r="L69" s="247"/>
      <c r="M69" s="247"/>
      <c r="N69" s="247"/>
      <c r="O69" s="248"/>
      <c r="P69" s="247"/>
      <c r="Q69" s="247"/>
      <c r="R69" s="247"/>
      <c r="S69" s="247"/>
      <c r="T69" s="247"/>
      <c r="U69" s="247"/>
      <c r="V69" s="247"/>
      <c r="W69" s="247"/>
      <c r="X69" s="251" t="s">
        <v>15</v>
      </c>
      <c r="Y69" s="252">
        <f>Y57*$B$76/$B$64</f>
        <v>18977.701454552622</v>
      </c>
      <c r="Z69" s="252">
        <f t="shared" ref="Z69:AB69" si="24">Z57*$B$76/$B$64</f>
        <v>1536.1933770042028</v>
      </c>
      <c r="AA69" s="252">
        <f t="shared" si="24"/>
        <v>0</v>
      </c>
      <c r="AB69" s="252">
        <f t="shared" si="24"/>
        <v>0</v>
      </c>
    </row>
    <row r="70" spans="1:28">
      <c r="A70" s="251" t="s">
        <v>16</v>
      </c>
      <c r="B70" s="252">
        <f t="shared" ref="B70:E76" si="25">B58*$B$76/$B$64</f>
        <v>60090.319089089586</v>
      </c>
      <c r="C70" s="252">
        <f t="shared" si="25"/>
        <v>45246.768262006262</v>
      </c>
      <c r="D70" s="252">
        <f t="shared" si="25"/>
        <v>38453.924128666455</v>
      </c>
      <c r="E70" s="252">
        <f t="shared" si="25"/>
        <v>31629.541835205579</v>
      </c>
      <c r="F70" s="247"/>
      <c r="G70" s="247"/>
      <c r="H70" s="247"/>
      <c r="I70" s="247"/>
      <c r="J70" s="247"/>
      <c r="K70" s="247"/>
      <c r="L70" s="247"/>
      <c r="M70" s="247"/>
      <c r="N70" s="247"/>
      <c r="O70" s="248"/>
      <c r="P70" s="247"/>
      <c r="Q70" s="247"/>
      <c r="R70" s="247"/>
      <c r="S70" s="247"/>
      <c r="T70" s="247"/>
      <c r="U70" s="247"/>
      <c r="V70" s="247"/>
      <c r="W70" s="247"/>
      <c r="X70" s="251" t="s">
        <v>16</v>
      </c>
      <c r="Y70" s="252">
        <f t="shared" ref="Y70:AB70" si="26">Y58*$B$76/$B$64</f>
        <v>60090.319089089586</v>
      </c>
      <c r="Z70" s="252">
        <f t="shared" si="26"/>
        <v>41689.331084941281</v>
      </c>
      <c r="AA70" s="252">
        <f t="shared" si="26"/>
        <v>17605.252357625213</v>
      </c>
      <c r="AB70" s="252">
        <f t="shared" si="26"/>
        <v>4318.0282333156392</v>
      </c>
    </row>
    <row r="71" spans="1:28">
      <c r="A71" s="251" t="s">
        <v>21</v>
      </c>
      <c r="B71" s="252">
        <f t="shared" si="25"/>
        <v>7975.7492455121046</v>
      </c>
      <c r="C71" s="252">
        <f t="shared" si="25"/>
        <v>7543.172058786653</v>
      </c>
      <c r="D71" s="252">
        <f t="shared" si="25"/>
        <v>7790.3606950955909</v>
      </c>
      <c r="E71" s="252">
        <f t="shared" si="25"/>
        <v>7691.8333369628908</v>
      </c>
      <c r="F71" s="247"/>
      <c r="G71" s="247"/>
      <c r="H71" s="247"/>
      <c r="I71" s="247"/>
      <c r="J71" s="247"/>
      <c r="K71" s="247"/>
      <c r="L71" s="247"/>
      <c r="M71" s="247"/>
      <c r="N71" s="247"/>
      <c r="O71" s="248"/>
      <c r="P71" s="247"/>
      <c r="Q71" s="247"/>
      <c r="R71" s="247"/>
      <c r="S71" s="247"/>
      <c r="T71" s="247"/>
      <c r="U71" s="247"/>
      <c r="V71" s="247"/>
      <c r="W71" s="247"/>
      <c r="X71" s="251" t="s">
        <v>21</v>
      </c>
      <c r="Y71" s="252">
        <f t="shared" ref="Y71:AA71" si="27">Y59*$B$76/$B$64</f>
        <v>7975.7492455121037</v>
      </c>
      <c r="Z71" s="252">
        <f t="shared" si="27"/>
        <v>16299.045979828925</v>
      </c>
      <c r="AA71" s="252">
        <f t="shared" si="27"/>
        <v>17241.473065450067</v>
      </c>
      <c r="AB71" s="252">
        <f>AB59*$B$76/$B$64</f>
        <v>16580.920655851278</v>
      </c>
    </row>
    <row r="72" spans="1:28">
      <c r="A72" s="251" t="s">
        <v>22</v>
      </c>
      <c r="B72" s="252">
        <f t="shared" si="25"/>
        <v>1389.3734454724706</v>
      </c>
      <c r="C72" s="252">
        <f t="shared" si="25"/>
        <v>1140.269605413084</v>
      </c>
      <c r="D72" s="252">
        <f t="shared" si="25"/>
        <v>1048.2316356354397</v>
      </c>
      <c r="E72" s="252">
        <f t="shared" si="25"/>
        <v>940.33662383929641</v>
      </c>
      <c r="F72" s="247"/>
      <c r="G72" s="247"/>
      <c r="H72" s="247"/>
      <c r="I72" s="247"/>
      <c r="J72" s="247"/>
      <c r="K72" s="247"/>
      <c r="L72" s="247"/>
      <c r="M72" s="247"/>
      <c r="N72" s="247"/>
      <c r="O72" s="248"/>
      <c r="P72" s="247"/>
      <c r="Q72" s="247"/>
      <c r="R72" s="247"/>
      <c r="S72" s="247"/>
      <c r="T72" s="247"/>
      <c r="U72" s="247"/>
      <c r="V72" s="247"/>
      <c r="W72" s="247"/>
      <c r="X72" s="251" t="s">
        <v>22</v>
      </c>
      <c r="Y72" s="252">
        <f t="shared" ref="Y72:AB72" si="28">Y60*$B$76/$B$64</f>
        <v>1389.3734454724706</v>
      </c>
      <c r="Z72" s="252">
        <f t="shared" si="28"/>
        <v>792.01214535526458</v>
      </c>
      <c r="AA72" s="252">
        <f t="shared" si="28"/>
        <v>450.88078700462302</v>
      </c>
      <c r="AB72" s="252">
        <f t="shared" si="28"/>
        <v>49.428609556949603</v>
      </c>
    </row>
    <row r="73" spans="1:28">
      <c r="A73" s="251" t="s">
        <v>42</v>
      </c>
      <c r="B73" s="252">
        <f t="shared" si="25"/>
        <v>1422.0635067241378</v>
      </c>
      <c r="C73" s="252">
        <f t="shared" si="25"/>
        <v>1360.9772593219598</v>
      </c>
      <c r="D73" s="252">
        <f t="shared" si="25"/>
        <v>1422.9615485399524</v>
      </c>
      <c r="E73" s="252">
        <f t="shared" si="25"/>
        <v>1425.6434975649684</v>
      </c>
      <c r="F73" s="247"/>
      <c r="G73" s="247"/>
      <c r="H73" s="247"/>
      <c r="I73" s="247"/>
      <c r="J73" s="247"/>
      <c r="K73" s="247"/>
      <c r="L73" s="247"/>
      <c r="M73" s="247"/>
      <c r="N73" s="247"/>
      <c r="O73" s="248"/>
      <c r="P73" s="247"/>
      <c r="Q73" s="247"/>
      <c r="R73" s="247"/>
      <c r="S73" s="247"/>
      <c r="T73" s="247"/>
      <c r="U73" s="247"/>
      <c r="V73" s="247"/>
      <c r="W73" s="247"/>
      <c r="X73" s="251" t="s">
        <v>42</v>
      </c>
      <c r="Y73" s="252">
        <f t="shared" ref="Y73:AB73" si="29">Y61*$B$76/$B$64</f>
        <v>1422.0635067241378</v>
      </c>
      <c r="Z73" s="252">
        <f t="shared" si="29"/>
        <v>1683.5226898177584</v>
      </c>
      <c r="AA73" s="252">
        <f t="shared" si="29"/>
        <v>2142.1299120638359</v>
      </c>
      <c r="AB73" s="252">
        <f t="shared" si="29"/>
        <v>2220.5795445985359</v>
      </c>
    </row>
    <row r="74" spans="1:28">
      <c r="A74" s="251" t="s">
        <v>48</v>
      </c>
      <c r="B74" s="252">
        <f t="shared" si="25"/>
        <v>18941.42362959349</v>
      </c>
      <c r="C74" s="252">
        <f t="shared" si="25"/>
        <v>16512.267500693477</v>
      </c>
      <c r="D74" s="252">
        <f t="shared" si="25"/>
        <v>16180.841695485959</v>
      </c>
      <c r="E74" s="252">
        <f t="shared" si="25"/>
        <v>15457.399309713908</v>
      </c>
      <c r="F74" s="247"/>
      <c r="G74" s="247"/>
      <c r="H74" s="247"/>
      <c r="I74" s="247"/>
      <c r="J74" s="247"/>
      <c r="K74" s="247"/>
      <c r="L74" s="247"/>
      <c r="M74" s="247"/>
      <c r="N74" s="247"/>
      <c r="O74" s="248"/>
      <c r="P74" s="247"/>
      <c r="Q74" s="247"/>
      <c r="R74" s="247"/>
      <c r="S74" s="247"/>
      <c r="T74" s="247"/>
      <c r="U74" s="247"/>
      <c r="V74" s="247"/>
      <c r="W74" s="247"/>
      <c r="X74" s="251" t="s">
        <v>48</v>
      </c>
      <c r="Y74" s="252">
        <f>Y62*$B$76/$B$64</f>
        <v>18941.42362959349</v>
      </c>
      <c r="Z74" s="252">
        <f t="shared" ref="Z74:AB74" si="30">Z62*$B$76/$B$64</f>
        <v>10836.434004217279</v>
      </c>
      <c r="AA74" s="252">
        <f t="shared" si="30"/>
        <v>9970.9393745362595</v>
      </c>
      <c r="AB74" s="252">
        <f t="shared" si="30"/>
        <v>7669.7425376934625</v>
      </c>
    </row>
    <row r="75" spans="1:28">
      <c r="A75" s="251" t="s">
        <v>49</v>
      </c>
      <c r="B75" s="252">
        <f t="shared" si="25"/>
        <v>3203.3696290555772</v>
      </c>
      <c r="C75" s="252">
        <f t="shared" si="25"/>
        <v>3985.461074894547</v>
      </c>
      <c r="D75" s="252">
        <f t="shared" si="25"/>
        <v>4648.2783360662206</v>
      </c>
      <c r="E75" s="252">
        <f t="shared" si="25"/>
        <v>4986.3019514881198</v>
      </c>
      <c r="F75" s="247"/>
      <c r="G75" s="247"/>
      <c r="H75" s="247"/>
      <c r="I75" s="247"/>
      <c r="J75" s="247"/>
      <c r="K75" s="247"/>
      <c r="L75" s="247"/>
      <c r="M75" s="247"/>
      <c r="N75" s="247"/>
      <c r="O75" s="248"/>
      <c r="P75" s="247"/>
      <c r="Q75" s="247"/>
      <c r="R75" s="247"/>
      <c r="S75" s="247"/>
      <c r="T75" s="247"/>
      <c r="U75" s="247"/>
      <c r="V75" s="247"/>
      <c r="W75" s="247"/>
      <c r="X75" s="251" t="s">
        <v>49</v>
      </c>
      <c r="Y75" s="252">
        <f t="shared" ref="Y75:AB75" si="31">Y63*$B$76/$B$64</f>
        <v>3203.3696290555772</v>
      </c>
      <c r="Z75" s="252">
        <f t="shared" si="31"/>
        <v>10147.086060386955</v>
      </c>
      <c r="AA75" s="252">
        <f t="shared" si="31"/>
        <v>16504.575065158489</v>
      </c>
      <c r="AB75" s="252">
        <f t="shared" si="31"/>
        <v>19130.750200307208</v>
      </c>
    </row>
    <row r="76" spans="1:28">
      <c r="A76" s="253" t="s">
        <v>17</v>
      </c>
      <c r="B76" s="254">
        <v>112000</v>
      </c>
      <c r="C76" s="252">
        <f t="shared" si="25"/>
        <v>87959.011379100833</v>
      </c>
      <c r="D76" s="252">
        <f t="shared" si="25"/>
        <v>78099.040432820562</v>
      </c>
      <c r="E76" s="252">
        <f>E64*$B$76/$B$64</f>
        <v>67468.405968677718</v>
      </c>
      <c r="F76" s="247"/>
      <c r="G76" s="247"/>
      <c r="H76" s="247"/>
      <c r="I76" s="247"/>
      <c r="J76" s="247"/>
      <c r="K76" s="247"/>
      <c r="L76" s="247"/>
      <c r="M76" s="247"/>
      <c r="N76" s="247"/>
      <c r="O76" s="248"/>
      <c r="P76" s="247"/>
      <c r="Q76" s="247"/>
      <c r="R76" s="247"/>
      <c r="S76" s="247"/>
      <c r="T76" s="247"/>
      <c r="U76" s="247"/>
      <c r="V76" s="247"/>
      <c r="W76" s="247"/>
      <c r="X76" s="253" t="s">
        <v>17</v>
      </c>
      <c r="Y76" s="254">
        <v>112000</v>
      </c>
      <c r="Z76" s="252">
        <f t="shared" ref="Z76:AB76" si="32">Z64*$B$76/$B$64</f>
        <v>82983.625341551669</v>
      </c>
      <c r="AA76" s="252">
        <f t="shared" si="32"/>
        <v>63915.250561838482</v>
      </c>
      <c r="AB76" s="252">
        <f t="shared" si="32"/>
        <v>49969.44978132307</v>
      </c>
    </row>
    <row r="77" spans="1:28" ht="18.5">
      <c r="A77" s="255" t="s">
        <v>112</v>
      </c>
      <c r="B77" s="256">
        <f>B76/$B76-1</f>
        <v>0</v>
      </c>
      <c r="C77" s="256">
        <f>C76/$B76-1</f>
        <v>-0.2146516841151711</v>
      </c>
      <c r="D77" s="256">
        <f>D76/$B76-1</f>
        <v>-0.30268713899267352</v>
      </c>
      <c r="E77" s="257">
        <f>E76/$B76-1</f>
        <v>-0.39760351813680606</v>
      </c>
      <c r="F77" s="247"/>
      <c r="G77" s="247"/>
      <c r="H77" s="247"/>
      <c r="I77" s="247"/>
      <c r="J77" s="247"/>
      <c r="K77" s="247"/>
      <c r="L77" s="247"/>
      <c r="M77" s="247"/>
      <c r="N77" s="247"/>
      <c r="O77" s="248"/>
      <c r="P77" s="247"/>
      <c r="Q77" s="247"/>
      <c r="R77" s="247"/>
      <c r="S77" s="247"/>
      <c r="T77" s="247"/>
      <c r="U77" s="247"/>
      <c r="V77" s="247"/>
      <c r="W77" s="247"/>
      <c r="X77" s="255" t="s">
        <v>112</v>
      </c>
      <c r="Y77" s="256">
        <f>Y76/$Y76-1</f>
        <v>0</v>
      </c>
      <c r="Z77" s="256">
        <f t="shared" ref="Z77:AB77" si="33">Z76/$Y76-1</f>
        <v>-0.25907477373614585</v>
      </c>
      <c r="AA77" s="256">
        <f t="shared" si="33"/>
        <v>-0.429328119983585</v>
      </c>
      <c r="AB77" s="257">
        <f t="shared" si="33"/>
        <v>-0.55384419838104404</v>
      </c>
    </row>
    <row r="78" spans="1:28">
      <c r="O78" s="192"/>
    </row>
    <row r="79" spans="1:28">
      <c r="A79" s="391" t="s">
        <v>114</v>
      </c>
      <c r="B79" s="392"/>
      <c r="C79" s="392"/>
      <c r="D79" s="392"/>
      <c r="E79" s="392"/>
      <c r="O79" s="192"/>
      <c r="X79" s="391" t="s">
        <v>118</v>
      </c>
      <c r="Y79" s="392"/>
      <c r="Z79" s="392"/>
      <c r="AA79" s="392"/>
      <c r="AB79" s="392"/>
    </row>
    <row r="80" spans="1:28">
      <c r="A80" s="8" t="s">
        <v>20</v>
      </c>
      <c r="B80" s="9">
        <v>2020</v>
      </c>
      <c r="C80" s="9">
        <v>2030</v>
      </c>
      <c r="D80" s="9">
        <v>2040</v>
      </c>
      <c r="E80" s="9">
        <v>2050</v>
      </c>
      <c r="O80" s="192"/>
      <c r="X80" s="8" t="s">
        <v>20</v>
      </c>
      <c r="Y80" s="9">
        <v>2020</v>
      </c>
      <c r="Z80" s="9">
        <v>2030</v>
      </c>
      <c r="AA80" s="9">
        <v>2040</v>
      </c>
      <c r="AB80" s="9">
        <v>2050</v>
      </c>
    </row>
    <row r="81" spans="1:28">
      <c r="A81" s="125" t="s">
        <v>15</v>
      </c>
      <c r="B81" s="86">
        <f>'Bureaux - AME'!H107+'CaHoREs - AME'!H107+'Commerce - AME'!H107+'Enseignement - AME'!H107+'Santé social - AME'!H107+'Sport Loisir Culture - AME'!H107+'Transport - AME'!H107</f>
        <v>6456.0750370097485</v>
      </c>
      <c r="C81" s="86">
        <f>'Bureaux - AME'!I107+'CaHoREs - AME'!I107+'Commerce - AME'!I107+'Enseignement - AME'!I107+'Santé social - AME'!I107+'Sport Loisir Culture - AME'!I107+'Transport - AME'!I107</f>
        <v>3203.0851145541724</v>
      </c>
      <c r="D81" s="86">
        <f>'Bureaux - AME'!J107+'CaHoREs - AME'!J107+'Commerce - AME'!J107+'Enseignement - AME'!J107+'Santé social - AME'!J107+'Sport Loisir Culture - AME'!J107+'Transport - AME'!J107</f>
        <v>2150.7264726376497</v>
      </c>
      <c r="E81" s="86">
        <f>'Bureaux - AME'!K107+'CaHoREs - AME'!K107+'Commerce - AME'!K107+'Enseignement - AME'!K107+'Santé social - AME'!K107+'Sport Loisir Culture - AME'!K107+'Transport - AME'!K107</f>
        <v>1242.1545685741517</v>
      </c>
      <c r="O81" s="192"/>
      <c r="X81" s="125" t="s">
        <v>15</v>
      </c>
      <c r="Y81" s="86">
        <f>'Bureaux - AMS'!H107+'CaHoREs - AMS'!H107+'Commerce - AMS'!H107+'Enseignement - AMS'!H107+'Santé social - AMS'!H107+'Sport Loisir Culture - AMS'!H107+'Transport - AMS'!H107</f>
        <v>14546.581962408953</v>
      </c>
      <c r="Z81" s="86">
        <f>'Bureaux - AMS'!I107+'CaHoREs - AMS'!I107+'Commerce - AMS'!I107+'Enseignement - AMS'!I107+'Santé social - AMS'!I107+'Sport Loisir Culture - AMS'!I107+'Transport - AMS'!I107</f>
        <v>1199.3679369909769</v>
      </c>
      <c r="AA81" s="86">
        <f>'Bureaux - AMS'!J107+'CaHoREs - AMS'!J107+'Commerce - AMS'!J107+'Enseignement - AMS'!J107+'Santé social - AMS'!J107+'Sport Loisir Culture - AMS'!J107+'Transport - AMS'!J107</f>
        <v>0</v>
      </c>
      <c r="AB81" s="86">
        <f>'Bureaux - AMS'!K107+'CaHoREs - AMS'!K107+'Commerce - AMS'!K107+'Enseignement - AMS'!K107+'Santé social - AMS'!K107+'Sport Loisir Culture - AMS'!K107+'Transport - AMS'!K107</f>
        <v>0</v>
      </c>
    </row>
    <row r="82" spans="1:28">
      <c r="A82" s="125" t="s">
        <v>16</v>
      </c>
      <c r="B82" s="86">
        <f>'Bureaux - AME'!H108+'CaHoREs - AME'!H108+'Commerce - AME'!H108+'Enseignement - AME'!H108+'Santé social - AME'!H108+'Sport Loisir Culture - AME'!H108+'Transport - AME'!H108</f>
        <v>19872.083990790863</v>
      </c>
      <c r="C82" s="86">
        <f>'Bureaux - AME'!I108+'CaHoREs - AME'!I108+'Commerce - AME'!I108+'Enseignement - AME'!I108+'Santé social - AME'!I108+'Sport Loisir Culture - AME'!I108+'Transport - AME'!I108</f>
        <v>11182.697670352452</v>
      </c>
      <c r="D82" s="86">
        <f>'Bureaux - AME'!J108+'CaHoREs - AME'!J108+'Commerce - AME'!J108+'Enseignement - AME'!J108+'Santé social - AME'!J108+'Sport Loisir Culture - AME'!J108+'Transport - AME'!J108</f>
        <v>8941.6961714400531</v>
      </c>
      <c r="E82" s="86">
        <f>'Bureaux - AME'!K108+'CaHoREs - AME'!K108+'Commerce - AME'!K108+'Enseignement - AME'!K108+'Santé social - AME'!K108+'Sport Loisir Culture - AME'!K108+'Transport - AME'!K108</f>
        <v>6748.4768609507164</v>
      </c>
      <c r="O82" s="192"/>
      <c r="X82" s="125" t="s">
        <v>16</v>
      </c>
      <c r="Y82" s="86">
        <f>'Bureaux - AMS'!H108+'CaHoREs - AMS'!H108+'Commerce - AMS'!H108+'Enseignement - AMS'!H108+'Santé social - AMS'!H108+'Sport Loisir Culture - AMS'!H108+'Transport - AMS'!H108</f>
        <v>45318.312693044652</v>
      </c>
      <c r="Z82" s="86">
        <f>'Bureaux - AMS'!I108+'CaHoREs - AMS'!I108+'Commerce - AMS'!I108+'Enseignement - AMS'!I108+'Santé social - AMS'!I108+'Sport Loisir Culture - AMS'!I108+'Transport - AMS'!I108</f>
        <v>30732.827350342759</v>
      </c>
      <c r="AA82" s="86">
        <f>'Bureaux - AMS'!J108+'CaHoREs - AMS'!J108+'Commerce - AMS'!J108+'Enseignement - AMS'!J108+'Santé social - AMS'!J108+'Sport Loisir Culture - AMS'!J108+'Transport - AMS'!J108</f>
        <v>12939.602753624255</v>
      </c>
      <c r="AB82" s="86">
        <f>'Bureaux - AMS'!K108+'CaHoREs - AMS'!K108+'Commerce - AMS'!K108+'Enseignement - AMS'!K108+'Santé social - AMS'!K108+'Sport Loisir Culture - AMS'!K108+'Transport - AMS'!K108</f>
        <v>3091.6118272741746</v>
      </c>
    </row>
    <row r="83" spans="1:28">
      <c r="A83" s="125" t="s">
        <v>21</v>
      </c>
      <c r="B83" s="86">
        <f>'Bureaux - AME'!H109+'CaHoREs - AME'!H109+'Commerce - AME'!H109+'Enseignement - AME'!H109+'Santé social - AME'!H109+'Sport Loisir Culture - AME'!H109+'Transport - AME'!H109</f>
        <v>2766.7137386190825</v>
      </c>
      <c r="C83" s="86">
        <f>'Bureaux - AME'!I109+'CaHoREs - AME'!I109+'Commerce - AME'!I109+'Enseignement - AME'!I109+'Santé social - AME'!I109+'Sport Loisir Culture - AME'!I109+'Transport - AME'!I109</f>
        <v>1870.3752893218407</v>
      </c>
      <c r="D83" s="86">
        <f>'Bureaux - AME'!J109+'CaHoREs - AME'!J109+'Commerce - AME'!J109+'Enseignement - AME'!J109+'Santé social - AME'!J109+'Sport Loisir Culture - AME'!J109+'Transport - AME'!J109</f>
        <v>1774.3556367486319</v>
      </c>
      <c r="E83" s="86">
        <f>'Bureaux - AME'!K109+'CaHoREs - AME'!K109+'Commerce - AME'!K109+'Enseignement - AME'!K109+'Santé social - AME'!K109+'Sport Loisir Culture - AME'!K109+'Transport - AME'!K109</f>
        <v>1573.3412415021883</v>
      </c>
      <c r="O83" s="192"/>
      <c r="X83" s="125" t="s">
        <v>21</v>
      </c>
      <c r="Y83" s="86">
        <f>'Bureaux - AMS'!H109+'CaHoREs - AMS'!H109+'Commerce - AMS'!H109+'Enseignement - AMS'!H109+'Santé social - AMS'!H109+'Sport Loisir Culture - AMS'!H109+'Transport - AMS'!H109</f>
        <v>6199.2059430375011</v>
      </c>
      <c r="Z83" s="86">
        <f>'Bureaux - AMS'!I109+'CaHoREs - AMS'!I109+'Commerce - AMS'!I109+'Enseignement - AMS'!I109+'Santé social - AMS'!I109+'Sport Loisir Culture - AMS'!I109+'Transport - AMS'!I109</f>
        <v>11561.782767002283</v>
      </c>
      <c r="AA83" s="86">
        <f>'Bureaux - AMS'!J109+'CaHoREs - AMS'!J109+'Commerce - AMS'!J109+'Enseignement - AMS'!J109+'Santé social - AMS'!J109+'Sport Loisir Culture - AMS'!J109+'Transport - AMS'!J109</f>
        <v>12215.564047507583</v>
      </c>
      <c r="AB83" s="86">
        <f>'Bureaux - AMS'!K109+'CaHoREs - AMS'!K109+'Commerce - AMS'!K109+'Enseignement - AMS'!K109+'Santé social - AMS'!K109+'Sport Loisir Culture - AMS'!K109+'Transport - AMS'!K109</f>
        <v>11781.282609257221</v>
      </c>
    </row>
    <row r="84" spans="1:28">
      <c r="A84" s="125" t="s">
        <v>22</v>
      </c>
      <c r="B84" s="86">
        <f>'Bureaux - AME'!H110+'CaHoREs - AME'!H110+'Commerce - AME'!H110+'Enseignement - AME'!H110+'Santé social - AME'!H110+'Sport Loisir Culture - AME'!H110+'Transport - AME'!H110</f>
        <v>471.46915147372886</v>
      </c>
      <c r="C84" s="86">
        <f>'Bureaux - AME'!I110+'CaHoREs - AME'!I110+'Commerce - AME'!I110+'Enseignement - AME'!I110+'Santé social - AME'!I110+'Sport Loisir Culture - AME'!I110+'Transport - AME'!I110</f>
        <v>284.06260620705774</v>
      </c>
      <c r="D84" s="86">
        <f>'Bureaux - AME'!J110+'CaHoREs - AME'!J110+'Commerce - AME'!J110+'Enseignement - AME'!J110+'Santé social - AME'!J110+'Sport Loisir Culture - AME'!J110+'Transport - AME'!J110</f>
        <v>246.31506872568485</v>
      </c>
      <c r="E84" s="86">
        <f>'Bureaux - AME'!K110+'CaHoREs - AME'!K110+'Commerce - AME'!K110+'Enseignement - AME'!K110+'Santé social - AME'!K110+'Sport Loisir Culture - AME'!K110+'Transport - AME'!K110</f>
        <v>204.39884417200466</v>
      </c>
      <c r="O84" s="192"/>
      <c r="X84" s="125" t="s">
        <v>22</v>
      </c>
      <c r="Y84" s="86">
        <f>'Bureaux - AMS'!H110+'CaHoREs - AMS'!H110+'Commerce - AMS'!H110+'Enseignement - AMS'!H110+'Santé social - AMS'!H110+'Sport Loisir Culture - AMS'!H110+'Transport - AMS'!H110</f>
        <v>1065.7368363205533</v>
      </c>
      <c r="Z84" s="86">
        <f>'Bureaux - AMS'!I110+'CaHoREs - AMS'!I110+'Commerce - AMS'!I110+'Enseignement - AMS'!I110+'Santé social - AMS'!I110+'Sport Loisir Culture - AMS'!I110+'Transport - AMS'!I110</f>
        <v>541.73803715224949</v>
      </c>
      <c r="AA84" s="86">
        <f>'Bureaux - AMS'!J110+'CaHoREs - AMS'!J110+'Commerce - AMS'!J110+'Enseignement - AMS'!J110+'Santé social - AMS'!J110+'Sport Loisir Culture - AMS'!J110+'Transport - AMS'!J110</f>
        <v>292.84513275262481</v>
      </c>
      <c r="AB84" s="86">
        <f>'Bureaux - AMS'!K110+'CaHoREs - AMS'!K110+'Commerce - AMS'!K110+'Enseignement - AMS'!K110+'Santé social - AMS'!K110+'Sport Loisir Culture - AMS'!K110+'Transport - AMS'!K110</f>
        <v>0</v>
      </c>
    </row>
    <row r="85" spans="1:28">
      <c r="A85" s="125" t="s">
        <v>42</v>
      </c>
      <c r="B85" s="86">
        <f>'Bureaux - AME'!H111+'CaHoREs - AME'!H111+'Commerce - AME'!H111+'Enseignement - AME'!H111+'Santé social - AME'!H111+'Sport Loisir Culture - AME'!H111+'Transport - AME'!H111</f>
        <v>476.9305271185533</v>
      </c>
      <c r="C85" s="86">
        <f>'Bureaux - AME'!I111+'CaHoREs - AME'!I111+'Commerce - AME'!I111+'Enseignement - AME'!I111+'Santé social - AME'!I111+'Sport Loisir Culture - AME'!I111+'Transport - AME'!I111</f>
        <v>319.89322562579213</v>
      </c>
      <c r="D85" s="86">
        <f>'Bureaux - AME'!J111+'CaHoREs - AME'!J111+'Commerce - AME'!J111+'Enseignement - AME'!J111+'Santé social - AME'!J111+'Sport Loisir Culture - AME'!J111+'Transport - AME'!J111</f>
        <v>303.0799541536993</v>
      </c>
      <c r="E85" s="86">
        <f>'Bureaux - AME'!K111+'CaHoREs - AME'!K111+'Commerce - AME'!K111+'Enseignement - AME'!K111+'Santé social - AME'!K111+'Sport Loisir Culture - AME'!K111+'Transport - AME'!K111</f>
        <v>269.05547250340601</v>
      </c>
      <c r="O85" s="192"/>
      <c r="X85" s="125" t="s">
        <v>42</v>
      </c>
      <c r="Y85" s="86">
        <f>'Bureaux - AMS'!H111+'CaHoREs - AMS'!H111+'Commerce - AMS'!H111+'Enseignement - AMS'!H111+'Santé social - AMS'!H111+'Sport Loisir Culture - AMS'!H111+'Transport - AMS'!H111</f>
        <v>1080.226352439347</v>
      </c>
      <c r="Z85" s="86">
        <f>'Bureaux - AMS'!I111+'CaHoREs - AMS'!I111+'Commerce - AMS'!I111+'Enseignement - AMS'!I111+'Santé social - AMS'!I111+'Sport Loisir Culture - AMS'!I111+'Transport - AMS'!I111</f>
        <v>1162.5081269891277</v>
      </c>
      <c r="AA85" s="86">
        <f>'Bureaux - AMS'!J111+'CaHoREs - AMS'!J111+'Commerce - AMS'!J111+'Enseignement - AMS'!J111+'Santé social - AMS'!J111+'Sport Loisir Culture - AMS'!J111+'Transport - AMS'!J111</f>
        <v>1462.1616543452326</v>
      </c>
      <c r="AB85" s="86">
        <f>'Bureaux - AMS'!K111+'CaHoREs - AMS'!K111+'Commerce - AMS'!K111+'Enseignement - AMS'!K111+'Santé social - AMS'!K111+'Sport Loisir Culture - AMS'!K111+'Transport - AMS'!K111</f>
        <v>1449.3645461016047</v>
      </c>
    </row>
    <row r="86" spans="1:28">
      <c r="A86" s="125" t="s">
        <v>48</v>
      </c>
      <c r="B86" s="86">
        <f>'Bureaux - AME'!H112+'CaHoREs - AME'!H112+'Commerce - AME'!H112+'Enseignement - AME'!H112+'Santé social - AME'!H112+'Sport Loisir Culture - AME'!H112+'Transport - AME'!H112</f>
        <v>5777.386807591326</v>
      </c>
      <c r="C86" s="86">
        <f>'Bureaux - AME'!I112+'CaHoREs - AME'!I112+'Commerce - AME'!I112+'Enseignement - AME'!I112+'Santé social - AME'!I112+'Sport Loisir Culture - AME'!I112+'Transport - AME'!I112</f>
        <v>3838.699990443426</v>
      </c>
      <c r="D86" s="86">
        <f>'Bureaux - AME'!J112+'CaHoREs - AME'!J112+'Commerce - AME'!J112+'Enseignement - AME'!J112+'Santé social - AME'!J112+'Sport Loisir Culture - AME'!J112+'Transport - AME'!J112</f>
        <v>3625.4572049521803</v>
      </c>
      <c r="E86" s="86">
        <f>'Bureaux - AME'!K112+'CaHoREs - AME'!K112+'Commerce - AME'!K112+'Enseignement - AME'!K112+'Santé social - AME'!K112+'Sport Loisir Culture - AME'!K112+'Transport - AME'!K112</f>
        <v>3240.3995234152853</v>
      </c>
      <c r="O86" s="192"/>
      <c r="X86" s="125" t="s">
        <v>48</v>
      </c>
      <c r="Y86" s="86">
        <f>'Bureaux - AMS'!H112+'CaHoREs - AMS'!H112+'Commerce - AMS'!H112+'Enseignement - AMS'!H112+'Santé social - AMS'!H112+'Sport Loisir Culture - AMS'!H112+'Transport - AMS'!H112</f>
        <v>13612.830058562633</v>
      </c>
      <c r="Z86" s="86">
        <f>'Bureaux - AMS'!I112+'CaHoREs - AMS'!I112+'Commerce - AMS'!I112+'Enseignement - AMS'!I112+'Santé social - AMS'!I112+'Sport Loisir Culture - AMS'!I112+'Transport - AMS'!I112</f>
        <v>7621.3200107337007</v>
      </c>
      <c r="AA86" s="86">
        <f>'Bureaux - AMS'!J112+'CaHoREs - AMS'!J112+'Commerce - AMS'!J112+'Enseignement - AMS'!J112+'Santé social - AMS'!J112+'Sport Loisir Culture - AMS'!J112+'Transport - AMS'!J112</f>
        <v>7220.3109814088248</v>
      </c>
      <c r="AB86" s="86">
        <f>'Bureaux - AMS'!K112+'CaHoREs - AMS'!K112+'Commerce - AMS'!K112+'Enseignement - AMS'!K112+'Santé social - AMS'!K112+'Sport Loisir Culture - AMS'!K112+'Transport - AMS'!K112</f>
        <v>5633.2699741540646</v>
      </c>
    </row>
    <row r="87" spans="1:28">
      <c r="A87" s="125" t="s">
        <v>49</v>
      </c>
      <c r="B87" s="86">
        <f>'Bureaux - AME'!H113+'CaHoREs - AME'!H113+'Commerce - AME'!H113+'Enseignement - AME'!H113+'Santé social - AME'!H113+'Sport Loisir Culture - AME'!H113+'Transport - AME'!H113</f>
        <v>932.23784072152625</v>
      </c>
      <c r="C87" s="86">
        <f>'Bureaux - AME'!I113+'CaHoREs - AME'!I113+'Commerce - AME'!I113+'Enseignement - AME'!I113+'Santé social - AME'!I113+'Sport Loisir Culture - AME'!I113+'Transport - AME'!I113</f>
        <v>820.08508088134749</v>
      </c>
      <c r="D87" s="86">
        <f>'Bureaux - AME'!J113+'CaHoREs - AME'!J113+'Commerce - AME'!J113+'Enseignement - AME'!J113+'Santé social - AME'!J113+'Sport Loisir Culture - AME'!J113+'Transport - AME'!J113</f>
        <v>918.79037367796491</v>
      </c>
      <c r="E87" s="86">
        <f>'Bureaux - AME'!K113+'CaHoREs - AME'!K113+'Commerce - AME'!K113+'Enseignement - AME'!K113+'Santé social - AME'!K113+'Sport Loisir Culture - AME'!K113+'Transport - AME'!K113</f>
        <v>916.00577488608542</v>
      </c>
      <c r="O87" s="192"/>
      <c r="X87" s="125" t="s">
        <v>49</v>
      </c>
      <c r="Y87" s="86">
        <f>'Bureaux - AMS'!H113+'CaHoREs - AMS'!H113+'Commerce - AMS'!H113+'Enseignement - AMS'!H113+'Santé social - AMS'!H113+'Sport Loisir Culture - AMS'!H113+'Transport - AMS'!H113</f>
        <v>2244.6647472493396</v>
      </c>
      <c r="Z87" s="86">
        <f>'Bureaux - AMS'!I113+'CaHoREs - AMS'!I113+'Commerce - AMS'!I113+'Enseignement - AMS'!I113+'Santé social - AMS'!I113+'Sport Loisir Culture - AMS'!I113+'Transport - AMS'!I113</f>
        <v>6744.5168720732909</v>
      </c>
      <c r="AA87" s="86">
        <f>'Bureaux - AMS'!J113+'CaHoREs - AMS'!J113+'Commerce - AMS'!J113+'Enseignement - AMS'!J113+'Santé social - AMS'!J113+'Sport Loisir Culture - AMS'!J113+'Transport - AMS'!J113</f>
        <v>11440.748732912441</v>
      </c>
      <c r="AB87" s="86">
        <f>'Bureaux - AMS'!K113+'CaHoREs - AMS'!K113+'Commerce - AMS'!K113+'Enseignement - AMS'!K113+'Santé social - AMS'!K113+'Sport Loisir Culture - AMS'!K113+'Transport - AMS'!K113</f>
        <v>13505.94072378614</v>
      </c>
    </row>
    <row r="88" spans="1:28">
      <c r="A88" s="12" t="s">
        <v>17</v>
      </c>
      <c r="B88" s="13">
        <f>SUM(B81:B87)</f>
        <v>36752.897093324827</v>
      </c>
      <c r="C88" s="13">
        <f t="shared" ref="C88:E88" si="34">SUM(C81:C87)</f>
        <v>21518.898977386089</v>
      </c>
      <c r="D88" s="13">
        <f t="shared" si="34"/>
        <v>17960.420882335868</v>
      </c>
      <c r="E88" s="13">
        <f t="shared" si="34"/>
        <v>14193.832286003839</v>
      </c>
      <c r="O88" s="192"/>
      <c r="X88" s="12" t="s">
        <v>17</v>
      </c>
      <c r="Y88" s="13">
        <f>SUM(Y81:Y87)</f>
        <v>84067.558593062975</v>
      </c>
      <c r="Z88" s="13">
        <f t="shared" ref="Z88:AB88" si="35">SUM(Z81:Z87)</f>
        <v>59564.061101284395</v>
      </c>
      <c r="AA88" s="13">
        <f t="shared" si="35"/>
        <v>45571.233302550965</v>
      </c>
      <c r="AB88" s="13">
        <f t="shared" si="35"/>
        <v>35461.469680573202</v>
      </c>
    </row>
    <row r="89" spans="1:28" ht="21">
      <c r="A89" s="190" t="s">
        <v>112</v>
      </c>
      <c r="B89" s="191">
        <f>B88/$B88-1</f>
        <v>0</v>
      </c>
      <c r="C89" s="191">
        <f>C88/$B88-1</f>
        <v>-0.41449788508524366</v>
      </c>
      <c r="D89" s="191">
        <f>D88/$B88-1</f>
        <v>-0.5113195883108248</v>
      </c>
      <c r="E89" s="191">
        <f>E88/$B88-1</f>
        <v>-0.61380371593667471</v>
      </c>
      <c r="O89" s="192"/>
      <c r="X89" s="329" t="s">
        <v>313</v>
      </c>
      <c r="Y89" s="191">
        <f>Y88/$Y88-1</f>
        <v>0</v>
      </c>
      <c r="Z89" s="191">
        <f t="shared" ref="Z89" si="36">Z88/$Y88-1</f>
        <v>-0.2914738800776896</v>
      </c>
      <c r="AA89" s="191">
        <f t="shared" ref="AA89" si="37">AA88/$Y88-1</f>
        <v>-0.45792129490588795</v>
      </c>
      <c r="AB89" s="191">
        <f t="shared" ref="AB89" si="38">AB88/$Y88-1</f>
        <v>-0.57817890427593088</v>
      </c>
    </row>
    <row r="90" spans="1:28">
      <c r="O90" s="192"/>
    </row>
    <row r="91" spans="1:28">
      <c r="A91" s="391" t="s">
        <v>115</v>
      </c>
      <c r="B91" s="392"/>
      <c r="C91" s="392"/>
      <c r="D91" s="392"/>
      <c r="E91" s="392"/>
      <c r="O91" s="192"/>
      <c r="X91" s="391" t="s">
        <v>119</v>
      </c>
      <c r="Y91" s="392"/>
      <c r="Z91" s="392"/>
      <c r="AA91" s="392"/>
      <c r="AB91" s="392"/>
    </row>
    <row r="92" spans="1:28">
      <c r="A92" s="8" t="s">
        <v>20</v>
      </c>
      <c r="B92" s="9">
        <v>2020</v>
      </c>
      <c r="C92" s="9">
        <v>2030</v>
      </c>
      <c r="D92" s="9">
        <v>2040</v>
      </c>
      <c r="E92" s="9">
        <v>2050</v>
      </c>
      <c r="O92" s="192"/>
      <c r="X92" s="8" t="s">
        <v>20</v>
      </c>
      <c r="Y92" s="9">
        <v>2020</v>
      </c>
      <c r="Z92" s="9">
        <v>2030</v>
      </c>
      <c r="AA92" s="9">
        <v>2040</v>
      </c>
      <c r="AB92" s="9">
        <v>2050</v>
      </c>
    </row>
    <row r="93" spans="1:28">
      <c r="A93" s="125" t="s">
        <v>15</v>
      </c>
      <c r="B93" s="86">
        <f>'Bureaux - AME'!H118+'CaHoREs - AME'!H118+'Commerce - AME'!H118+'Enseignement - AME'!H118+'Santé social - AME'!H118+'Sport Loisir Culture - AME'!H118+'Transport - AME'!H118</f>
        <v>11160.8760853196</v>
      </c>
      <c r="C93" s="86">
        <f>'Bureaux - AME'!I118+'CaHoREs - AME'!I118+'Commerce - AME'!I118+'Enseignement - AME'!I118+'Santé social - AME'!I118+'Sport Loisir Culture - AME'!I118+'Transport - AME'!I118</f>
        <v>8071.3474690104031</v>
      </c>
      <c r="D93" s="86">
        <f>'Bureaux - AME'!J118+'CaHoREs - AME'!J118+'Commerce - AME'!J118+'Enseignement - AME'!J118+'Santé social - AME'!J118+'Sport Loisir Culture - AME'!J118+'Transport - AME'!J118</f>
        <v>5767.4334521038099</v>
      </c>
      <c r="E93" s="86">
        <f>'Bureaux - AME'!K118+'CaHoREs - AME'!K118+'Commerce - AME'!K118+'Enseignement - AME'!K118+'Santé social - AME'!K118+'Sport Loisir Culture - AME'!K118+'Transport - AME'!K118</f>
        <v>3692.9995029600459</v>
      </c>
      <c r="O93" s="192"/>
      <c r="X93" s="125" t="s">
        <v>15</v>
      </c>
      <c r="Y93" s="86">
        <f>'Bureaux - AMS'!H118+'CaHoREs - AMS'!H118+'Commerce - AMS'!H118+'Enseignement - AMS'!H118+'Santé social - AMS'!H118+'Sport Loisir Culture - AMS'!H118+'Transport - AMS'!H118</f>
        <v>3070.3691599203953</v>
      </c>
      <c r="Z93" s="86">
        <f>'Bureaux - AMS'!I118+'CaHoREs - AMS'!I118+'Commerce - AMS'!I118+'Enseignement - AMS'!I118+'Santé social - AMS'!I118+'Sport Loisir Culture - AMS'!I118+'Transport - AMS'!I118</f>
        <v>226.67639729993166</v>
      </c>
      <c r="AA93" s="86">
        <f>'Bureaux - AMS'!J118+'CaHoREs - AMS'!J118+'Commerce - AMS'!J118+'Enseignement - AMS'!J118+'Santé social - AMS'!J118+'Sport Loisir Culture - AMS'!J118+'Transport - AMS'!J118</f>
        <v>0</v>
      </c>
      <c r="AB93" s="86">
        <f>'Bureaux - AMS'!K118+'CaHoREs - AMS'!K118+'Commerce - AMS'!K118+'Enseignement - AMS'!K118+'Santé social - AMS'!K118+'Sport Loisir Culture - AMS'!K118+'Transport - AMS'!K118</f>
        <v>0</v>
      </c>
    </row>
    <row r="94" spans="1:28">
      <c r="A94" s="125" t="s">
        <v>16</v>
      </c>
      <c r="B94" s="86">
        <f>'Bureaux - AME'!H119+'CaHoREs - AME'!H119+'Commerce - AME'!H119+'Enseignement - AME'!H119+'Santé social - AME'!H119+'Sport Loisir Culture - AME'!H119+'Transport - AME'!H119</f>
        <v>35909.603631010796</v>
      </c>
      <c r="C94" s="86">
        <f>'Bureaux - AME'!I119+'CaHoREs - AME'!I119+'Commerce - AME'!I119+'Enseignement - AME'!I119+'Santé social - AME'!I119+'Sport Loisir Culture - AME'!I119+'Transport - AME'!I119</f>
        <v>30036.818843649897</v>
      </c>
      <c r="D94" s="86">
        <f>'Bureaux - AME'!J119+'CaHoREs - AME'!J119+'Commerce - AME'!J119+'Enseignement - AME'!J119+'Santé social - AME'!J119+'Sport Loisir Culture - AME'!J119+'Transport - AME'!J119</f>
        <v>25978.978090435932</v>
      </c>
      <c r="E94" s="86">
        <f>'Bureaux - AME'!K119+'CaHoREs - AME'!K119+'Commerce - AME'!K119+'Enseignement - AME'!K119+'Santé social - AME'!K119+'Sport Loisir Culture - AME'!K119+'Transport - AME'!K119</f>
        <v>21968.309622378769</v>
      </c>
      <c r="O94" s="192"/>
      <c r="X94" s="125" t="s">
        <v>16</v>
      </c>
      <c r="Y94" s="86">
        <f>'Bureaux - AMS'!H119+'CaHoREs - AMS'!H119+'Commerce - AMS'!H119+'Enseignement - AMS'!H119+'Santé social - AMS'!H119+'Sport Loisir Culture - AMS'!H119+'Transport - AMS'!H119</f>
        <v>10463.374928757014</v>
      </c>
      <c r="Z94" s="86">
        <f>'Bureaux - AMS'!I119+'CaHoREs - AMS'!I119+'Commerce - AMS'!I119+'Enseignement - AMS'!I119+'Santé social - AMS'!I119+'Sport Loisir Culture - AMS'!I119+'Transport - AMS'!I119</f>
        <v>7949.804496735198</v>
      </c>
      <c r="AA94" s="86">
        <f>'Bureaux - AMS'!J119+'CaHoREs - AMS'!J119+'Commerce - AMS'!J119+'Enseignement - AMS'!J119+'Santé social - AMS'!J119+'Sport Loisir Culture - AMS'!J119+'Transport - AMS'!J119</f>
        <v>3388.0012302181162</v>
      </c>
      <c r="AB94" s="86">
        <f>'Bureaux - AMS'!K119+'CaHoREs - AMS'!K119+'Commerce - AMS'!K119+'Enseignement - AMS'!K119+'Santé social - AMS'!K119+'Sport Loisir Culture - AMS'!K119+'Transport - AMS'!K119</f>
        <v>905.99698379384733</v>
      </c>
    </row>
    <row r="95" spans="1:28">
      <c r="A95" s="125" t="s">
        <v>21</v>
      </c>
      <c r="B95" s="86">
        <f>'Bureaux - AME'!H120+'CaHoREs - AME'!H120+'Commerce - AME'!H120+'Enseignement - AME'!H120+'Santé social - AME'!H120+'Sport Loisir Culture - AME'!H120+'Transport - AME'!H120</f>
        <v>4637.1536348153822</v>
      </c>
      <c r="C95" s="86">
        <f>'Bureaux - AME'!I120+'CaHoREs - AME'!I120+'Commerce - AME'!I120+'Enseignement - AME'!I120+'Santé social - AME'!I120+'Sport Loisir Culture - AME'!I120+'Transport - AME'!I120</f>
        <v>4876.6332618275537</v>
      </c>
      <c r="D95" s="86">
        <f>'Bureaux - AME'!J120+'CaHoREs - AME'!J120+'Commerce - AME'!J120+'Enseignement - AME'!J120+'Santé social - AME'!J120+'Sport Loisir Culture - AME'!J120+'Transport - AME'!J120</f>
        <v>5203.667637839817</v>
      </c>
      <c r="E95" s="86">
        <f>'Bureaux - AME'!K120+'CaHoREs - AME'!K120+'Commerce - AME'!K120+'Enseignement - AME'!K120+'Santé social - AME'!K120+'Sport Loisir Culture - AME'!K120+'Transport - AME'!K120</f>
        <v>5361.4732435530395</v>
      </c>
      <c r="O95" s="192"/>
      <c r="X95" s="125" t="s">
        <v>21</v>
      </c>
      <c r="Y95" s="86">
        <f>'Bureaux - AMS'!H120+'CaHoREs - AMS'!H120+'Commerce - AMS'!H120+'Enseignement - AMS'!H120+'Santé social - AMS'!H120+'Sport Loisir Culture - AMS'!H120+'Transport - AMS'!H120</f>
        <v>1204.6614303969627</v>
      </c>
      <c r="Z95" s="86">
        <f>'Bureaux - AMS'!I120+'CaHoREs - AMS'!I120+'Commerce - AMS'!I120+'Enseignement - AMS'!I120+'Santé social - AMS'!I120+'Sport Loisir Culture - AMS'!I120+'Transport - AMS'!I120</f>
        <v>2778.0915972719158</v>
      </c>
      <c r="AA95" s="86">
        <f>'Bureaux - AMS'!J120+'CaHoREs - AMS'!J120+'Commerce - AMS'!J120+'Enseignement - AMS'!J120+'Santé social - AMS'!J120+'Sport Loisir Culture - AMS'!J120+'Transport - AMS'!J120</f>
        <v>3001.1327934256642</v>
      </c>
      <c r="AB95" s="86">
        <f>'Bureaux - AMS'!K120+'CaHoREs - AMS'!K120+'Commerce - AMS'!K120+'Enseignement - AMS'!K120+'Santé social - AMS'!K120+'Sport Loisir Culture - AMS'!K120+'Transport - AMS'!K120</f>
        <v>2980.0134589247418</v>
      </c>
    </row>
    <row r="96" spans="1:28">
      <c r="A96" s="125" t="s">
        <v>22</v>
      </c>
      <c r="B96" s="86">
        <f>'Bureaux - AME'!H121+'CaHoREs - AME'!H121+'Commerce - AME'!H121+'Enseignement - AME'!H121+'Santé social - AME'!H121+'Sport Loisir Culture - AME'!H121+'Transport - AME'!H121</f>
        <v>818.28262052914909</v>
      </c>
      <c r="C96" s="86">
        <f>'Bureaux - AME'!I121+'CaHoREs - AME'!I121+'Commerce - AME'!I121+'Enseignement - AME'!I121+'Santé social - AME'!I121+'Sport Loisir Culture - AME'!I121+'Transport - AME'!I121</f>
        <v>731.26777460088306</v>
      </c>
      <c r="D96" s="86">
        <f>'Bureaux - AME'!J121+'CaHoREs - AME'!J121+'Commerce - AME'!J121+'Enseignement - AME'!J121+'Santé social - AME'!J121+'Sport Loisir Culture - AME'!J121+'Transport - AME'!J121</f>
        <v>683.7834953512513</v>
      </c>
      <c r="E96" s="86">
        <f>'Bureaux - AME'!K121+'CaHoREs - AME'!K121+'Commerce - AME'!K121+'Enseignement - AME'!K121+'Santé social - AME'!K121+'Sport Loisir Culture - AME'!K121+'Transport - AME'!K121</f>
        <v>633.59903398176937</v>
      </c>
      <c r="O96" s="192"/>
      <c r="X96" s="125" t="s">
        <v>22</v>
      </c>
      <c r="Y96" s="86">
        <f>'Bureaux - AMS'!H121+'CaHoREs - AMS'!H121+'Commerce - AMS'!H121+'Enseignement - AMS'!H121+'Santé social - AMS'!H121+'Sport Loisir Culture - AMS'!H121+'Transport - AMS'!H121</f>
        <v>224.01493568232473</v>
      </c>
      <c r="Z96" s="86">
        <f>'Bureaux - AMS'!I121+'CaHoREs - AMS'!I121+'Commerce - AMS'!I121+'Enseignement - AMS'!I121+'Santé social - AMS'!I121+'Sport Loisir Culture - AMS'!I121+'Transport - AMS'!I121</f>
        <v>132.79230517081618</v>
      </c>
      <c r="AA96" s="86">
        <f>'Bureaux - AMS'!J121+'CaHoREs - AMS'!J121+'Commerce - AMS'!J121+'Enseignement - AMS'!J121+'Santé social - AMS'!J121+'Sport Loisir Culture - AMS'!J121+'Transport - AMS'!J121</f>
        <v>67.468110706605557</v>
      </c>
      <c r="AB96" s="86">
        <f>'Bureaux - AMS'!K121+'CaHoREs - AMS'!K121+'Commerce - AMS'!K121+'Enseignement - AMS'!K121+'Santé social - AMS'!K121+'Sport Loisir Culture - AMS'!K121+'Transport - AMS'!K121</f>
        <v>0</v>
      </c>
    </row>
    <row r="97" spans="1:30">
      <c r="A97" s="125" t="s">
        <v>42</v>
      </c>
      <c r="B97" s="86">
        <f>'Bureaux - AME'!H122+'CaHoREs - AME'!H122+'Commerce - AME'!H122+'Enseignement - AME'!H122+'Santé social - AME'!H122+'Sport Loisir Culture - AME'!H122+'Transport - AME'!H122</f>
        <v>843.16734410164679</v>
      </c>
      <c r="C97" s="86">
        <f>'Bureaux - AME'!I122+'CaHoREs - AME'!I122+'Commerce - AME'!I122+'Enseignement - AME'!I122+'Santé social - AME'!I122+'Sport Loisir Culture - AME'!I122+'Transport - AME'!I122</f>
        <v>896.85484002903934</v>
      </c>
      <c r="D97" s="86">
        <f>'Bureaux - AME'!J122+'CaHoREs - AME'!J122+'Commerce - AME'!J122+'Enseignement - AME'!J122+'Santé social - AME'!J122+'Sport Loisir Culture - AME'!J122+'Transport - AME'!J122</f>
        <v>971.46796145396593</v>
      </c>
      <c r="E97" s="86">
        <f>'Bureaux - AME'!K122+'CaHoREs - AME'!K122+'Commerce - AME'!K122+'Enseignement - AME'!K122+'Santé social - AME'!K122+'Sport Loisir Culture - AME'!K122+'Transport - AME'!K122</f>
        <v>1016.8634187847798</v>
      </c>
      <c r="O97" s="192"/>
      <c r="X97" s="125" t="s">
        <v>42</v>
      </c>
      <c r="Y97" s="86">
        <f>'Bureaux - AMS'!H122+'CaHoREs - AMS'!H122+'Commerce - AMS'!H122+'Enseignement - AMS'!H122+'Santé social - AMS'!H122+'Sport Loisir Culture - AMS'!H122+'Transport - AMS'!H122</f>
        <v>239.87151878085308</v>
      </c>
      <c r="Z97" s="86">
        <f>'Bureaux - AMS'!I122+'CaHoREs - AMS'!I122+'Commerce - AMS'!I122+'Enseignement - AMS'!I122+'Santé social - AMS'!I122+'Sport Loisir Culture - AMS'!I122+'Transport - AMS'!I122</f>
        <v>308.56869326034263</v>
      </c>
      <c r="AA97" s="86">
        <f>'Bureaux - AMS'!J122+'CaHoREs - AMS'!J122+'Commerce - AMS'!J122+'Enseignement - AMS'!J122+'Santé social - AMS'!J122+'Sport Loisir Culture - AMS'!J122+'Transport - AMS'!J122</f>
        <v>392.33333537848961</v>
      </c>
      <c r="AB97" s="86">
        <f>'Bureaux - AMS'!K122+'CaHoREs - AMS'!K122+'Commerce - AMS'!K122+'Enseignement - AMS'!K122+'Santé social - AMS'!K122+'Sport Loisir Culture - AMS'!K122+'Transport - AMS'!K122</f>
        <v>433.67184626245404</v>
      </c>
    </row>
    <row r="98" spans="1:30">
      <c r="A98" s="125" t="s">
        <v>48</v>
      </c>
      <c r="B98" s="86">
        <f>'Bureaux - AME'!H123+'CaHoREs - AME'!H123+'Commerce - AME'!H123+'Enseignement - AME'!H123+'Santé social - AME'!H123+'Sport Loisir Culture - AME'!H123+'Transport - AME'!H123</f>
        <v>11805.88770376066</v>
      </c>
      <c r="C98" s="86">
        <f>'Bureaux - AME'!I123+'CaHoREs - AME'!I123+'Commerce - AME'!I123+'Enseignement - AME'!I123+'Santé social - AME'!I123+'Sport Loisir Culture - AME'!I123+'Transport - AME'!I123</f>
        <v>11264.60588754122</v>
      </c>
      <c r="D98" s="86">
        <f>'Bureaux - AME'!J123+'CaHoREs - AME'!J123+'Commerce - AME'!J123+'Enseignement - AME'!J123+'Santé social - AME'!J123+'Sport Loisir Culture - AME'!J123+'Transport - AME'!J123</f>
        <v>11173.290961024282</v>
      </c>
      <c r="E98" s="86">
        <f>'Bureaux - AME'!K123+'CaHoREs - AME'!K123+'Commerce - AME'!K123+'Enseignement - AME'!K123+'Santé social - AME'!K123+'Sport Loisir Culture - AME'!K123+'Transport - AME'!K123</f>
        <v>10907.736476069518</v>
      </c>
      <c r="O98" s="192"/>
      <c r="X98" s="125" t="s">
        <v>48</v>
      </c>
      <c r="Y98" s="86">
        <f>'Bureaux - AMS'!H123+'CaHoREs - AMS'!H123+'Commerce - AMS'!H123+'Enseignement - AMS'!H123+'Santé social - AMS'!H123+'Sport Loisir Culture - AMS'!H123+'Transport - AMS'!H123</f>
        <v>3970.4444527893561</v>
      </c>
      <c r="Z98" s="86">
        <f>'Bureaux - AMS'!I123+'CaHoREs - AMS'!I123+'Commerce - AMS'!I123+'Enseignement - AMS'!I123+'Santé social - AMS'!I123+'Sport Loisir Culture - AMS'!I123+'Transport - AMS'!I123</f>
        <v>2074.2032656652427</v>
      </c>
      <c r="AA98" s="86">
        <f>'Bureaux - AMS'!J123+'CaHoREs - AMS'!J123+'Commerce - AMS'!J123+'Enseignement - AMS'!J123+'Santé social - AMS'!J123+'Sport Loisir Culture - AMS'!J123+'Transport - AMS'!J123</f>
        <v>1938.2720843407899</v>
      </c>
      <c r="AB98" s="86">
        <f>'Bureaux - AMS'!K123+'CaHoREs - AMS'!K123+'Commerce - AMS'!K123+'Enseignement - AMS'!K123+'Santé social - AMS'!K123+'Sport Loisir Culture - AMS'!K123+'Transport - AMS'!K123</f>
        <v>1454.7959092030094</v>
      </c>
    </row>
    <row r="99" spans="1:30">
      <c r="A99" s="125" t="s">
        <v>49</v>
      </c>
      <c r="B99" s="86">
        <f>'Bureaux - AME'!H124+'CaHoREs - AME'!H124+'Commerce - AME'!H124+'Enseignement - AME'!H124+'Santé social - AME'!H124+'Sport Loisir Culture - AME'!H124+'Transport - AME'!H124</f>
        <v>2041.4418916197349</v>
      </c>
      <c r="C99" s="86">
        <f>'Bureaux - AME'!I124+'CaHoREs - AME'!I124+'Commerce - AME'!I124+'Enseignement - AME'!I124+'Santé social - AME'!I124+'Sport Loisir Culture - AME'!I124+'Transport - AME'!I124</f>
        <v>2614.7553693087548</v>
      </c>
      <c r="D99" s="86">
        <f>'Bureaux - AME'!J124+'CaHoREs - AME'!J124+'Commerce - AME'!J124+'Enseignement - AME'!J124+'Santé social - AME'!J124+'Sport Loisir Culture - AME'!J124+'Transport - AME'!J124</f>
        <v>3136.3887365520604</v>
      </c>
      <c r="E99" s="86">
        <f>'Bureaux - AME'!K124+'CaHoREs - AME'!K124+'Commerce - AME'!K124+'Enseignement - AME'!K124+'Santé social - AME'!K124+'Sport Loisir Culture - AME'!K124+'Transport - AME'!K124</f>
        <v>3483.445650812746</v>
      </c>
      <c r="O99" s="192"/>
      <c r="X99" s="125" t="s">
        <v>49</v>
      </c>
      <c r="Y99" s="86">
        <f>'Bureaux - AMS'!H124+'CaHoREs - AMS'!H124+'Commerce - AMS'!H124+'Enseignement - AMS'!H124+'Santé social - AMS'!H124+'Sport Loisir Culture - AMS'!H124+'Transport - AMS'!H124</f>
        <v>729.01498509192174</v>
      </c>
      <c r="Z99" s="86">
        <f>'Bureaux - AMS'!I124+'CaHoREs - AMS'!I124+'Commerce - AMS'!I124+'Enseignement - AMS'!I124+'Santé social - AMS'!I124+'Sport Loisir Culture - AMS'!I124+'Transport - AMS'!I124</f>
        <v>1951.8786548018807</v>
      </c>
      <c r="AA99" s="86">
        <f>'Bureaux - AMS'!J124+'CaHoREs - AMS'!J124+'Commerce - AMS'!J124+'Enseignement - AMS'!J124+'Santé social - AMS'!J124+'Sport Loisir Culture - AMS'!J124+'Transport - AMS'!J124</f>
        <v>3023.6223668384218</v>
      </c>
      <c r="AB99" s="86">
        <f>'Bureaux - AMS'!K124+'CaHoREs - AMS'!K124+'Commerce - AMS'!K124+'Enseignement - AMS'!K124+'Santé social - AMS'!K124+'Sport Loisir Culture - AMS'!K124+'Transport - AMS'!K124</f>
        <v>3516.3241691566968</v>
      </c>
    </row>
    <row r="100" spans="1:30">
      <c r="A100" s="12" t="s">
        <v>17</v>
      </c>
      <c r="B100" s="13">
        <f>SUM(B93:B99)</f>
        <v>67216.412911156964</v>
      </c>
      <c r="C100" s="13">
        <f t="shared" ref="C100:E100" si="39">SUM(C93:C99)</f>
        <v>58492.283445967754</v>
      </c>
      <c r="D100" s="13">
        <f t="shared" si="39"/>
        <v>52915.010334761115</v>
      </c>
      <c r="E100" s="13">
        <f t="shared" si="39"/>
        <v>47064.426948540669</v>
      </c>
      <c r="O100" s="192"/>
      <c r="X100" s="12" t="s">
        <v>17</v>
      </c>
      <c r="Y100" s="13">
        <f>SUM(Y93:Y99)</f>
        <v>19901.751411418827</v>
      </c>
      <c r="Z100" s="13">
        <f t="shared" ref="Z100:AB100" si="40">SUM(Z93:Z99)</f>
        <v>15422.015410205327</v>
      </c>
      <c r="AA100" s="13">
        <f t="shared" si="40"/>
        <v>11810.829920908087</v>
      </c>
      <c r="AB100" s="13">
        <f t="shared" si="40"/>
        <v>9290.8023673407497</v>
      </c>
    </row>
    <row r="101" spans="1:30" ht="21">
      <c r="A101" s="190" t="s">
        <v>112</v>
      </c>
      <c r="B101" s="191">
        <f>B100/$B100-1</f>
        <v>0</v>
      </c>
      <c r="C101" s="191">
        <f>C100/$B100-1</f>
        <v>-0.12979165485549327</v>
      </c>
      <c r="D101" s="191">
        <f>D100/$B100-1</f>
        <v>-0.212766524677517</v>
      </c>
      <c r="E101" s="191">
        <f>E100/$B100-1</f>
        <v>-0.29980751857812027</v>
      </c>
      <c r="O101" s="192"/>
      <c r="X101" s="329" t="s">
        <v>313</v>
      </c>
      <c r="Y101" s="191">
        <f>Y100/$Y100-1</f>
        <v>0</v>
      </c>
      <c r="Z101" s="191">
        <f t="shared" ref="Z101" si="41">Z100/$Y100-1</f>
        <v>-0.22509255133411055</v>
      </c>
      <c r="AA101" s="191">
        <f t="shared" ref="AA101" si="42">AA100/$Y100-1</f>
        <v>-0.40654318925260491</v>
      </c>
      <c r="AB101" s="191">
        <f t="shared" ref="AB101" si="43">AB100/$Y100-1</f>
        <v>-0.53316659547812162</v>
      </c>
    </row>
    <row r="102" spans="1:30">
      <c r="O102" s="192"/>
    </row>
    <row r="103" spans="1:30">
      <c r="O103" s="192"/>
      <c r="Y103" s="189"/>
      <c r="Z103" s="189"/>
      <c r="AA103" s="189"/>
      <c r="AB103" s="189"/>
    </row>
    <row r="104" spans="1:30">
      <c r="O104" s="192"/>
    </row>
    <row r="105" spans="1:30">
      <c r="O105" s="192"/>
    </row>
    <row r="106" spans="1:30" ht="14.5" customHeight="1">
      <c r="A106" s="390" t="s">
        <v>209</v>
      </c>
      <c r="B106" s="390"/>
      <c r="C106" s="390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  <c r="N106" s="390"/>
      <c r="O106" s="192"/>
      <c r="P106" s="390" t="s">
        <v>209</v>
      </c>
      <c r="Q106" s="390"/>
      <c r="R106" s="390"/>
      <c r="S106" s="390"/>
      <c r="T106" s="390"/>
      <c r="U106" s="390"/>
      <c r="V106" s="390"/>
      <c r="W106" s="390"/>
      <c r="X106" s="390"/>
      <c r="Y106" s="390"/>
      <c r="Z106" s="390"/>
      <c r="AA106" s="390"/>
      <c r="AB106" s="390"/>
      <c r="AC106" s="390"/>
      <c r="AD106" s="242"/>
    </row>
    <row r="107" spans="1:30" ht="14.5" customHeight="1">
      <c r="A107" s="390"/>
      <c r="B107" s="390"/>
      <c r="C107" s="390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  <c r="N107" s="390"/>
      <c r="O107" s="192"/>
      <c r="P107" s="390"/>
      <c r="Q107" s="390"/>
      <c r="R107" s="390"/>
      <c r="S107" s="390"/>
      <c r="T107" s="390"/>
      <c r="U107" s="390"/>
      <c r="V107" s="390"/>
      <c r="W107" s="390"/>
      <c r="X107" s="390"/>
      <c r="Y107" s="390"/>
      <c r="Z107" s="390"/>
      <c r="AA107" s="390"/>
      <c r="AB107" s="390"/>
      <c r="AC107" s="390"/>
      <c r="AD107" s="242"/>
    </row>
    <row r="108" spans="1:30">
      <c r="O108" s="192"/>
    </row>
    <row r="109" spans="1:30">
      <c r="O109" s="192"/>
    </row>
    <row r="110" spans="1:30">
      <c r="O110" s="192"/>
    </row>
    <row r="111" spans="1:30">
      <c r="O111" s="192"/>
    </row>
    <row r="112" spans="1:30">
      <c r="A112" s="345" t="s">
        <v>67</v>
      </c>
      <c r="B112" s="346"/>
      <c r="C112" s="346"/>
      <c r="D112" s="346"/>
      <c r="E112" s="346"/>
      <c r="O112" s="192"/>
      <c r="X112" s="345" t="s">
        <v>228</v>
      </c>
      <c r="Y112" s="346"/>
      <c r="Z112" s="346"/>
      <c r="AA112" s="346"/>
      <c r="AB112" s="346"/>
    </row>
    <row r="113" spans="1:38">
      <c r="A113" s="8" t="s">
        <v>20</v>
      </c>
      <c r="B113" s="9">
        <v>2020</v>
      </c>
      <c r="C113" s="9">
        <v>2030</v>
      </c>
      <c r="D113" s="9">
        <v>2040</v>
      </c>
      <c r="E113" s="9">
        <v>2050</v>
      </c>
      <c r="O113" s="192"/>
      <c r="X113" s="8" t="s">
        <v>20</v>
      </c>
      <c r="Y113" s="9">
        <v>2020</v>
      </c>
      <c r="Z113" s="9">
        <v>2021</v>
      </c>
      <c r="AA113" s="9">
        <v>2022</v>
      </c>
      <c r="AB113" s="9">
        <v>2023</v>
      </c>
    </row>
    <row r="114" spans="1:38">
      <c r="A114" s="125" t="s">
        <v>186</v>
      </c>
      <c r="B114" s="236">
        <f>'Hors chauffage - AME'!E6*1000</f>
        <v>126103.68632657178</v>
      </c>
      <c r="C114" s="236">
        <f>'Hors chauffage - AME'!F6*1000</f>
        <v>129692.08213425179</v>
      </c>
      <c r="D114" s="236">
        <f>'Hors chauffage - AME'!G6*1000</f>
        <v>122740.74686765735</v>
      </c>
      <c r="E114" s="236">
        <f>'Hors chauffage - AME'!H6*1000</f>
        <v>150062.07464488849</v>
      </c>
      <c r="O114" s="192"/>
      <c r="X114" s="125" t="s">
        <v>186</v>
      </c>
      <c r="Y114" s="236">
        <f>'Hors chauffage - AMS'!E6*1000</f>
        <v>129998.23025814971</v>
      </c>
      <c r="Z114" s="236">
        <f>'Hors chauffage - AMS'!F6*1000</f>
        <v>114238.69882125175</v>
      </c>
      <c r="AA114" s="236">
        <f>'Hors chauffage - AMS'!G6*1000</f>
        <v>98179.380019353543</v>
      </c>
      <c r="AB114" s="236">
        <f>'Hors chauffage - AMS'!H6*1000</f>
        <v>98899.847924194939</v>
      </c>
    </row>
    <row r="115" spans="1:38">
      <c r="A115" s="125" t="s">
        <v>83</v>
      </c>
      <c r="B115" s="236">
        <f>'Hors chauffage - AME'!E7*1000</f>
        <v>17051.351069612236</v>
      </c>
      <c r="C115" s="236">
        <f>'Hors chauffage - AME'!F7*1000</f>
        <v>15520.793117628622</v>
      </c>
      <c r="D115" s="236">
        <f>'Hors chauffage - AME'!G7*1000</f>
        <v>13909.049724299775</v>
      </c>
      <c r="E115" s="236">
        <f>'Hors chauffage - AME'!H7*1000</f>
        <v>12199.716796016482</v>
      </c>
      <c r="O115" s="192"/>
      <c r="X115" s="125" t="s">
        <v>83</v>
      </c>
      <c r="Y115" s="236">
        <f>'Hors chauffage - AMS'!E7*1000</f>
        <v>17051.351069612236</v>
      </c>
      <c r="Z115" s="236">
        <f>'Hors chauffage - AMS'!F7*1000</f>
        <v>8405.1493901542071</v>
      </c>
      <c r="AA115" s="236">
        <f>'Hors chauffage - AMS'!G7*1000</f>
        <v>4586.9132986998375</v>
      </c>
      <c r="AB115" s="236">
        <f>'Hors chauffage - AMS'!H7*1000</f>
        <v>1869.9047145784218</v>
      </c>
    </row>
    <row r="116" spans="1:38">
      <c r="A116" s="125" t="s">
        <v>187</v>
      </c>
      <c r="B116" s="236">
        <f>'Hors chauffage - AME'!E8*1000</f>
        <v>4958.7960253733008</v>
      </c>
      <c r="C116" s="236">
        <f>'Hors chauffage - AME'!F8*1000</f>
        <v>2262.5292417858323</v>
      </c>
      <c r="D116" s="236">
        <f>'Hors chauffage - AME'!G8*1000</f>
        <v>1712.4476830638553</v>
      </c>
      <c r="E116" s="236">
        <f>'Hors chauffage - AME'!H8*1000</f>
        <v>1186.4392103532323</v>
      </c>
      <c r="O116" s="192"/>
      <c r="X116" s="125" t="s">
        <v>187</v>
      </c>
      <c r="Y116" s="236">
        <f>'Hors chauffage - AMS'!E8*1000</f>
        <v>4958.7960253733008</v>
      </c>
      <c r="Z116" s="236">
        <f>'Hors chauffage - AMS'!F8*1000</f>
        <v>375.12051532543023</v>
      </c>
      <c r="AA116" s="236">
        <f>'Hors chauffage - AMS'!G8*1000</f>
        <v>0</v>
      </c>
      <c r="AB116" s="236">
        <f>'Hors chauffage - AMS'!H8*1000</f>
        <v>0</v>
      </c>
    </row>
    <row r="117" spans="1:38">
      <c r="A117" s="125" t="s">
        <v>141</v>
      </c>
      <c r="B117" s="236">
        <f>'Hors chauffage - AME'!E9*1000</f>
        <v>214.6153499104517</v>
      </c>
      <c r="C117" s="236">
        <f>'Hors chauffage - AME'!F9*1000</f>
        <v>248.29997361572975</v>
      </c>
      <c r="D117" s="236">
        <f>'Hors chauffage - AME'!G9*1000</f>
        <v>266.00295794498174</v>
      </c>
      <c r="E117" s="236">
        <f>'Hors chauffage - AME'!H9*1000</f>
        <v>277.19166440460185</v>
      </c>
      <c r="O117" s="192"/>
      <c r="X117" s="125" t="s">
        <v>141</v>
      </c>
      <c r="Y117" s="236">
        <f>'Hors chauffage - AMS'!E9*1000</f>
        <v>214.6153499104517</v>
      </c>
      <c r="Z117" s="236">
        <f>'Hors chauffage - AMS'!F9*1000</f>
        <v>655.20868022421803</v>
      </c>
      <c r="AA117" s="236">
        <f>'Hors chauffage - AMS'!G9*1000</f>
        <v>540.8529377412608</v>
      </c>
      <c r="AB117" s="236">
        <f>'Hors chauffage - AMS'!H9*1000</f>
        <v>452.36993281073632</v>
      </c>
    </row>
    <row r="118" spans="1:38">
      <c r="A118" s="125" t="s">
        <v>188</v>
      </c>
      <c r="B118" s="236">
        <f>'Hors chauffage - AME'!E10*1000</f>
        <v>1550.4931364675845</v>
      </c>
      <c r="C118" s="236">
        <f>'Hors chauffage - AME'!F10*1000</f>
        <v>1800.771505737277</v>
      </c>
      <c r="D118" s="236">
        <f>'Hors chauffage - AME'!G10*1000</f>
        <v>1186.4392103532323</v>
      </c>
      <c r="E118" s="236">
        <f>'Hors chauffage - AME'!H10*1000</f>
        <v>1648.0424942672632</v>
      </c>
      <c r="O118" s="192"/>
      <c r="X118" s="125" t="s">
        <v>188</v>
      </c>
      <c r="Y118" s="236">
        <f>'Hors chauffage - AMS'!E10*1000</f>
        <v>1550.4931364675845</v>
      </c>
      <c r="Z118" s="236">
        <f>'Hors chauffage - AMS'!F10*1000</f>
        <v>1875.6025766271512</v>
      </c>
      <c r="AA118" s="236">
        <f>'Hors chauffage - AMS'!G10*1000</f>
        <v>0</v>
      </c>
      <c r="AB118" s="236">
        <f>'Hors chauffage - AMS'!H10*1000</f>
        <v>1553.9468334481448</v>
      </c>
    </row>
    <row r="119" spans="1:38">
      <c r="A119" s="243" t="s">
        <v>211</v>
      </c>
      <c r="B119" s="236">
        <v>0</v>
      </c>
      <c r="C119" s="236">
        <v>0</v>
      </c>
      <c r="D119" s="236">
        <v>0</v>
      </c>
      <c r="E119" s="236">
        <v>0</v>
      </c>
      <c r="O119" s="192"/>
      <c r="X119" s="243" t="s">
        <v>211</v>
      </c>
      <c r="Y119" s="236">
        <f>'Hors chauffage - AMS'!E11</f>
        <v>0</v>
      </c>
      <c r="Z119" s="236">
        <f>'Hors chauffage - AMS'!F11</f>
        <v>0.93780128831357557</v>
      </c>
      <c r="AA119" s="236">
        <f>'Hors chauffage - AMS'!G11</f>
        <v>1.1611855820386046</v>
      </c>
      <c r="AB119" s="236">
        <f>'Hors chauffage - AMS'!H11</f>
        <v>1.2949556945401208</v>
      </c>
    </row>
    <row r="120" spans="1:38">
      <c r="A120" s="243" t="s">
        <v>17</v>
      </c>
      <c r="B120" s="236">
        <f>'Hors chauffage - AME'!E5*1000</f>
        <v>149878.94190793534</v>
      </c>
      <c r="C120" s="236">
        <f>'Hors chauffage - AME'!F5*1000</f>
        <v>149524.47597301926</v>
      </c>
      <c r="D120" s="236">
        <f>'Hors chauffage - AME'!G5*1000</f>
        <v>139814.68644331917</v>
      </c>
      <c r="E120" s="236">
        <f>'Hors chauffage - AME'!H5*1000</f>
        <v>165373.46480993007</v>
      </c>
      <c r="O120" s="192"/>
      <c r="X120" s="243" t="s">
        <v>17</v>
      </c>
      <c r="Y120" s="236">
        <f>'Hors chauffage - AMS'!E5*1000</f>
        <v>153773.48583951325</v>
      </c>
      <c r="Z120" s="236">
        <f>'Hors chauffage - AMS'!F5*1000</f>
        <v>126487.58127189633</v>
      </c>
      <c r="AA120" s="236">
        <f>'Hors chauffage - AMS'!G5*1000</f>
        <v>104468.33183783325</v>
      </c>
      <c r="AB120" s="236">
        <f>'Hors chauffage - AMS'!H5*1000</f>
        <v>104071.02509957238</v>
      </c>
    </row>
    <row r="121" spans="1:38">
      <c r="B121" s="244"/>
      <c r="C121" s="244"/>
      <c r="D121" s="244"/>
      <c r="E121" s="244"/>
      <c r="O121" s="192"/>
      <c r="Y121" s="244"/>
      <c r="Z121" s="244"/>
      <c r="AA121" s="244"/>
      <c r="AB121" s="244"/>
    </row>
    <row r="122" spans="1:38">
      <c r="A122" s="345" t="s">
        <v>106</v>
      </c>
      <c r="B122" s="346"/>
      <c r="C122" s="346"/>
      <c r="D122" s="346"/>
      <c r="E122" s="346"/>
      <c r="O122" s="192"/>
      <c r="X122" s="345" t="s">
        <v>106</v>
      </c>
      <c r="Y122" s="346"/>
      <c r="Z122" s="346"/>
      <c r="AA122" s="346"/>
      <c r="AB122" s="346"/>
    </row>
    <row r="123" spans="1:38" ht="18.5">
      <c r="A123" s="8" t="s">
        <v>189</v>
      </c>
      <c r="B123" s="235">
        <f>B120/$B120-1</f>
        <v>0</v>
      </c>
      <c r="C123" s="235">
        <f t="shared" ref="C123:E123" si="44">C120/$B120-1</f>
        <v>-2.3650149274059284E-3</v>
      </c>
      <c r="D123" s="235">
        <f t="shared" si="44"/>
        <v>-6.7149229481472061E-2</v>
      </c>
      <c r="E123" s="196">
        <f t="shared" si="44"/>
        <v>0.10338025278769569</v>
      </c>
      <c r="O123" s="192"/>
      <c r="X123" s="8" t="s">
        <v>189</v>
      </c>
      <c r="Y123" s="235">
        <f>Y120/$B120-1</f>
        <v>2.5984597182239E-2</v>
      </c>
      <c r="Z123" s="235">
        <f t="shared" ref="Z123:AB123" si="45">Z120/$B120-1</f>
        <v>-0.15606835982607481</v>
      </c>
      <c r="AA123" s="235">
        <f t="shared" si="45"/>
        <v>-0.30298192322438477</v>
      </c>
      <c r="AB123" s="196">
        <f t="shared" si="45"/>
        <v>-0.30563277419252755</v>
      </c>
    </row>
    <row r="124" spans="1:38">
      <c r="O124" s="192"/>
    </row>
    <row r="125" spans="1:38">
      <c r="O125" s="192"/>
    </row>
    <row r="126" spans="1:38">
      <c r="O126" s="192"/>
      <c r="AI126" s="16" t="s">
        <v>190</v>
      </c>
      <c r="AJ126" s="16">
        <v>2019</v>
      </c>
      <c r="AK126" s="16" t="s">
        <v>191</v>
      </c>
      <c r="AL126" s="16" t="s">
        <v>169</v>
      </c>
    </row>
    <row r="127" spans="1:38" ht="15" customHeight="1" thickBot="1">
      <c r="A127" s="390" t="s">
        <v>225</v>
      </c>
      <c r="B127" s="390"/>
      <c r="C127" s="390"/>
      <c r="D127" s="390"/>
      <c r="E127" s="390"/>
      <c r="F127" s="390"/>
      <c r="G127" s="390"/>
      <c r="H127" s="390"/>
      <c r="I127" s="390"/>
      <c r="J127" s="390"/>
      <c r="K127" s="390"/>
      <c r="L127" s="390"/>
      <c r="M127" s="390"/>
      <c r="N127" s="390"/>
      <c r="O127" s="192"/>
      <c r="P127" s="390" t="s">
        <v>230</v>
      </c>
      <c r="Q127" s="390"/>
      <c r="R127" s="390"/>
      <c r="S127" s="390"/>
      <c r="T127" s="390"/>
      <c r="U127" s="390"/>
      <c r="V127" s="390"/>
      <c r="W127" s="390"/>
      <c r="X127" s="390"/>
      <c r="Y127" s="390"/>
      <c r="Z127" s="390"/>
      <c r="AA127" s="390"/>
      <c r="AB127" s="390"/>
      <c r="AC127" s="390"/>
      <c r="AD127" s="242"/>
      <c r="AK127" s="237">
        <v>22.4</v>
      </c>
      <c r="AL127">
        <f>AK127/86000*1000000</f>
        <v>260.46511627906972</v>
      </c>
    </row>
    <row r="128" spans="1:38" ht="14.5" customHeight="1">
      <c r="A128" s="390"/>
      <c r="B128" s="390"/>
      <c r="C128" s="390"/>
      <c r="D128" s="390"/>
      <c r="E128" s="390"/>
      <c r="F128" s="390"/>
      <c r="G128" s="390"/>
      <c r="H128" s="390"/>
      <c r="I128" s="390"/>
      <c r="J128" s="390"/>
      <c r="K128" s="390"/>
      <c r="L128" s="390"/>
      <c r="M128" s="390"/>
      <c r="N128" s="390"/>
      <c r="O128" s="192"/>
      <c r="P128" s="390"/>
      <c r="Q128" s="390"/>
      <c r="R128" s="390"/>
      <c r="S128" s="390"/>
      <c r="T128" s="390"/>
      <c r="U128" s="390"/>
      <c r="V128" s="390"/>
      <c r="W128" s="390"/>
      <c r="X128" s="390"/>
      <c r="Y128" s="390"/>
      <c r="Z128" s="390"/>
      <c r="AA128" s="390"/>
      <c r="AB128" s="390"/>
      <c r="AC128" s="390"/>
      <c r="AD128" s="242"/>
      <c r="AI128" t="s">
        <v>192</v>
      </c>
      <c r="AJ128" s="168">
        <v>0.43</v>
      </c>
      <c r="AK128">
        <f>AK$127*AJ128</f>
        <v>9.6319999999999997</v>
      </c>
      <c r="AL128" s="107">
        <f>AK128/86000*1000000</f>
        <v>112</v>
      </c>
    </row>
    <row r="129" spans="1:38">
      <c r="O129" s="192"/>
    </row>
    <row r="130" spans="1:38">
      <c r="A130" s="391" t="s">
        <v>220</v>
      </c>
      <c r="B130" s="392"/>
      <c r="C130" s="392"/>
      <c r="D130" s="392"/>
      <c r="E130" s="392"/>
      <c r="O130" s="192"/>
      <c r="X130" s="391" t="s">
        <v>229</v>
      </c>
      <c r="Y130" s="392"/>
      <c r="Z130" s="392"/>
      <c r="AA130" s="392"/>
      <c r="AB130" s="392"/>
      <c r="AI130" t="s">
        <v>193</v>
      </c>
      <c r="AJ130" s="168">
        <v>0.3</v>
      </c>
      <c r="AK130">
        <f>AK$127*AJ130</f>
        <v>6.72</v>
      </c>
      <c r="AL130" s="107">
        <f>AK130/86000*1000000</f>
        <v>78.139534883720927</v>
      </c>
    </row>
    <row r="131" spans="1:38">
      <c r="A131" s="8" t="s">
        <v>20</v>
      </c>
      <c r="B131" s="9">
        <v>2020</v>
      </c>
      <c r="C131" s="9">
        <v>2030</v>
      </c>
      <c r="D131" s="9">
        <v>2040</v>
      </c>
      <c r="E131" s="9">
        <v>2050</v>
      </c>
      <c r="O131" s="192"/>
      <c r="X131" s="8" t="s">
        <v>20</v>
      </c>
      <c r="Y131" s="9">
        <v>2020</v>
      </c>
      <c r="Z131" s="9">
        <v>2030</v>
      </c>
      <c r="AA131" s="9">
        <v>2040</v>
      </c>
      <c r="AB131" s="9">
        <v>2050</v>
      </c>
      <c r="AI131" t="s">
        <v>184</v>
      </c>
      <c r="AJ131" s="168">
        <v>0.1</v>
      </c>
      <c r="AK131">
        <f>AK$127*AJ131</f>
        <v>2.2399999999999998</v>
      </c>
      <c r="AL131" s="107">
        <f>AK131/86000*1000000</f>
        <v>26.046511627906973</v>
      </c>
    </row>
    <row r="132" spans="1:38">
      <c r="A132" s="125" t="s">
        <v>15</v>
      </c>
      <c r="B132" s="261">
        <f>B35*'Init. énergie'!$I4*10^-6</f>
        <v>6.1170003535962776</v>
      </c>
      <c r="C132" s="261">
        <f>C35*'Init. énergie'!$I4*10^-6</f>
        <v>3.6741423844924452</v>
      </c>
      <c r="D132" s="261">
        <f>D35*'Init. énergie'!$I4*10^-6</f>
        <v>2.6156632006990583</v>
      </c>
      <c r="E132" s="261">
        <f>E35*'Init. énergie'!$I4*10^-6</f>
        <v>1.6639551371988088</v>
      </c>
      <c r="O132" s="192"/>
      <c r="X132" s="125" t="s">
        <v>15</v>
      </c>
      <c r="Y132" s="299">
        <f>Y35*'Init. énergie'!I4*10^-6</f>
        <v>6.1170003535962776</v>
      </c>
      <c r="Z132" s="299">
        <f>Z35*'Init. énergie'!J4*10^-6</f>
        <v>0.48803372707465476</v>
      </c>
      <c r="AA132" s="299">
        <f>AA35*'Init. énergie'!K4*10^-6</f>
        <v>0</v>
      </c>
      <c r="AB132" s="299">
        <f>AB35*'Init. énergie'!L4*10^-6</f>
        <v>0</v>
      </c>
      <c r="AI132" t="s">
        <v>194</v>
      </c>
      <c r="AJ132" s="168">
        <v>0.09</v>
      </c>
      <c r="AK132">
        <f>AK$127*AJ132</f>
        <v>2.016</v>
      </c>
      <c r="AL132" s="107">
        <f>AK132/86000*1000000</f>
        <v>23.441860465116278</v>
      </c>
    </row>
    <row r="133" spans="1:38">
      <c r="A133" s="125" t="s">
        <v>16</v>
      </c>
      <c r="B133" s="261">
        <f>B36*'Init. énergie'!$I5*10^-6</f>
        <v>14.946481257625972</v>
      </c>
      <c r="C133" s="261">
        <f>C36*'Init. énergie'!$I5*10^-6</f>
        <v>11.804672817495707</v>
      </c>
      <c r="D133" s="261">
        <f>D36*'Init. énergie'!$I5*10^-6</f>
        <v>10.179872981305266</v>
      </c>
      <c r="E133" s="261">
        <f>E36*'Init. énergie'!$I5*10^-6</f>
        <v>8.5290381860110696</v>
      </c>
      <c r="O133" s="192"/>
      <c r="X133" s="125" t="s">
        <v>16</v>
      </c>
      <c r="Y133" s="299">
        <f>Y36*'Init. énergie'!I5*10^-6</f>
        <v>14.946481257625972</v>
      </c>
      <c r="Z133" s="299">
        <f>Z36*'Init. énergie'!J5*10^-6</f>
        <v>9.6667351991693078</v>
      </c>
      <c r="AA133" s="299">
        <f>AA36*'Init. énergie'!K5*10^-6</f>
        <v>4.2951278699788542</v>
      </c>
      <c r="AB133" s="299">
        <f>AB36*'Init. énergie'!L5*10^-6</f>
        <v>1.2063232356867695</v>
      </c>
      <c r="AI133" t="s">
        <v>195</v>
      </c>
      <c r="AJ133" s="168">
        <v>0.05</v>
      </c>
      <c r="AK133">
        <f>AK$127*AJ133</f>
        <v>1.1199999999999999</v>
      </c>
      <c r="AL133" s="107">
        <f>AK133/86000*1000000</f>
        <v>13.023255813953487</v>
      </c>
    </row>
    <row r="134" spans="1:38">
      <c r="A134" s="125" t="s">
        <v>21</v>
      </c>
      <c r="B134" s="261">
        <f>B37*'Init. énergie'!$I6*10^-6</f>
        <v>1.3431540764853072</v>
      </c>
      <c r="C134" s="261">
        <f>C37*'Init. énergie'!$I6*10^-6</f>
        <v>1.3204617895174684</v>
      </c>
      <c r="D134" s="261">
        <f>D37*'Init. énergie'!$I6*10^-6</f>
        <v>1.2627316308678831</v>
      </c>
      <c r="E134" s="261">
        <f>E37*'Init. énergie'!$I6*10^-6</f>
        <v>1.3182527197385303</v>
      </c>
      <c r="O134" s="192"/>
      <c r="X134" s="125" t="s">
        <v>21</v>
      </c>
      <c r="Y134" s="299">
        <f>Y37*'Init. énergie'!I6*10^-6</f>
        <v>1.3431540764853072</v>
      </c>
      <c r="Z134" s="299">
        <f>Z37*'Init. énergie'!J6*10^-6</f>
        <v>1.9840292217045599</v>
      </c>
      <c r="AA134" s="299">
        <f>AA37*'Init. énergie'!K6*10^-6</f>
        <v>1.244850040330348</v>
      </c>
      <c r="AB134" s="299">
        <f>AB37*'Init. énergie'!L6*10^-6</f>
        <v>0.84729862730987038</v>
      </c>
      <c r="AI134" t="s">
        <v>196</v>
      </c>
      <c r="AJ134" s="168">
        <v>0.04</v>
      </c>
      <c r="AK134">
        <f>AK$127*AJ134</f>
        <v>0.89599999999999991</v>
      </c>
      <c r="AL134" s="107">
        <f>AK134/86000*1000000</f>
        <v>10.41860465116279</v>
      </c>
    </row>
    <row r="135" spans="1:38">
      <c r="A135" s="125" t="s">
        <v>22</v>
      </c>
      <c r="B135" s="261">
        <f>B38*'Init. énergie'!$I7*10^-6</f>
        <v>0.34946405068130248</v>
      </c>
      <c r="C135" s="261">
        <f>C38*'Init. énergie'!$I7*10^-6</f>
        <v>0.28680786758589477</v>
      </c>
      <c r="D135" s="261">
        <f>D38*'Init. énergie'!$I7*10^-6</f>
        <v>0.2636578917174261</v>
      </c>
      <c r="E135" s="261">
        <f>E38*'Init. énergie'!$I7*10^-6</f>
        <v>0.2365194517296336</v>
      </c>
      <c r="O135" s="192"/>
      <c r="X135" s="125" t="s">
        <v>22</v>
      </c>
      <c r="Y135" s="299">
        <f>Y38*'Init. énergie'!I7*10^-6</f>
        <v>0.34946405068130248</v>
      </c>
      <c r="Z135" s="299">
        <f>Z38*'Init. énergie'!J7*10^-6</f>
        <v>0.1992119349960064</v>
      </c>
      <c r="AA135" s="299">
        <f>AA38*'Init. énergie'!K7*10^-6</f>
        <v>0.11340840485649772</v>
      </c>
      <c r="AB135" s="299">
        <f>AB38*'Init. énergie'!L7*10^-6</f>
        <v>1.2432598428885409E-2</v>
      </c>
    </row>
    <row r="136" spans="1:38">
      <c r="A136" s="125" t="s">
        <v>42</v>
      </c>
      <c r="B136" s="261">
        <f>B39*'Init. énergie'!$I8*10^-6</f>
        <v>0</v>
      </c>
      <c r="C136" s="261">
        <f>C39*'Init. énergie'!$I8*10^-6</f>
        <v>0</v>
      </c>
      <c r="D136" s="261">
        <f>D39*'Init. énergie'!$I8*10^-6</f>
        <v>0</v>
      </c>
      <c r="E136" s="261">
        <f>E39*'Init. énergie'!$I8*10^-6</f>
        <v>0</v>
      </c>
      <c r="O136" s="192"/>
      <c r="X136" s="125" t="s">
        <v>42</v>
      </c>
      <c r="Y136" s="299">
        <f>Y39*'Init. énergie'!I8*10^-6</f>
        <v>0</v>
      </c>
      <c r="Z136" s="299">
        <f>Z39*'Init. énergie'!J8*10^-6</f>
        <v>0</v>
      </c>
      <c r="AA136" s="299">
        <f>AA39*'Init. énergie'!K8*10^-6</f>
        <v>0</v>
      </c>
      <c r="AB136" s="299">
        <f>AB39*'Init. énergie'!L8*10^-6</f>
        <v>0</v>
      </c>
      <c r="AI136" t="s">
        <v>197</v>
      </c>
      <c r="AJ136" s="168">
        <f>SUM(AJ130:AJ134)</f>
        <v>0.58000000000000007</v>
      </c>
      <c r="AK136" s="107">
        <f t="shared" ref="AK136" si="46">SUM(AK130:AK134)</f>
        <v>12.991999999999997</v>
      </c>
      <c r="AL136" s="107">
        <f>SUM(AL130:AL134)</f>
        <v>151.06976744186045</v>
      </c>
    </row>
    <row r="137" spans="1:38">
      <c r="A137" s="125" t="s">
        <v>210</v>
      </c>
      <c r="B137" s="261">
        <f>B40*'Init. énergie'!$I9*10^-6</f>
        <v>11.586190605050938</v>
      </c>
      <c r="C137" s="261">
        <f>C40*'Init. énergie'!$I9*10^-6</f>
        <v>11.748885569287854</v>
      </c>
      <c r="D137" s="261">
        <f>D40*'Init. énergie'!$I9*10^-6</f>
        <v>11.224032839837784</v>
      </c>
      <c r="E137" s="261">
        <f>E40*'Init. énergie'!$I9*10^-6</f>
        <v>13.354152857759846</v>
      </c>
      <c r="O137" s="192"/>
      <c r="X137" s="125" t="s">
        <v>210</v>
      </c>
      <c r="Y137" s="299">
        <f>Y40*'Init. énergie'!I9*10^-6</f>
        <v>11.893859575645591</v>
      </c>
      <c r="Z137" s="299">
        <f>Z40*'Init. énergie'!J9*10^-6</f>
        <v>9.2710901341576104</v>
      </c>
      <c r="AA137" s="299">
        <f>AA40*'Init. énergie'!K9*10^-6</f>
        <v>5.6740796792442101</v>
      </c>
      <c r="AB137" s="299">
        <f>AB40*'Init. énergie'!L9*10^-6</f>
        <v>6.1889337969910212</v>
      </c>
    </row>
    <row r="138" spans="1:38">
      <c r="A138" s="12" t="s">
        <v>17</v>
      </c>
      <c r="B138" s="262">
        <f>SUM(B132:B137)</f>
        <v>34.342290343439799</v>
      </c>
      <c r="C138" s="262">
        <f t="shared" ref="C138:E138" si="47">SUM(C132:C137)</f>
        <v>28.834970428379371</v>
      </c>
      <c r="D138" s="262">
        <f t="shared" si="47"/>
        <v>25.545958544427418</v>
      </c>
      <c r="E138" s="262">
        <f t="shared" si="47"/>
        <v>25.101918352437885</v>
      </c>
      <c r="O138" s="192"/>
      <c r="X138" s="12" t="s">
        <v>17</v>
      </c>
      <c r="Y138" s="300">
        <f>SUM(Y132:Y137)</f>
        <v>34.649959314034447</v>
      </c>
      <c r="Z138" s="300">
        <f>SUM(Z132:Z137)</f>
        <v>21.609100217102139</v>
      </c>
      <c r="AA138" s="300">
        <f t="shared" ref="AA138" si="48">SUM(AA132:AA137)</f>
        <v>11.327465994409909</v>
      </c>
      <c r="AB138" s="300">
        <f t="shared" ref="AB138" si="49">SUM(AB132:AB137)</f>
        <v>8.2549882584165459</v>
      </c>
    </row>
    <row r="139" spans="1:38">
      <c r="A139" s="190" t="s">
        <v>221</v>
      </c>
      <c r="B139" s="264">
        <f>SUM(B132:B136)</f>
        <v>22.756099738388858</v>
      </c>
      <c r="C139" s="264">
        <f t="shared" ref="C139:E139" si="50">SUM(C132:C136)</f>
        <v>17.086084859091518</v>
      </c>
      <c r="D139" s="264">
        <f t="shared" si="50"/>
        <v>14.321925704589633</v>
      </c>
      <c r="E139" s="264">
        <f t="shared" si="50"/>
        <v>11.74776549467804</v>
      </c>
      <c r="O139" s="192"/>
      <c r="X139" s="190" t="s">
        <v>221</v>
      </c>
      <c r="Y139" s="297">
        <f>SUM(Y132:Y136)</f>
        <v>22.756099738388858</v>
      </c>
      <c r="Z139" s="300">
        <f>SUM(Z132:Z136)</f>
        <v>12.338010082944528</v>
      </c>
      <c r="AA139" s="297">
        <f t="shared" ref="AA139:AB139" si="51">SUM(AA132:AA136)</f>
        <v>5.6533863151657</v>
      </c>
      <c r="AB139" s="297">
        <f t="shared" si="51"/>
        <v>2.0660544614255256</v>
      </c>
    </row>
    <row r="140" spans="1:38" ht="18.5">
      <c r="A140" s="263"/>
      <c r="O140" s="192"/>
      <c r="X140" s="190" t="s">
        <v>312</v>
      </c>
      <c r="Y140" s="327">
        <f>Y132+Y133+Y135+Y136</f>
        <v>21.412945661903553</v>
      </c>
      <c r="Z140" s="304">
        <f t="shared" ref="Z140:AB140" si="52">Z132+Z133+Z135+Z136</f>
        <v>10.353980861239968</v>
      </c>
      <c r="AA140" s="327">
        <f t="shared" si="52"/>
        <v>4.4085362748353516</v>
      </c>
      <c r="AB140" s="327">
        <f t="shared" si="52"/>
        <v>1.2187558341156548</v>
      </c>
    </row>
    <row r="141" spans="1:38">
      <c r="A141" s="328"/>
      <c r="O141" s="192"/>
      <c r="X141" s="328"/>
      <c r="Y141" s="327"/>
      <c r="Z141" s="327"/>
      <c r="AA141" s="327"/>
      <c r="AB141" s="327"/>
    </row>
    <row r="142" spans="1:38">
      <c r="A142" s="345" t="s">
        <v>106</v>
      </c>
      <c r="B142" s="346"/>
      <c r="C142" s="346"/>
      <c r="D142" s="346"/>
      <c r="E142" s="346"/>
      <c r="O142" s="192"/>
      <c r="X142" s="345" t="s">
        <v>106</v>
      </c>
      <c r="Y142" s="346"/>
      <c r="Z142" s="346"/>
      <c r="AA142" s="346"/>
      <c r="AB142" s="346"/>
    </row>
    <row r="143" spans="1:38" ht="18.5">
      <c r="A143" s="8" t="s">
        <v>189</v>
      </c>
      <c r="B143" s="235"/>
      <c r="C143" s="196">
        <f>C139/$B139-1</f>
        <v>-0.24916461715678784</v>
      </c>
      <c r="D143" s="235">
        <f t="shared" ref="D143:E143" si="53">D139/$B139-1</f>
        <v>-0.370633550158467</v>
      </c>
      <c r="E143" s="235">
        <f t="shared" si="53"/>
        <v>-0.48375311983450697</v>
      </c>
      <c r="O143" s="192"/>
      <c r="X143" s="8" t="s">
        <v>314</v>
      </c>
      <c r="Y143" s="235"/>
      <c r="Z143" s="196">
        <f>Z140/$B139-1</f>
        <v>-0.54500195638652826</v>
      </c>
      <c r="AA143" s="235">
        <f t="shared" ref="AA143:AB143" si="54">AA139/$B139-1</f>
        <v>-0.75156611281551877</v>
      </c>
      <c r="AB143" s="235">
        <f t="shared" si="54"/>
        <v>-0.90920876225814062</v>
      </c>
    </row>
    <row r="144" spans="1:38">
      <c r="O144" s="192"/>
    </row>
    <row r="145" spans="1:29">
      <c r="O145" s="192"/>
    </row>
    <row r="146" spans="1:29">
      <c r="O146" s="192"/>
    </row>
    <row r="147" spans="1:29">
      <c r="O147" s="192"/>
    </row>
    <row r="148" spans="1:29">
      <c r="O148" s="192"/>
    </row>
    <row r="149" spans="1:29">
      <c r="A149" s="390" t="s">
        <v>237</v>
      </c>
      <c r="B149" s="390"/>
      <c r="C149" s="390"/>
      <c r="D149" s="390"/>
      <c r="E149" s="390"/>
      <c r="F149" s="390"/>
      <c r="G149" s="390"/>
      <c r="H149" s="390"/>
      <c r="I149" s="390"/>
      <c r="J149" s="390"/>
      <c r="K149" s="390"/>
      <c r="L149" s="390"/>
      <c r="M149" s="390"/>
      <c r="N149" s="390"/>
      <c r="O149" s="192"/>
      <c r="P149" s="390" t="s">
        <v>237</v>
      </c>
      <c r="Q149" s="390"/>
      <c r="R149" s="390"/>
      <c r="S149" s="390"/>
      <c r="T149" s="390"/>
      <c r="U149" s="390"/>
      <c r="V149" s="390"/>
      <c r="W149" s="390"/>
      <c r="X149" s="390"/>
      <c r="Y149" s="390"/>
      <c r="Z149" s="390"/>
      <c r="AA149" s="390"/>
      <c r="AB149" s="390"/>
      <c r="AC149" s="390"/>
    </row>
    <row r="150" spans="1:29">
      <c r="A150" s="390"/>
      <c r="B150" s="390"/>
      <c r="C150" s="390"/>
      <c r="D150" s="390"/>
      <c r="E150" s="390"/>
      <c r="F150" s="390"/>
      <c r="G150" s="390"/>
      <c r="H150" s="390"/>
      <c r="I150" s="390"/>
      <c r="J150" s="390"/>
      <c r="K150" s="390"/>
      <c r="L150" s="390"/>
      <c r="M150" s="390"/>
      <c r="N150" s="390"/>
      <c r="O150" s="192"/>
      <c r="P150" s="390"/>
      <c r="Q150" s="390"/>
      <c r="R150" s="390"/>
      <c r="S150" s="390"/>
      <c r="T150" s="390"/>
      <c r="U150" s="390"/>
      <c r="V150" s="390"/>
      <c r="W150" s="390"/>
      <c r="X150" s="390"/>
      <c r="Y150" s="390"/>
      <c r="Z150" s="390"/>
      <c r="AA150" s="390"/>
      <c r="AB150" s="390"/>
      <c r="AC150" s="390"/>
    </row>
    <row r="154" spans="1:29">
      <c r="X154" s="8" t="s">
        <v>299</v>
      </c>
      <c r="Y154" s="9">
        <v>2020</v>
      </c>
      <c r="Z154" s="9">
        <v>2030</v>
      </c>
      <c r="AA154" s="9">
        <v>2040</v>
      </c>
      <c r="AB154" s="9">
        <v>2050</v>
      </c>
    </row>
    <row r="155" spans="1:29">
      <c r="X155" s="125" t="s">
        <v>15</v>
      </c>
      <c r="Y155" s="107">
        <f>'Bureaux - AMS'!H177+'CaHoREs - AMS'!H177+'Commerce - AMS'!H177+'Enseignement - AMS'!H177+'Santé social - AMS'!H177+'Sport Loisir Culture - AMS'!H177+'Transport - AMS'!H177</f>
        <v>141768.93496662442</v>
      </c>
      <c r="Z155" s="107">
        <f>'Bureaux - AMS'!I177+'CaHoREs - AMS'!I177+'Commerce - AMS'!I177+'Enseignement - AMS'!I177+'Santé social - AMS'!I177+'Sport Loisir Culture - AMS'!I177+'Transport - AMS'!I177</f>
        <v>12789.919501469796</v>
      </c>
      <c r="AA155" s="107">
        <f>'Bureaux - AMS'!J177+'CaHoREs - AMS'!J177+'Commerce - AMS'!J177+'Enseignement - AMS'!J177+'Santé social - AMS'!J177+'Sport Loisir Culture - AMS'!J177+'Transport - AMS'!J177</f>
        <v>0</v>
      </c>
      <c r="AB155" s="107">
        <f>'Bureaux - AMS'!K177+'CaHoREs - AMS'!K177+'Commerce - AMS'!K177+'Enseignement - AMS'!K177+'Santé social - AMS'!K177+'Sport Loisir Culture - AMS'!K177+'Transport - AMS'!K177</f>
        <v>0</v>
      </c>
    </row>
    <row r="156" spans="1:29">
      <c r="X156" s="125" t="s">
        <v>16</v>
      </c>
      <c r="Y156" s="107">
        <f>'Bureaux - AMS'!H178+'CaHoREs - AMS'!H178+'Commerce - AMS'!H178+'Enseignement - AMS'!H178+'Santé social - AMS'!H178+'Sport Loisir Culture - AMS'!H178+'Transport - AMS'!H178</f>
        <v>454192.81039837294</v>
      </c>
      <c r="Z156" s="107">
        <f>'Bureaux - AMS'!I178+'CaHoREs - AMS'!I178+'Commerce - AMS'!I178+'Enseignement - AMS'!I178+'Santé social - AMS'!I178+'Sport Loisir Culture - AMS'!I178+'Transport - AMS'!I178</f>
        <v>368480.4232701849</v>
      </c>
      <c r="AA156" s="107">
        <f>'Bureaux - AMS'!J178+'CaHoREs - AMS'!J178+'Commerce - AMS'!J178+'Enseignement - AMS'!J178+'Santé social - AMS'!J178+'Sport Loisir Culture - AMS'!J178+'Transport - AMS'!J178</f>
        <v>169053.90812140395</v>
      </c>
      <c r="AB156" s="107">
        <f>'Bureaux - AMS'!K178+'CaHoREs - AMS'!K178+'Commerce - AMS'!K178+'Enseignement - AMS'!K178+'Santé social - AMS'!K178+'Sport Loisir Culture - AMS'!K178+'Transport - AMS'!K178</f>
        <v>44140.917899029038</v>
      </c>
    </row>
    <row r="157" spans="1:29">
      <c r="X157" s="125" t="s">
        <v>21</v>
      </c>
      <c r="Y157" s="107">
        <f>'Bureaux - AMS'!H179+'CaHoREs - AMS'!H179+'Commerce - AMS'!H179+'Enseignement - AMS'!H179+'Santé social - AMS'!H179+'Sport Loisir Culture - AMS'!H179+'Transport - AMS'!H179</f>
        <v>71395.420580916252</v>
      </c>
      <c r="Z157" s="107">
        <f>'Bureaux - AMS'!I179+'CaHoREs - AMS'!I179+'Commerce - AMS'!I179+'Enseignement - AMS'!I179+'Santé social - AMS'!I179+'Sport Loisir Culture - AMS'!I179+'Transport - AMS'!I179</f>
        <v>190966.19846044178</v>
      </c>
      <c r="AA157" s="107">
        <f>'Bureaux - AMS'!J179+'CaHoREs - AMS'!J179+'Commerce - AMS'!J179+'Enseignement - AMS'!J179+'Santé social - AMS'!J179+'Sport Loisir Culture - AMS'!J179+'Transport - AMS'!J179</f>
        <v>214498.71059518252</v>
      </c>
      <c r="AB157" s="107">
        <f>'Bureaux - AMS'!K179+'CaHoREs - AMS'!K179+'Commerce - AMS'!K179+'Enseignement - AMS'!K179+'Santé social - AMS'!K179+'Sport Loisir Culture - AMS'!K179+'Transport - AMS'!K179</f>
        <v>224632.92269624671</v>
      </c>
    </row>
    <row r="158" spans="1:29">
      <c r="X158" s="125" t="s">
        <v>22</v>
      </c>
      <c r="Y158" s="107">
        <f>'Bureaux - AMS'!H180+'CaHoREs - AMS'!H180+'Commerce - AMS'!H180+'Enseignement - AMS'!H180+'Santé social - AMS'!H180+'Sport Loisir Culture - AMS'!H180+'Transport - AMS'!H180</f>
        <v>14240.363349663021</v>
      </c>
      <c r="Z158" s="107">
        <f>'Bureaux - AMS'!I180+'CaHoREs - AMS'!I180+'Commerce - AMS'!I180+'Enseignement - AMS'!I180+'Santé social - AMS'!I180+'Sport Loisir Culture - AMS'!I180+'Transport - AMS'!I180</f>
        <v>9902.9809826793935</v>
      </c>
      <c r="AA158" s="107">
        <f>'Bureaux - AMS'!J180+'CaHoREs - AMS'!J180+'Commerce - AMS'!J180+'Enseignement - AMS'!J180+'Santé social - AMS'!J180+'Sport Loisir Culture - AMS'!J180+'Transport - AMS'!J180</f>
        <v>5918.3491346375358</v>
      </c>
      <c r="AB158" s="107">
        <f>'Bureaux - AMS'!K180+'CaHoREs - AMS'!K180+'Commerce - AMS'!K180+'Enseignement - AMS'!K180+'Santé social - AMS'!K180+'Sport Loisir Culture - AMS'!K180+'Transport - AMS'!K180</f>
        <v>749.38758867739966</v>
      </c>
    </row>
    <row r="159" spans="1:29">
      <c r="X159" s="125" t="s">
        <v>42</v>
      </c>
      <c r="Y159" s="107">
        <f>'Bureaux - AMS'!H181+'CaHoREs - AMS'!H181+'Commerce - AMS'!H181+'Enseignement - AMS'!H181+'Santé social - AMS'!H181+'Sport Loisir Culture - AMS'!H181+'Transport - AMS'!H181</f>
        <v>12911.710033789888</v>
      </c>
      <c r="Z159" s="107">
        <f>'Bureaux - AMS'!I181+'CaHoREs - AMS'!I181+'Commerce - AMS'!I181+'Enseignement - AMS'!I181+'Santé social - AMS'!I181+'Sport Loisir Culture - AMS'!I181+'Transport - AMS'!I181</f>
        <v>19409.161591326934</v>
      </c>
      <c r="AA159" s="107">
        <f>'Bureaux - AMS'!J181+'CaHoREs - AMS'!J181+'Commerce - AMS'!J181+'Enseignement - AMS'!J181+'Santé social - AMS'!J181+'Sport Loisir Culture - AMS'!J181+'Transport - AMS'!J181</f>
        <v>27618.809713276209</v>
      </c>
      <c r="AB159" s="107">
        <f>'Bureaux - AMS'!K181+'CaHoREs - AMS'!K181+'Commerce - AMS'!K181+'Enseignement - AMS'!K181+'Santé social - AMS'!K181+'Sport Loisir Culture - AMS'!K181+'Transport - AMS'!K181</f>
        <v>31681.219900528191</v>
      </c>
    </row>
    <row r="160" spans="1:29">
      <c r="X160" s="125" t="s">
        <v>48</v>
      </c>
      <c r="Y160" s="107">
        <f>'Bureaux - AMS'!H182+'CaHoREs - AMS'!H182+'Commerce - AMS'!H182+'Enseignement - AMS'!H182+'Santé social - AMS'!H182+'Sport Loisir Culture - AMS'!H182+'Transport - AMS'!H182</f>
        <v>230307.49628949657</v>
      </c>
      <c r="Z160" s="107">
        <f>'Bureaux - AMS'!I182+'CaHoREs - AMS'!I182+'Commerce - AMS'!I182+'Enseignement - AMS'!I182+'Santé social - AMS'!I182+'Sport Loisir Culture - AMS'!I182+'Transport - AMS'!I182</f>
        <v>151751.24364107606</v>
      </c>
      <c r="AA160" s="107">
        <f>'Bureaux - AMS'!J182+'CaHoREs - AMS'!J182+'Commerce - AMS'!J182+'Enseignement - AMS'!J182+'Santé social - AMS'!J182+'Sport Loisir Culture - AMS'!J182+'Transport - AMS'!J182</f>
        <v>155030.49392091244</v>
      </c>
      <c r="AB160" s="107">
        <f>'Bureaux - AMS'!K182+'CaHoREs - AMS'!K182+'Commerce - AMS'!K182+'Enseignement - AMS'!K182+'Santé social - AMS'!K182+'Sport Loisir Culture - AMS'!K182+'Transport - AMS'!K182</f>
        <v>132919.41660667182</v>
      </c>
    </row>
    <row r="161" spans="24:28">
      <c r="X161" s="125" t="s">
        <v>49</v>
      </c>
      <c r="Y161" s="107">
        <f>'Bureaux - AMS'!H183+'CaHoREs - AMS'!H183+'Commerce - AMS'!H183+'Enseignement - AMS'!H183+'Santé social - AMS'!H183+'Sport Loisir Culture - AMS'!H183+'Transport - AMS'!H183</f>
        <v>58620.528245516914</v>
      </c>
      <c r="Z161" s="107">
        <f>'Bureaux - AMS'!I183+'CaHoREs - AMS'!I183+'Commerce - AMS'!I183+'Enseignement - AMS'!I183+'Santé social - AMS'!I183+'Sport Loisir Culture - AMS'!I183+'Transport - AMS'!I183</f>
        <v>212006.9526548764</v>
      </c>
      <c r="AA161" s="107">
        <f>'Bureaux - AMS'!J183+'CaHoREs - AMS'!J183+'Commerce - AMS'!J183+'Enseignement - AMS'!J183+'Santé social - AMS'!J183+'Sport Loisir Culture - AMS'!J183+'Transport - AMS'!J183</f>
        <v>376507.40328777017</v>
      </c>
      <c r="AB161" s="107">
        <f>'Bureaux - AMS'!K183+'CaHoREs - AMS'!K183+'Commerce - AMS'!K183+'Enseignement - AMS'!K183+'Santé social - AMS'!K183+'Sport Loisir Culture - AMS'!K183+'Transport - AMS'!K183</f>
        <v>480522.26692829095</v>
      </c>
    </row>
    <row r="163" spans="24:28">
      <c r="X163" s="12" t="s">
        <v>17</v>
      </c>
      <c r="Y163" s="266">
        <f>SUM(Y155:Y161)</f>
        <v>983437.26386437984</v>
      </c>
      <c r="Z163" s="266">
        <f t="shared" ref="Z163:AB163" si="55">SUM(Z155:Z161)</f>
        <v>965306.88010205526</v>
      </c>
      <c r="AA163" s="266">
        <f t="shared" si="55"/>
        <v>948627.67477318295</v>
      </c>
      <c r="AB163" s="266">
        <f t="shared" si="55"/>
        <v>914646.13161944412</v>
      </c>
    </row>
  </sheetData>
  <mergeCells count="34">
    <mergeCell ref="X91:AB91"/>
    <mergeCell ref="B7:F7"/>
    <mergeCell ref="A55:E55"/>
    <mergeCell ref="A79:E79"/>
    <mergeCell ref="A91:E91"/>
    <mergeCell ref="P49:AC50"/>
    <mergeCell ref="A49:N50"/>
    <mergeCell ref="A1:N2"/>
    <mergeCell ref="P1:AC2"/>
    <mergeCell ref="Y7:AC7"/>
    <mergeCell ref="X55:AB55"/>
    <mergeCell ref="X79:AB79"/>
    <mergeCell ref="A3:N4"/>
    <mergeCell ref="P3:AC4"/>
    <mergeCell ref="A33:E33"/>
    <mergeCell ref="X33:AB33"/>
    <mergeCell ref="A67:E67"/>
    <mergeCell ref="X67:AB67"/>
    <mergeCell ref="A27:E27"/>
    <mergeCell ref="X27:AB27"/>
    <mergeCell ref="A106:N107"/>
    <mergeCell ref="P106:AC107"/>
    <mergeCell ref="A112:E112"/>
    <mergeCell ref="A122:E122"/>
    <mergeCell ref="X112:AB112"/>
    <mergeCell ref="X122:AB122"/>
    <mergeCell ref="A149:N150"/>
    <mergeCell ref="P149:AC150"/>
    <mergeCell ref="A127:N128"/>
    <mergeCell ref="P127:AC128"/>
    <mergeCell ref="A130:E130"/>
    <mergeCell ref="X130:AB130"/>
    <mergeCell ref="A142:E142"/>
    <mergeCell ref="X142:AB142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  <pageSetUpPr fitToPage="1"/>
  </sheetPr>
  <dimension ref="A1:GB1589"/>
  <sheetViews>
    <sheetView showGridLines="0" topLeftCell="B32" zoomScale="160" zoomScaleNormal="160" workbookViewId="0">
      <selection activeCell="I49" sqref="I49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255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256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226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>H34</f>
        <v>287333.79208712658</v>
      </c>
      <c r="I7" s="10">
        <f t="shared" ref="I7:K8" si="0">I34</f>
        <v>258828.66466211932</v>
      </c>
      <c r="J7" s="10">
        <f t="shared" si="0"/>
        <v>232752.15473715233</v>
      </c>
      <c r="K7" s="10">
        <f t="shared" si="0"/>
        <v>204790.07158910698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6206.4099090819345</v>
      </c>
      <c r="J8" s="76">
        <f t="shared" si="0"/>
        <v>5590.6991567017767</v>
      </c>
      <c r="K8" s="76">
        <f t="shared" si="0"/>
        <v>5027.4465423224901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1">H36</f>
        <v>287333.79208712658</v>
      </c>
      <c r="I9" s="96">
        <f t="shared" si="1"/>
        <v>252622.25475303738</v>
      </c>
      <c r="J9" s="96">
        <f t="shared" si="1"/>
        <v>227161.45558045057</v>
      </c>
      <c r="K9" s="96">
        <f t="shared" si="1"/>
        <v>199762.62504678449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228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3702.0698483966371</v>
      </c>
      <c r="I13" s="86">
        <f t="shared" ref="I13:K13" si="2">I129+I163</f>
        <v>0</v>
      </c>
      <c r="J13" s="86">
        <f t="shared" si="2"/>
        <v>0</v>
      </c>
      <c r="K13" s="86">
        <f t="shared" si="2"/>
        <v>0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9" si="3">H130+H164</f>
        <v>17499.088072701466</v>
      </c>
      <c r="I14" s="86">
        <f t="shared" si="3"/>
        <v>11298.054709513988</v>
      </c>
      <c r="J14" s="86">
        <f t="shared" si="3"/>
        <v>4311.146088942015</v>
      </c>
      <c r="K14" s="86">
        <f>K130+K164</f>
        <v>1011.9889929865154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si="3"/>
        <v>2777.8770505483162</v>
      </c>
      <c r="I15" s="86">
        <f>I131+I165</f>
        <v>4655.7992741516991</v>
      </c>
      <c r="J15" s="86">
        <f t="shared" si="3"/>
        <v>4892.3464121644365</v>
      </c>
      <c r="K15" s="86">
        <f t="shared" si="3"/>
        <v>4262.9648526539522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si="3"/>
        <v>402.11116718463484</v>
      </c>
      <c r="I16" s="86">
        <f t="shared" si="3"/>
        <v>206.8014088157947</v>
      </c>
      <c r="J16" s="86">
        <f t="shared" si="3"/>
        <v>89.716441632969207</v>
      </c>
      <c r="K16" s="86">
        <f t="shared" si="3"/>
        <v>7.6064460656954695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si="3"/>
        <v>427.13840685411856</v>
      </c>
      <c r="I17" s="86">
        <f t="shared" si="3"/>
        <v>515.78664827678233</v>
      </c>
      <c r="J17" s="86">
        <f t="shared" si="3"/>
        <v>633.39491009439098</v>
      </c>
      <c r="K17" s="86">
        <f t="shared" si="3"/>
        <v>680.981027451052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si="3"/>
        <v>7576.5542005720026</v>
      </c>
      <c r="I18" s="86">
        <f t="shared" si="3"/>
        <v>3502.2864216775056</v>
      </c>
      <c r="J18" s="86">
        <f t="shared" si="3"/>
        <v>2295.5081485147898</v>
      </c>
      <c r="K18" s="86">
        <f t="shared" si="3"/>
        <v>1613.7613293256616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si="3"/>
        <v>1155.9040979074825</v>
      </c>
      <c r="I19" s="86">
        <f t="shared" si="3"/>
        <v>3160.5157797500619</v>
      </c>
      <c r="J19" s="86">
        <f t="shared" si="3"/>
        <v>4345.9718310893104</v>
      </c>
      <c r="K19" s="86">
        <f t="shared" si="3"/>
        <v>4333.9305487867905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33540.742844164655</v>
      </c>
      <c r="I20" s="13">
        <f t="shared" ref="I20:K20" si="4">SUM(I13:I19)</f>
        <v>23339.244242185832</v>
      </c>
      <c r="J20" s="13">
        <f t="shared" si="4"/>
        <v>16568.083832437911</v>
      </c>
      <c r="K20" s="13">
        <f t="shared" si="4"/>
        <v>11911.233197269667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-0.4411839383602304</v>
      </c>
      <c r="J23" s="188">
        <f t="shared" ref="J23:K23" si="5">J114/$G114-1</f>
        <v>-0.60971246744217533</v>
      </c>
      <c r="K23" s="188">
        <f t="shared" si="5"/>
        <v>-0.72542925708037931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-0.35875629909187767</v>
      </c>
      <c r="J24" s="188">
        <f t="shared" ref="J24:K24" si="6">J125/$G125-1</f>
        <v>-0.52805452828626942</v>
      </c>
      <c r="K24" s="188">
        <f t="shared" si="6"/>
        <v>-0.64718284307587837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257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258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287333.79208712658</v>
      </c>
      <c r="H34" s="126">
        <f>'Init. parc'!C19</f>
        <v>287333.79208712658</v>
      </c>
      <c r="I34" s="126">
        <f>'Init. parc'!D19</f>
        <v>258828.66466211932</v>
      </c>
      <c r="J34" s="126">
        <f>'Init. parc'!E19</f>
        <v>232752.15473715233</v>
      </c>
      <c r="K34" s="126">
        <f>'Init. parc'!F19</f>
        <v>204790.07158910698</v>
      </c>
      <c r="L34" s="65"/>
      <c r="M34" s="65"/>
      <c r="N34" s="65"/>
      <c r="O34" s="42"/>
    </row>
    <row r="35" spans="1:17" s="17" customFormat="1" ht="21">
      <c r="A35" s="56"/>
      <c r="C35" s="40"/>
      <c r="D35" s="32"/>
      <c r="E35" s="83" t="s">
        <v>29</v>
      </c>
      <c r="F35" s="55"/>
      <c r="G35" s="195"/>
      <c r="H35" s="126">
        <v>0</v>
      </c>
      <c r="I35" s="126">
        <f>'Init. parc'!N19</f>
        <v>6206.4099090819345</v>
      </c>
      <c r="J35" s="126">
        <f>'Init. parc'!O19</f>
        <v>5590.6991567017767</v>
      </c>
      <c r="K35" s="126">
        <f>'Init. parc'!P19</f>
        <v>5027.4465423224901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30</v>
      </c>
      <c r="F36" s="55"/>
      <c r="G36" s="195">
        <f>G34-G35</f>
        <v>287333.79208712658</v>
      </c>
      <c r="H36" s="126">
        <f>H34-H35</f>
        <v>287333.79208712658</v>
      </c>
      <c r="I36" s="126">
        <f>I34-I35</f>
        <v>252622.25475303738</v>
      </c>
      <c r="J36" s="126">
        <f>J34-J35</f>
        <v>227161.45558045057</v>
      </c>
      <c r="K36" s="126">
        <f>K34-K35</f>
        <v>199762.62504678449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8.9924733284390393E-2</v>
      </c>
      <c r="H45" s="55">
        <f>'Init. énergie'!B3</f>
        <v>8.9924733284390393E-2</v>
      </c>
      <c r="I45" s="47">
        <v>0</v>
      </c>
      <c r="J45" s="47">
        <v>0</v>
      </c>
      <c r="K45" s="47">
        <v>0</v>
      </c>
      <c r="L45" s="64"/>
      <c r="M45" s="339" t="s">
        <v>283</v>
      </c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7">H46</f>
        <v>0.42450974789018903</v>
      </c>
      <c r="H46" s="55">
        <f>'Init. énergie'!B4</f>
        <v>0.42450974789018903</v>
      </c>
      <c r="I46" s="47">
        <f>H46*0.86</f>
        <v>0.36507838318556257</v>
      </c>
      <c r="J46" s="47">
        <f>H46*0.4</f>
        <v>0.16980389915607563</v>
      </c>
      <c r="K46" s="47">
        <v>0.05</v>
      </c>
      <c r="L46" s="64"/>
      <c r="M46" s="339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7"/>
        <v>8.0340172710777702E-2</v>
      </c>
      <c r="H47" s="55">
        <f>'Init. énergie'!B5</f>
        <v>8.0340172710777702E-2</v>
      </c>
      <c r="I47" s="47">
        <v>0.18</v>
      </c>
      <c r="J47" s="47">
        <v>0.23</v>
      </c>
      <c r="K47" s="47">
        <v>0.25</v>
      </c>
      <c r="L47" s="64"/>
      <c r="M47" s="339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7"/>
        <v>1.3267227564659348E-2</v>
      </c>
      <c r="H48" s="55">
        <f>'Init. énergie'!B6</f>
        <v>1.3267227564659348E-2</v>
      </c>
      <c r="I48" s="47">
        <f t="shared" ref="I48" si="8">H48+((K48-H48)/3)</f>
        <v>8.8448183764395644E-3</v>
      </c>
      <c r="J48" s="47">
        <f t="shared" ref="J48" si="9">H48+((K48-H48)/3*2)</f>
        <v>4.4224091882197822E-3</v>
      </c>
      <c r="K48" s="47">
        <v>0</v>
      </c>
      <c r="L48" s="64"/>
      <c r="M48" s="339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7"/>
        <v>1.2451501862338604E-2</v>
      </c>
      <c r="H49" s="55">
        <f>'Init. énergie'!B7</f>
        <v>1.2451501862338604E-2</v>
      </c>
      <c r="I49" s="47">
        <v>0.02</v>
      </c>
      <c r="J49" s="47">
        <v>0.03</v>
      </c>
      <c r="K49" s="47">
        <v>0.04</v>
      </c>
      <c r="L49" s="64"/>
      <c r="M49" s="339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7"/>
        <v>0.30626447562213699</v>
      </c>
      <c r="H50" s="55">
        <f>'Init. énergie'!B8</f>
        <v>0.30626447562213699</v>
      </c>
      <c r="I50" s="47">
        <f t="shared" ref="I50:J50" si="10">1-I45-I46-I47-I48-I49-I51</f>
        <v>0.17607679843799778</v>
      </c>
      <c r="J50" s="47">
        <f t="shared" si="10"/>
        <v>0.14577369165570458</v>
      </c>
      <c r="K50" s="47">
        <f>1-K45-K46-K47-K48-K49-K51</f>
        <v>0.12999999999999989</v>
      </c>
      <c r="L50" s="64"/>
      <c r="M50" s="339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7"/>
        <v>7.3242141065507804E-2</v>
      </c>
      <c r="H51" s="55">
        <f>'Init. énergie'!B9</f>
        <v>7.3242141065507804E-2</v>
      </c>
      <c r="I51" s="47">
        <v>0.25</v>
      </c>
      <c r="J51" s="47">
        <v>0.42</v>
      </c>
      <c r="K51" s="124">
        <v>0.53</v>
      </c>
      <c r="L51" s="64"/>
      <c r="M51" s="339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J52" si="11">SUM(G45:G51)</f>
        <v>0.99999999999999978</v>
      </c>
      <c r="H52" s="159">
        <f t="shared" si="11"/>
        <v>0.99999999999999978</v>
      </c>
      <c r="I52" s="165">
        <f t="shared" si="11"/>
        <v>1</v>
      </c>
      <c r="J52" s="165">
        <f t="shared" si="11"/>
        <v>1</v>
      </c>
      <c r="K52" s="165">
        <f>SUM(K45:K51)</f>
        <v>0.99999999999999989</v>
      </c>
      <c r="L52" s="63"/>
      <c r="M52" s="339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J55" si="12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-8.9808052707334149E-2</v>
      </c>
      <c r="J55" s="152">
        <f t="shared" si="12"/>
        <v>-0.13483187782985209</v>
      </c>
      <c r="K55" s="152">
        <f>(J$77*(K45-J45)+J$78*(K46-J46)+J$79*(K47-J47)+J$80*(K48-J48)+J$81*(K49-J49)+J$82*(K50-J50)+J$83*(K51-J51))/(J$77*J45+J$78*J46+J$79*J47+J$80*J48+J$81*J49+J$82*J50+J$83*J51)</f>
        <v>-9.9832828057399597E-2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>
        <v>2006</v>
      </c>
      <c r="G58" s="4">
        <v>2015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8.9924733284390393E-2</v>
      </c>
      <c r="H59" s="55">
        <f>H45</f>
        <v>8.9924733284390393E-2</v>
      </c>
      <c r="I59" s="47">
        <f>I45</f>
        <v>0</v>
      </c>
      <c r="J59" s="47">
        <f t="shared" ref="J59:K59" si="13">J45</f>
        <v>0</v>
      </c>
      <c r="K59" s="47">
        <f t="shared" si="13"/>
        <v>0</v>
      </c>
      <c r="L59" s="64"/>
      <c r="M59" s="334" t="s">
        <v>281</v>
      </c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4">H60</f>
        <v>0.42450974789018903</v>
      </c>
      <c r="H60" s="55">
        <f t="shared" ref="H60:K65" si="15">H46</f>
        <v>0.42450974789018903</v>
      </c>
      <c r="I60" s="47">
        <f t="shared" si="15"/>
        <v>0.36507838318556257</v>
      </c>
      <c r="J60" s="47">
        <f t="shared" si="15"/>
        <v>0.16980389915607563</v>
      </c>
      <c r="K60" s="47">
        <f t="shared" si="15"/>
        <v>0.05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4"/>
        <v>8.0340172710777702E-2</v>
      </c>
      <c r="H61" s="55">
        <f t="shared" si="15"/>
        <v>8.0340172710777702E-2</v>
      </c>
      <c r="I61" s="47">
        <f t="shared" si="15"/>
        <v>0.18</v>
      </c>
      <c r="J61" s="47">
        <f t="shared" si="15"/>
        <v>0.23</v>
      </c>
      <c r="K61" s="47">
        <f t="shared" si="15"/>
        <v>0.25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4"/>
        <v>1.3267227564659348E-2</v>
      </c>
      <c r="H62" s="55">
        <f t="shared" si="15"/>
        <v>1.3267227564659348E-2</v>
      </c>
      <c r="I62" s="47">
        <f t="shared" si="15"/>
        <v>8.8448183764395644E-3</v>
      </c>
      <c r="J62" s="47">
        <f t="shared" si="15"/>
        <v>4.4224091882197822E-3</v>
      </c>
      <c r="K62" s="47">
        <f t="shared" si="15"/>
        <v>0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4"/>
        <v>1.2451501862338604E-2</v>
      </c>
      <c r="H63" s="55">
        <f t="shared" si="15"/>
        <v>1.2451501862338604E-2</v>
      </c>
      <c r="I63" s="47">
        <f t="shared" si="15"/>
        <v>0.02</v>
      </c>
      <c r="J63" s="47">
        <f t="shared" si="15"/>
        <v>0.03</v>
      </c>
      <c r="K63" s="47">
        <f t="shared" si="15"/>
        <v>0.04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4"/>
        <v>0.30626447562213699</v>
      </c>
      <c r="H64" s="55">
        <f t="shared" si="15"/>
        <v>0.30626447562213699</v>
      </c>
      <c r="I64" s="47">
        <f t="shared" si="15"/>
        <v>0.17607679843799778</v>
      </c>
      <c r="J64" s="47">
        <f t="shared" si="15"/>
        <v>0.14577369165570458</v>
      </c>
      <c r="K64" s="47">
        <f t="shared" si="15"/>
        <v>0.12999999999999989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4"/>
        <v>7.3242141065507804E-2</v>
      </c>
      <c r="H65" s="55">
        <f t="shared" si="15"/>
        <v>7.3242141065507804E-2</v>
      </c>
      <c r="I65" s="47">
        <f t="shared" si="15"/>
        <v>0.25</v>
      </c>
      <c r="J65" s="47">
        <f t="shared" si="15"/>
        <v>0.42</v>
      </c>
      <c r="K65" s="47">
        <f t="shared" si="15"/>
        <v>0.53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16">SUM(G59:G65)</f>
        <v>0.99999999999999978</v>
      </c>
      <c r="H66" s="159">
        <v>1</v>
      </c>
      <c r="I66" s="47">
        <f t="shared" ref="I66:J66" si="17">SUM(I59:I65)</f>
        <v>1</v>
      </c>
      <c r="J66" s="47">
        <f t="shared" si="17"/>
        <v>1</v>
      </c>
      <c r="K66" s="47">
        <f>SUM(K59:K65)</f>
        <v>0.99999999999999989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-8.9808052707334149E-2</v>
      </c>
      <c r="J69" s="152">
        <f>(I$97*(J59-I59)+I$98*(J60-I60)+I$99*(J61-I61)+I$100*(J62-I62)+I$101*(J63-I63)+I$102*(J64-I64)+I$103*(J65-I65))/(I$97*I59+I$98*I60+I$99*I61+I$100*I62+I$101*I63+I$102*I64+I$103*I65)</f>
        <v>-0.13747563957065265</v>
      </c>
      <c r="K69" s="152">
        <f>(J$97*(K59-J59)+J$98*(K60-J60)+J$99*(K61-J61)+J$100*(K62-J62)+J$101*(K63-J63)+J$102*(K64-J64)+J$103*(K65-J65))/(J$97*J59+J$98*J60+J$99*J61+J$100*J62+J$101*J63+J$102*J64+J$103*J65)</f>
        <v>-0.10357888196386864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93" t="s">
        <v>92</v>
      </c>
      <c r="G72" s="194" t="s">
        <v>91</v>
      </c>
      <c r="H72" s="194" t="s">
        <v>35</v>
      </c>
      <c r="J72" s="296" t="s">
        <v>293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bord'!E12</f>
        <v>0.65</v>
      </c>
      <c r="G73" s="92">
        <f>'Tableau de bord'!E25</f>
        <v>0.91500000000000004</v>
      </c>
      <c r="H73" s="92">
        <f>'Tableau de bord'!E28</f>
        <v>0.75487499999999996</v>
      </c>
      <c r="J73" s="92">
        <f>'Tableau de bord'!F37</f>
        <v>0.35625000000000001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324" t="s">
        <v>311</v>
      </c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325">
        <f>'Init. énergie'!K78</f>
        <v>0.97683808360784841</v>
      </c>
      <c r="G77" s="81">
        <f>H77/F77^10</f>
        <v>181.11437280063905</v>
      </c>
      <c r="H77" s="54">
        <f>'Init. énergie'!D3</f>
        <v>143.27774761989451</v>
      </c>
      <c r="I77" s="81">
        <f t="shared" ref="I77:I83" si="18">G77*(1-J$73)/(1+I$55)</f>
        <v>128.09647221908671</v>
      </c>
      <c r="J77" s="81">
        <f>G77*50%/(1+I$55)/(1+J$55)</f>
        <v>114.99777101992089</v>
      </c>
      <c r="K77" s="81">
        <f>G77*40%/(1+I$55)/(1+J$55)/(1+K$55)</f>
        <v>102.20125737022884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325">
        <f>'Init. énergie'!K77</f>
        <v>0.98504576820130418</v>
      </c>
      <c r="G78" s="81">
        <f t="shared" ref="G78:G83" si="19">H78/F78^10</f>
        <v>166.79266551232004</v>
      </c>
      <c r="H78" s="54">
        <f>'Init. énergie'!D4</f>
        <v>143.46337556823548</v>
      </c>
      <c r="I78" s="81">
        <f t="shared" si="18"/>
        <v>117.96718125548419</v>
      </c>
      <c r="J78" s="81">
        <f t="shared" ref="J78:J83" si="20">G78*50%/(1+I$55)/(1+J$55)</f>
        <v>105.90426623678958</v>
      </c>
      <c r="K78" s="81">
        <f t="shared" ref="K78:K83" si="21">G78*40%/(1+I$55)/(1+J$55)/(1+K$55)</f>
        <v>94.119643139834565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325">
        <f>'Init. énergie'!K$79</f>
        <v>0.9880584769094648</v>
      </c>
      <c r="G79" s="81">
        <f t="shared" si="19"/>
        <v>135.6960073924019</v>
      </c>
      <c r="H79" s="54">
        <f>'Init. énergie'!D5</f>
        <v>120.33544112585447</v>
      </c>
      <c r="I79" s="81">
        <f t="shared" si="18"/>
        <v>95.973497698689883</v>
      </c>
      <c r="J79" s="81">
        <f t="shared" si="20"/>
        <v>86.15958051880169</v>
      </c>
      <c r="K79" s="81">
        <f t="shared" si="21"/>
        <v>76.572070792464487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325">
        <f>'Init. énergie'!K$79</f>
        <v>0.9880584769094648</v>
      </c>
      <c r="G80" s="81">
        <f t="shared" si="19"/>
        <v>118.94680102025664</v>
      </c>
      <c r="H80" s="54">
        <f>'Init. énergie'!D6</f>
        <v>105.48221754152573</v>
      </c>
      <c r="I80" s="81">
        <f t="shared" si="18"/>
        <v>84.127313348081103</v>
      </c>
      <c r="J80" s="81">
        <f t="shared" si="20"/>
        <v>75.524745914761013</v>
      </c>
      <c r="K80" s="81">
        <f t="shared" si="21"/>
        <v>67.120640048914737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325">
        <f>'Init. énergie'!K$79</f>
        <v>0.9880584769094648</v>
      </c>
      <c r="G81" s="81">
        <f t="shared" si="19"/>
        <v>134.62747370529294</v>
      </c>
      <c r="H81" s="54">
        <f>'Init. énergie'!D7</f>
        <v>119.38786370580362</v>
      </c>
      <c r="I81" s="81">
        <f t="shared" si="18"/>
        <v>95.217757590109002</v>
      </c>
      <c r="J81" s="81">
        <f t="shared" si="20"/>
        <v>85.481119773930345</v>
      </c>
      <c r="K81" s="81">
        <f t="shared" si="21"/>
        <v>75.969106573356427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325">
        <f>'Init. énergie'!K80</f>
        <v>0.98034249346915125</v>
      </c>
      <c r="G82" s="81">
        <f t="shared" si="19"/>
        <v>105.00503580445189</v>
      </c>
      <c r="H82" s="54">
        <f>'Init. énergie'!D8</f>
        <v>86.09707654211212</v>
      </c>
      <c r="I82" s="81">
        <f t="shared" si="18"/>
        <v>74.26674340525733</v>
      </c>
      <c r="J82" s="81">
        <f t="shared" si="20"/>
        <v>66.672483672352413</v>
      </c>
      <c r="K82" s="81">
        <f t="shared" si="21"/>
        <v>59.253423808797884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325">
        <f>'Init. énergie'!K80</f>
        <v>0.98034249346915125</v>
      </c>
      <c r="G83" s="81">
        <f t="shared" si="19"/>
        <v>66.987811529669983</v>
      </c>
      <c r="H83" s="54">
        <f>'Init. énergie'!D9</f>
        <v>54.925506119527036</v>
      </c>
      <c r="I83" s="81">
        <f t="shared" si="18"/>
        <v>47.378362114160765</v>
      </c>
      <c r="J83" s="81">
        <f t="shared" si="20"/>
        <v>42.533615042767188</v>
      </c>
      <c r="K83" s="81">
        <f t="shared" si="21"/>
        <v>37.800636475980589</v>
      </c>
      <c r="M83" s="339"/>
      <c r="N83" s="33"/>
      <c r="O83" s="42"/>
      <c r="Q83" s="52"/>
      <c r="R83" s="52"/>
      <c r="V83" s="101"/>
    </row>
    <row r="84" spans="1:184" s="17" customFormat="1">
      <c r="A84" s="56"/>
      <c r="C84" s="40"/>
      <c r="D84" s="32"/>
      <c r="E84" s="128"/>
      <c r="F84" s="89"/>
      <c r="G84" s="89"/>
      <c r="H84" s="89"/>
      <c r="I84" s="89"/>
      <c r="J84" s="89"/>
      <c r="K84" s="89"/>
      <c r="M84" s="89"/>
      <c r="N84" s="33"/>
      <c r="O84" s="42"/>
      <c r="Q84" s="52"/>
      <c r="R84" s="52"/>
      <c r="V84" s="101"/>
    </row>
    <row r="85" spans="1:184" s="17" customFormat="1" ht="69" customHeight="1">
      <c r="A85" s="56"/>
      <c r="C85" s="40"/>
      <c r="D85" s="32"/>
      <c r="F85" s="333" t="s">
        <v>259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22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22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22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22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22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22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260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 t="shared" ref="G97:H103" si="23">G77</f>
        <v>181.11437280063905</v>
      </c>
      <c r="H97" s="54">
        <f t="shared" si="23"/>
        <v>143.27774761989451</v>
      </c>
      <c r="I97" s="81">
        <f>$H97*(1+$G87)^(I$96-$H$96)</f>
        <v>132.59230776199439</v>
      </c>
      <c r="J97" s="81">
        <f>$H97*(1+$G87)^(J$96-$H$96)</f>
        <v>122.70377200716339</v>
      </c>
      <c r="K97" s="81">
        <f>$H97*(1+$G87)^(K$96-$H$96)</f>
        <v>113.55270844076506</v>
      </c>
      <c r="L97" s="67"/>
      <c r="M97" s="79">
        <f>(K97-G97)/H97</f>
        <v>-0.47154331696440532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si="23"/>
        <v>166.79266551232004</v>
      </c>
      <c r="H98" s="54">
        <f t="shared" si="23"/>
        <v>143.46337556823548</v>
      </c>
      <c r="I98" s="81">
        <f t="shared" ref="I98:K103" si="24">$H98*(1+$G88)^(I$96-$H$96)</f>
        <v>136.47039272717495</v>
      </c>
      <c r="J98" s="81">
        <f t="shared" si="24"/>
        <v>129.81827603973503</v>
      </c>
      <c r="K98" s="81">
        <f t="shared" si="24"/>
        <v>123.49041031647147</v>
      </c>
      <c r="L98" s="67"/>
      <c r="M98" s="79">
        <f t="shared" ref="M98:M103" si="25">(K98-G98)/H98</f>
        <v>-0.30183491099617077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23"/>
        <v>135.6960073924019</v>
      </c>
      <c r="H99" s="54">
        <f t="shared" si="23"/>
        <v>120.33544112585447</v>
      </c>
      <c r="I99" s="81">
        <f t="shared" si="24"/>
        <v>115.6303743661902</v>
      </c>
      <c r="J99" s="81">
        <f t="shared" si="24"/>
        <v>111.10927380140397</v>
      </c>
      <c r="K99" s="81">
        <f t="shared" si="24"/>
        <v>106.76494642816844</v>
      </c>
      <c r="L99" s="67"/>
      <c r="M99" s="79">
        <f t="shared" si="25"/>
        <v>-0.24042011807623245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23"/>
        <v>118.94680102025664</v>
      </c>
      <c r="H100" s="54">
        <f t="shared" si="23"/>
        <v>105.48221754152573</v>
      </c>
      <c r="I100" s="81">
        <f t="shared" si="24"/>
        <v>101.35790577728625</v>
      </c>
      <c r="J100" s="81">
        <f t="shared" si="24"/>
        <v>97.3948529240281</v>
      </c>
      <c r="K100" s="81">
        <f t="shared" si="24"/>
        <v>93.586753823980189</v>
      </c>
      <c r="L100" s="67"/>
      <c r="M100" s="79">
        <f t="shared" si="25"/>
        <v>-0.24042011807623245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23"/>
        <v>134.62747370529294</v>
      </c>
      <c r="H101" s="54">
        <f t="shared" si="23"/>
        <v>119.38786370580362</v>
      </c>
      <c r="I101" s="81">
        <f t="shared" si="24"/>
        <v>114.71984683750615</v>
      </c>
      <c r="J101" s="81">
        <f>$H101*(1+$G91)^(J$96-$H$96)</f>
        <v>110.23434752841725</v>
      </c>
      <c r="K101" s="81">
        <f>$H101*(1+$G91)^(K$96-$H$96)</f>
        <v>105.92422941627447</v>
      </c>
      <c r="L101" s="67"/>
      <c r="M101" s="79">
        <f t="shared" si="25"/>
        <v>-0.24042011807623259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23"/>
        <v>105.00503580445189</v>
      </c>
      <c r="H102" s="54">
        <f t="shared" si="23"/>
        <v>86.09707654211212</v>
      </c>
      <c r="I102" s="81">
        <f t="shared" si="24"/>
        <v>80.619037269821661</v>
      </c>
      <c r="J102" s="81">
        <f t="shared" si="24"/>
        <v>75.489545421834009</v>
      </c>
      <c r="K102" s="81">
        <f t="shared" si="24"/>
        <v>70.686424211720777</v>
      </c>
      <c r="L102" s="67"/>
      <c r="M102" s="79">
        <f t="shared" si="25"/>
        <v>-0.39860368053199891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23"/>
        <v>66.987811529669983</v>
      </c>
      <c r="H103" s="54">
        <f t="shared" si="23"/>
        <v>54.925506119527036</v>
      </c>
      <c r="I103" s="81">
        <f t="shared" si="24"/>
        <v>51.430798846556741</v>
      </c>
      <c r="J103" s="81">
        <f t="shared" si="24"/>
        <v>48.158446901495012</v>
      </c>
      <c r="K103" s="81">
        <f t="shared" si="24"/>
        <v>45.094302635343688</v>
      </c>
      <c r="L103" s="67"/>
      <c r="M103" s="79">
        <f t="shared" si="25"/>
        <v>-0.39860368053199874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261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 t="shared" ref="G107:K113" si="26">G$36*G45*$H$73*G77/1000</f>
        <v>3532.5947708997664</v>
      </c>
      <c r="H107" s="54">
        <f t="shared" si="26"/>
        <v>2794.5999768084112</v>
      </c>
      <c r="I107" s="126">
        <f t="shared" si="26"/>
        <v>0</v>
      </c>
      <c r="J107" s="126">
        <f t="shared" si="26"/>
        <v>0</v>
      </c>
      <c r="K107" s="126">
        <f t="shared" si="26"/>
        <v>0</v>
      </c>
      <c r="L107" s="46"/>
      <c r="M107" s="79">
        <f>(K107-G107)/H107</f>
        <v>-1.2640788664623788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si="26"/>
        <v>15357.706500416525</v>
      </c>
      <c r="H108" s="54">
        <f t="shared" si="26"/>
        <v>13209.62410888052</v>
      </c>
      <c r="I108" s="126">
        <f t="shared" si="26"/>
        <v>8212.8515062940605</v>
      </c>
      <c r="J108" s="126">
        <f t="shared" si="26"/>
        <v>3083.6906189582278</v>
      </c>
      <c r="K108" s="126">
        <f t="shared" si="26"/>
        <v>709.64239865487957</v>
      </c>
      <c r="L108" s="46"/>
      <c r="M108" s="79">
        <f t="shared" ref="M108:M114" si="27">(K108-G108)/H108</f>
        <v>-1.1088933326962798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26"/>
        <v>2364.621193045085</v>
      </c>
      <c r="H109" s="54">
        <f t="shared" si="26"/>
        <v>2096.9499385326603</v>
      </c>
      <c r="I109" s="126">
        <f t="shared" si="26"/>
        <v>3294.355610814589</v>
      </c>
      <c r="J109" s="126">
        <f t="shared" si="26"/>
        <v>3398.1386693712216</v>
      </c>
      <c r="K109" s="126">
        <f t="shared" si="26"/>
        <v>2886.6868899196747</v>
      </c>
      <c r="L109" s="46"/>
      <c r="M109" s="79">
        <f t="shared" si="27"/>
        <v>0.24896431110792516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26"/>
        <v>342.2903787974343</v>
      </c>
      <c r="H110" s="54">
        <f t="shared" si="26"/>
        <v>303.54366732850121</v>
      </c>
      <c r="I110" s="126">
        <f t="shared" si="26"/>
        <v>141.8967958156079</v>
      </c>
      <c r="J110" s="126">
        <f t="shared" si="26"/>
        <v>57.274048375901636</v>
      </c>
      <c r="K110" s="126">
        <f t="shared" si="26"/>
        <v>0</v>
      </c>
      <c r="L110" s="46"/>
      <c r="M110" s="79">
        <f t="shared" si="27"/>
        <v>-1.1276478992625485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26"/>
        <v>363.59439630756799</v>
      </c>
      <c r="H111" s="54">
        <f t="shared" si="26"/>
        <v>322.43610487400275</v>
      </c>
      <c r="I111" s="126">
        <f t="shared" si="26"/>
        <v>363.15714637407893</v>
      </c>
      <c r="J111" s="126">
        <f t="shared" si="26"/>
        <v>439.74523561149118</v>
      </c>
      <c r="K111" s="126">
        <f t="shared" si="26"/>
        <v>458.23292323613111</v>
      </c>
      <c r="L111" s="46"/>
      <c r="M111" s="79">
        <f t="shared" si="27"/>
        <v>0.29351094836462155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26"/>
        <v>6975.3900786365903</v>
      </c>
      <c r="H112" s="54">
        <f t="shared" si="26"/>
        <v>5719.3513521567902</v>
      </c>
      <c r="I112" s="126">
        <f t="shared" si="26"/>
        <v>2493.6940161857415</v>
      </c>
      <c r="J112" s="126">
        <f t="shared" si="26"/>
        <v>1666.6157103947428</v>
      </c>
      <c r="K112" s="126">
        <f t="shared" si="26"/>
        <v>1161.571857195258</v>
      </c>
      <c r="L112" s="46"/>
      <c r="M112" s="79">
        <f t="shared" si="27"/>
        <v>-1.016517059972005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26"/>
        <v>1064.1885166993875</v>
      </c>
      <c r="H113" s="54">
        <f t="shared" si="26"/>
        <v>872.56310590791088</v>
      </c>
      <c r="I113" s="126">
        <f t="shared" si="26"/>
        <v>2258.7423843937081</v>
      </c>
      <c r="J113" s="126">
        <f t="shared" si="26"/>
        <v>3063.3122805361427</v>
      </c>
      <c r="K113" s="126">
        <f t="shared" si="26"/>
        <v>3021.0941575310071</v>
      </c>
      <c r="L113" s="46"/>
      <c r="M113" s="79">
        <f t="shared" si="27"/>
        <v>2.2427095846499712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30000.385834802357</v>
      </c>
      <c r="H114" s="156">
        <f>SUM(H107:H113)</f>
        <v>25319.068254488797</v>
      </c>
      <c r="I114" s="154">
        <f t="shared" ref="I114:J114" si="28">SUM(I107:I113)</f>
        <v>16764.697459877785</v>
      </c>
      <c r="J114" s="154">
        <f t="shared" si="28"/>
        <v>11708.776563247728</v>
      </c>
      <c r="K114" s="154">
        <f>SUM(K107:K113)</f>
        <v>8237.2282265369504</v>
      </c>
      <c r="L114" s="21"/>
      <c r="M114" s="79">
        <f t="shared" si="27"/>
        <v>-0.85955602273819987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262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 t="shared" ref="G118:K124" si="29">G$36*G45*(1-$H$73)*G97/1000</f>
        <v>1147.1134866260047</v>
      </c>
      <c r="H118" s="157">
        <f t="shared" si="29"/>
        <v>907.46987158822571</v>
      </c>
      <c r="I118" s="153">
        <f t="shared" si="29"/>
        <v>0</v>
      </c>
      <c r="J118" s="153">
        <f t="shared" si="29"/>
        <v>0</v>
      </c>
      <c r="K118" s="153">
        <f t="shared" si="29"/>
        <v>0</v>
      </c>
      <c r="L118" s="46"/>
      <c r="M118" s="79">
        <f>(K118-G118)/H118</f>
        <v>-1.2640788664623788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si="29"/>
        <v>4986.9949407711238</v>
      </c>
      <c r="H119" s="157">
        <f t="shared" si="29"/>
        <v>4289.4639638209483</v>
      </c>
      <c r="I119" s="153">
        <f t="shared" si="29"/>
        <v>3085.2032032199272</v>
      </c>
      <c r="J119" s="153">
        <f t="shared" si="29"/>
        <v>1227.4554699837872</v>
      </c>
      <c r="K119" s="153">
        <f t="shared" si="29"/>
        <v>302.34659433163586</v>
      </c>
      <c r="L119" s="46"/>
      <c r="M119" s="79">
        <f t="shared" ref="M119:M125" si="30">(K119-G119)/H119</f>
        <v>-1.0921290832494881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29"/>
        <v>767.84602741536867</v>
      </c>
      <c r="H120" s="157">
        <f t="shared" si="29"/>
        <v>680.92711201565612</v>
      </c>
      <c r="I120" s="153">
        <f t="shared" si="29"/>
        <v>1288.8537828958554</v>
      </c>
      <c r="J120" s="153">
        <f t="shared" si="29"/>
        <v>1422.9852376302949</v>
      </c>
      <c r="K120" s="153">
        <f t="shared" si="29"/>
        <v>1306.9848040763486</v>
      </c>
      <c r="L120" s="46"/>
      <c r="M120" s="79">
        <f t="shared" si="30"/>
        <v>0.79177164067537364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29"/>
        <v>111.14943414833067</v>
      </c>
      <c r="H121" s="157">
        <f t="shared" si="29"/>
        <v>98.567499856133637</v>
      </c>
      <c r="I121" s="153">
        <f t="shared" si="29"/>
        <v>55.514414250659968</v>
      </c>
      <c r="J121" s="153">
        <f t="shared" si="29"/>
        <v>23.9837550105958</v>
      </c>
      <c r="K121" s="153">
        <f t="shared" si="29"/>
        <v>0</v>
      </c>
      <c r="L121" s="46"/>
      <c r="M121" s="79">
        <f t="shared" si="30"/>
        <v>-1.1276478992625487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29"/>
        <v>118.06733087583061</v>
      </c>
      <c r="H122" s="157">
        <f t="shared" si="29"/>
        <v>104.70230198011582</v>
      </c>
      <c r="I122" s="153">
        <f t="shared" si="29"/>
        <v>142.07830519370071</v>
      </c>
      <c r="J122" s="153">
        <f t="shared" si="29"/>
        <v>184.14521580109448</v>
      </c>
      <c r="K122" s="153">
        <f t="shared" si="29"/>
        <v>207.47087932829891</v>
      </c>
      <c r="L122" s="46"/>
      <c r="M122" s="79">
        <f t="shared" si="30"/>
        <v>0.85388331260803674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29"/>
        <v>2265.0670548445701</v>
      </c>
      <c r="H123" s="157">
        <f t="shared" si="29"/>
        <v>1857.2028484152124</v>
      </c>
      <c r="I123" s="153">
        <f t="shared" si="29"/>
        <v>879.02040033983883</v>
      </c>
      <c r="J123" s="153">
        <f t="shared" si="29"/>
        <v>612.75690222158266</v>
      </c>
      <c r="K123" s="153">
        <f t="shared" si="29"/>
        <v>449.967563351075</v>
      </c>
      <c r="L123" s="46"/>
      <c r="M123" s="79">
        <f t="shared" si="30"/>
        <v>-0.97732969397626912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29"/>
        <v>345.56610055431349</v>
      </c>
      <c r="H124" s="157">
        <f t="shared" si="29"/>
        <v>283.34099199957171</v>
      </c>
      <c r="I124" s="153">
        <f t="shared" si="29"/>
        <v>796.2005851989951</v>
      </c>
      <c r="J124" s="153">
        <f t="shared" si="29"/>
        <v>1126.2738805660667</v>
      </c>
      <c r="K124" s="153">
        <f t="shared" si="29"/>
        <v>1170.3058818942143</v>
      </c>
      <c r="L124" s="46"/>
      <c r="M124" s="79">
        <f t="shared" si="30"/>
        <v>2.9107676073257602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9741.8043752355406</v>
      </c>
      <c r="H125" s="158">
        <f>SUM(H118:H124)</f>
        <v>8221.6745896758639</v>
      </c>
      <c r="I125" s="155">
        <f t="shared" ref="I125:K125" si="31">SUM(I118:I124)</f>
        <v>6246.8706910989767</v>
      </c>
      <c r="J125" s="155">
        <f t="shared" si="31"/>
        <v>4597.600461213422</v>
      </c>
      <c r="K125" s="155">
        <f t="shared" si="31"/>
        <v>3437.0757229815727</v>
      </c>
      <c r="L125" s="21"/>
      <c r="M125" s="79">
        <f t="shared" si="30"/>
        <v>-0.76684239731051307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263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3702.0698483966371</v>
      </c>
      <c r="I129" s="153">
        <f t="shared" ref="I129:K129" si="32">I107+I118</f>
        <v>0</v>
      </c>
      <c r="J129" s="153">
        <f t="shared" si="32"/>
        <v>0</v>
      </c>
      <c r="K129" s="153">
        <f t="shared" si="32"/>
        <v>0</v>
      </c>
      <c r="L129" s="46"/>
      <c r="M129" s="79">
        <f>(K129-G129)/H129</f>
        <v>0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5" si="33">H108+H119</f>
        <v>17499.088072701466</v>
      </c>
      <c r="I130" s="153">
        <f t="shared" si="33"/>
        <v>11298.054709513988</v>
      </c>
      <c r="J130" s="153">
        <f t="shared" si="33"/>
        <v>4311.146088942015</v>
      </c>
      <c r="K130" s="153">
        <f>K108+K119</f>
        <v>1011.9889929865154</v>
      </c>
      <c r="L130" s="46"/>
      <c r="M130" s="79">
        <f t="shared" ref="M130:M136" si="34">(K130-G130)/H130</f>
        <v>5.7830956035087096E-2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si="33"/>
        <v>2777.8770505483162</v>
      </c>
      <c r="I131" s="153">
        <f t="shared" si="33"/>
        <v>4583.2093937104446</v>
      </c>
      <c r="J131" s="153">
        <f t="shared" si="33"/>
        <v>4821.1239070015163</v>
      </c>
      <c r="K131" s="153">
        <f t="shared" si="33"/>
        <v>4193.6716939960234</v>
      </c>
      <c r="L131" s="46"/>
      <c r="M131" s="79">
        <f t="shared" si="34"/>
        <v>1.5096678570306947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si="33"/>
        <v>402.11116718463484</v>
      </c>
      <c r="I132" s="153">
        <f t="shared" si="33"/>
        <v>197.41121006626787</v>
      </c>
      <c r="J132" s="153">
        <f t="shared" si="33"/>
        <v>81.257803386497443</v>
      </c>
      <c r="K132" s="153">
        <f t="shared" si="33"/>
        <v>0</v>
      </c>
      <c r="L132" s="46"/>
      <c r="M132" s="79">
        <f t="shared" si="34"/>
        <v>0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si="33"/>
        <v>427.13840685411856</v>
      </c>
      <c r="I133" s="153">
        <f t="shared" si="33"/>
        <v>505.23545156777965</v>
      </c>
      <c r="J133" s="153">
        <f t="shared" si="33"/>
        <v>623.89045141258566</v>
      </c>
      <c r="K133" s="153">
        <f t="shared" si="33"/>
        <v>665.70380256443002</v>
      </c>
      <c r="L133" s="46"/>
      <c r="M133" s="79">
        <f t="shared" si="34"/>
        <v>1.5585201234123374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si="33"/>
        <v>7576.5542005720026</v>
      </c>
      <c r="I134" s="153">
        <f t="shared" si="33"/>
        <v>3372.7144165255804</v>
      </c>
      <c r="J134" s="153">
        <f t="shared" si="33"/>
        <v>2279.3726126163256</v>
      </c>
      <c r="K134" s="153">
        <f t="shared" si="33"/>
        <v>1611.5394205463331</v>
      </c>
      <c r="L134" s="46"/>
      <c r="M134" s="79">
        <f t="shared" si="34"/>
        <v>0.21270083706715484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si="33"/>
        <v>1155.9040979074825</v>
      </c>
      <c r="I135" s="153">
        <f t="shared" si="33"/>
        <v>3054.9429695927033</v>
      </c>
      <c r="J135" s="153">
        <f t="shared" si="33"/>
        <v>4189.5861611022092</v>
      </c>
      <c r="K135" s="153">
        <f t="shared" si="33"/>
        <v>4191.4000394252216</v>
      </c>
      <c r="L135" s="46"/>
      <c r="M135" s="79">
        <f t="shared" si="34"/>
        <v>3.6260794014078295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33540.742844164655</v>
      </c>
      <c r="I136" s="155">
        <f t="shared" ref="I136:K136" si="35">SUM(I129:I135)</f>
        <v>23011.568150976764</v>
      </c>
      <c r="J136" s="155">
        <f t="shared" si="35"/>
        <v>16306.377024461148</v>
      </c>
      <c r="K136" s="155">
        <f t="shared" si="35"/>
        <v>11674.303949518524</v>
      </c>
      <c r="L136" s="21"/>
      <c r="M136" s="79">
        <f t="shared" si="34"/>
        <v>0.34806336889314288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264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énergie'!C3</f>
        <v>2.5832473286687414E-3</v>
      </c>
      <c r="I142" s="47">
        <v>0</v>
      </c>
      <c r="J142" s="47">
        <v>0</v>
      </c>
      <c r="K142" s="47">
        <v>0</v>
      </c>
      <c r="M142" s="334" t="s">
        <v>282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énergie'!C4</f>
        <v>0.18262447255667691</v>
      </c>
      <c r="I143" s="47">
        <v>0</v>
      </c>
      <c r="J143" s="47">
        <v>0</v>
      </c>
      <c r="K143" s="47">
        <v>0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énergie'!C5</f>
        <v>0.13911656645249823</v>
      </c>
      <c r="I144" s="47">
        <f>H144+((K144-H144)/3)</f>
        <v>0.15274437763499882</v>
      </c>
      <c r="J144" s="47">
        <f>H144+((K144-H144)/3*2)</f>
        <v>0.16637218881749941</v>
      </c>
      <c r="K144" s="47">
        <v>0.18</v>
      </c>
      <c r="M144" s="335"/>
      <c r="N144" s="33"/>
      <c r="O144" s="42"/>
    </row>
    <row r="145" spans="1:18" s="17" customFormat="1">
      <c r="A145" s="56"/>
      <c r="C145" s="40"/>
      <c r="D145" s="32"/>
      <c r="E145" s="6" t="s">
        <v>22</v>
      </c>
      <c r="F145" s="55"/>
      <c r="G145" s="55"/>
      <c r="H145" s="55">
        <f>'Init. énergie'!C6</f>
        <v>2.2541262662018457E-2</v>
      </c>
      <c r="I145" s="47">
        <f t="shared" ref="I145:J146" si="36">H145</f>
        <v>2.2541262662018457E-2</v>
      </c>
      <c r="J145" s="47">
        <f t="shared" si="36"/>
        <v>2.2541262662018457E-2</v>
      </c>
      <c r="K145" s="47">
        <f>J145</f>
        <v>2.2541262662018457E-2</v>
      </c>
      <c r="M145" s="335"/>
      <c r="N145" s="33"/>
      <c r="O145" s="42"/>
    </row>
    <row r="146" spans="1:18" s="17" customFormat="1">
      <c r="A146" s="56"/>
      <c r="C146" s="40"/>
      <c r="D146" s="32"/>
      <c r="E146" s="6" t="s">
        <v>42</v>
      </c>
      <c r="F146" s="55"/>
      <c r="G146" s="55"/>
      <c r="H146" s="55">
        <f>'Init. énergie'!C7</f>
        <v>2.2378153328661055E-2</v>
      </c>
      <c r="I146" s="47">
        <f t="shared" si="36"/>
        <v>2.2378153328661055E-2</v>
      </c>
      <c r="J146" s="47">
        <f t="shared" si="36"/>
        <v>2.2378153328661055E-2</v>
      </c>
      <c r="K146" s="47">
        <v>0.04</v>
      </c>
      <c r="M146" s="335"/>
      <c r="N146" s="33"/>
      <c r="O146" s="42"/>
    </row>
    <row r="147" spans="1:18" s="17" customFormat="1">
      <c r="A147" s="56"/>
      <c r="C147" s="40"/>
      <c r="D147" s="32"/>
      <c r="E147" s="6" t="s">
        <v>25</v>
      </c>
      <c r="F147" s="55"/>
      <c r="G147" s="85"/>
      <c r="H147" s="55">
        <f>'Init. énergie'!C8</f>
        <v>0.17192765066376023</v>
      </c>
      <c r="I147" s="47">
        <f>1-I142-I143-I144-I145-I146-I148</f>
        <v>0.35233620637432156</v>
      </c>
      <c r="J147" s="47">
        <f t="shared" ref="J147:K147" si="37">1-J142-J143-J144-J145-J146-J148</f>
        <v>4.8708395191821019E-2</v>
      </c>
      <c r="K147" s="47">
        <f t="shared" si="37"/>
        <v>7.4587373379815247E-3</v>
      </c>
      <c r="M147" s="335"/>
      <c r="N147" s="33"/>
      <c r="O147" s="42"/>
    </row>
    <row r="148" spans="1:18" s="17" customFormat="1">
      <c r="A148" s="56"/>
      <c r="C148" s="40"/>
      <c r="D148" s="32"/>
      <c r="E148" s="6" t="s">
        <v>26</v>
      </c>
      <c r="F148" s="55"/>
      <c r="G148" s="85"/>
      <c r="H148" s="55">
        <f>'Init. énergie'!C9</f>
        <v>0.45882864700771653</v>
      </c>
      <c r="I148" s="47">
        <v>0.45</v>
      </c>
      <c r="J148" s="47">
        <v>0.74</v>
      </c>
      <c r="K148" s="47">
        <v>0.75</v>
      </c>
      <c r="M148" s="335"/>
      <c r="N148" s="33"/>
      <c r="O148" s="42"/>
    </row>
    <row r="149" spans="1:18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1</v>
      </c>
      <c r="I149" s="15">
        <f t="shared" ref="I149:K149" si="38">SUM(I142:I148)</f>
        <v>0.99999999999999978</v>
      </c>
      <c r="J149" s="15">
        <f t="shared" si="38"/>
        <v>0.99999999999999989</v>
      </c>
      <c r="K149" s="15">
        <f t="shared" si="38"/>
        <v>1</v>
      </c>
      <c r="M149" s="336"/>
      <c r="N149" s="33"/>
      <c r="O149" s="42"/>
    </row>
    <row r="150" spans="1:18" s="17" customFormat="1">
      <c r="A150" s="56"/>
      <c r="C150" s="40"/>
      <c r="D150" s="32"/>
      <c r="M150" s="65"/>
      <c r="N150" s="33"/>
      <c r="O150" s="42"/>
    </row>
    <row r="151" spans="1:18" s="17" customFormat="1" ht="30.75" customHeight="1">
      <c r="A151" s="56"/>
      <c r="C151" s="40"/>
      <c r="D151" s="32"/>
      <c r="F151" s="333" t="s">
        <v>265</v>
      </c>
      <c r="G151" s="333"/>
      <c r="H151" s="333"/>
      <c r="I151" s="333"/>
      <c r="J151" s="333"/>
      <c r="K151" s="333"/>
      <c r="M151" s="65"/>
      <c r="N151" s="33"/>
      <c r="O151" s="42"/>
    </row>
    <row r="152" spans="1:18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8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102.20125737022884</v>
      </c>
      <c r="J153" s="45">
        <f>K153</f>
        <v>102.20125737022884</v>
      </c>
      <c r="K153" s="45">
        <f t="shared" ref="K153:K159" si="39">K77</f>
        <v>102.20125737022884</v>
      </c>
      <c r="M153" s="334" t="s">
        <v>38</v>
      </c>
      <c r="N153" s="33"/>
      <c r="O153" s="42"/>
    </row>
    <row r="154" spans="1:18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J159" si="40">J154</f>
        <v>94.119643139834565</v>
      </c>
      <c r="J154" s="45">
        <f t="shared" si="40"/>
        <v>94.119643139834565</v>
      </c>
      <c r="K154" s="45">
        <f t="shared" si="39"/>
        <v>94.119643139834565</v>
      </c>
      <c r="M154" s="335"/>
      <c r="N154" s="33"/>
      <c r="O154" s="42"/>
    </row>
    <row r="155" spans="1:18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40"/>
        <v>76.572070792464487</v>
      </c>
      <c r="J155" s="45">
        <f t="shared" si="40"/>
        <v>76.572070792464487</v>
      </c>
      <c r="K155" s="45">
        <f t="shared" si="39"/>
        <v>76.572070792464487</v>
      </c>
      <c r="M155" s="335"/>
      <c r="N155" s="33"/>
      <c r="O155" s="42"/>
    </row>
    <row r="156" spans="1:18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40"/>
        <v>67.120640048914737</v>
      </c>
      <c r="J156" s="45">
        <f t="shared" si="40"/>
        <v>67.120640048914737</v>
      </c>
      <c r="K156" s="45">
        <f t="shared" si="39"/>
        <v>67.120640048914737</v>
      </c>
      <c r="M156" s="335"/>
      <c r="N156" s="33"/>
      <c r="O156" s="42"/>
    </row>
    <row r="157" spans="1:18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40"/>
        <v>75.969106573356427</v>
      </c>
      <c r="J157" s="45">
        <f t="shared" si="40"/>
        <v>75.969106573356427</v>
      </c>
      <c r="K157" s="45">
        <f t="shared" si="39"/>
        <v>75.969106573356427</v>
      </c>
      <c r="M157" s="335"/>
      <c r="N157" s="33"/>
      <c r="O157" s="42"/>
    </row>
    <row r="158" spans="1:18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40"/>
        <v>59.253423808797884</v>
      </c>
      <c r="J158" s="45">
        <f t="shared" si="40"/>
        <v>59.253423808797884</v>
      </c>
      <c r="K158" s="45">
        <f t="shared" si="39"/>
        <v>59.253423808797884</v>
      </c>
      <c r="M158" s="335"/>
      <c r="N158" s="33"/>
      <c r="O158" s="42"/>
      <c r="R158" s="17">
        <f>'Bureaux - AMS'!H$36*('Bureaux - AMS'!$H$73*'Bureaux - AMS'!H51+(1-'Bureaux - AMS'!$H$73)*'Bureaux - AMS'!H65+'Bureaux - AMS'!H$35)</f>
        <v>21044.942132932614</v>
      </c>
    </row>
    <row r="159" spans="1:18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40"/>
        <v>37.800636475980589</v>
      </c>
      <c r="J159" s="45">
        <f t="shared" si="40"/>
        <v>37.800636475980589</v>
      </c>
      <c r="K159" s="45">
        <f t="shared" si="39"/>
        <v>37.800636475980589</v>
      </c>
      <c r="M159" s="336"/>
      <c r="N159" s="33"/>
      <c r="O159" s="42"/>
    </row>
    <row r="160" spans="1:18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266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41">I$35*I142*I153/1000</f>
        <v>0</v>
      </c>
      <c r="J163" s="10">
        <f t="shared" si="41"/>
        <v>0</v>
      </c>
      <c r="K163" s="10">
        <f t="shared" si="41"/>
        <v>0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9" si="42">H$35*H143*H154/1000</f>
        <v>0</v>
      </c>
      <c r="I164" s="10">
        <f t="shared" si="42"/>
        <v>0</v>
      </c>
      <c r="J164" s="10">
        <f t="shared" si="42"/>
        <v>0</v>
      </c>
      <c r="K164" s="10">
        <f t="shared" si="42"/>
        <v>0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si="42"/>
        <v>0</v>
      </c>
      <c r="I165" s="10">
        <f t="shared" si="42"/>
        <v>72.589880441254962</v>
      </c>
      <c r="J165" s="10">
        <f t="shared" si="42"/>
        <v>71.222505162919859</v>
      </c>
      <c r="K165" s="10">
        <f t="shared" si="42"/>
        <v>69.293158657928728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si="42"/>
        <v>0</v>
      </c>
      <c r="I166" s="10">
        <f t="shared" si="42"/>
        <v>9.3901987495268351</v>
      </c>
      <c r="J166" s="10">
        <f t="shared" si="42"/>
        <v>8.4586382464717573</v>
      </c>
      <c r="K166" s="10">
        <f t="shared" si="42"/>
        <v>7.6064460656954695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si="42"/>
        <v>0</v>
      </c>
      <c r="I167" s="10">
        <f t="shared" si="42"/>
        <v>10.55119670900271</v>
      </c>
      <c r="J167" s="10">
        <f t="shared" si="42"/>
        <v>9.5044586818052643</v>
      </c>
      <c r="K167" s="10">
        <f t="shared" si="42"/>
        <v>15.277224886621982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si="42"/>
        <v>0</v>
      </c>
      <c r="I168" s="10">
        <f t="shared" si="42"/>
        <v>129.57200515192517</v>
      </c>
      <c r="J168" s="10">
        <f t="shared" si="42"/>
        <v>16.135535898464173</v>
      </c>
      <c r="K168" s="10">
        <f t="shared" si="42"/>
        <v>2.2219087793285865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si="42"/>
        <v>0</v>
      </c>
      <c r="I169" s="10">
        <f t="shared" si="42"/>
        <v>105.57281015735849</v>
      </c>
      <c r="J169" s="10">
        <f t="shared" si="42"/>
        <v>156.38566998710078</v>
      </c>
      <c r="K169" s="10">
        <f t="shared" si="42"/>
        <v>142.53050936156851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43">SUM(I163:I169)</f>
        <v>327.67609120906815</v>
      </c>
      <c r="J170" s="11">
        <f t="shared" si="43"/>
        <v>261.70680797676181</v>
      </c>
      <c r="K170" s="11">
        <f t="shared" si="43"/>
        <v>236.92924775114327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E174" s="337" t="s">
        <v>298</v>
      </c>
      <c r="F174" s="337"/>
      <c r="G174" s="337"/>
      <c r="H174" s="337"/>
      <c r="I174" s="337"/>
      <c r="J174" s="337"/>
      <c r="K174" s="337"/>
      <c r="L174" s="337"/>
      <c r="M174" s="337"/>
    </row>
    <row r="175" spans="1:15" s="17" customFormat="1">
      <c r="A175" s="56"/>
      <c r="M175" s="65"/>
    </row>
    <row r="176" spans="1:15" s="17" customFormat="1">
      <c r="A176" s="56"/>
      <c r="E176" s="5" t="s">
        <v>20</v>
      </c>
      <c r="F176" s="4"/>
      <c r="G176" s="4"/>
      <c r="H176" s="4">
        <v>2020</v>
      </c>
      <c r="I176" s="4">
        <v>2030</v>
      </c>
      <c r="J176" s="4">
        <v>2040</v>
      </c>
      <c r="K176" s="4">
        <v>2050</v>
      </c>
      <c r="M176" s="65"/>
    </row>
    <row r="177" spans="1:13" s="17" customFormat="1">
      <c r="A177" s="56"/>
      <c r="E177" s="6" t="s">
        <v>15</v>
      </c>
      <c r="F177" s="82"/>
      <c r="G177" s="82"/>
      <c r="H177" s="10">
        <f t="shared" ref="H177:K183" si="44">H$36*($H$73*H45+(1-$H$73)*H59)+H$35*H142</f>
        <v>25838.414617027342</v>
      </c>
      <c r="I177" s="10">
        <f t="shared" si="44"/>
        <v>0</v>
      </c>
      <c r="J177" s="10">
        <f t="shared" si="44"/>
        <v>0</v>
      </c>
      <c r="K177" s="10">
        <f t="shared" si="44"/>
        <v>0</v>
      </c>
      <c r="M177" s="65"/>
    </row>
    <row r="178" spans="1:13" s="17" customFormat="1">
      <c r="A178" s="56"/>
      <c r="E178" s="6" t="s">
        <v>16</v>
      </c>
      <c r="F178" s="82"/>
      <c r="G178" s="82"/>
      <c r="H178" s="10">
        <f t="shared" si="44"/>
        <v>121975.9956392381</v>
      </c>
      <c r="I178" s="10">
        <f t="shared" si="44"/>
        <v>92226.924321930186</v>
      </c>
      <c r="J178" s="10">
        <f t="shared" si="44"/>
        <v>38572.900895530183</v>
      </c>
      <c r="K178" s="10">
        <f t="shared" si="44"/>
        <v>9988.1312523392262</v>
      </c>
      <c r="M178" s="65"/>
    </row>
    <row r="179" spans="1:13" s="17" customFormat="1">
      <c r="A179" s="56"/>
      <c r="E179" s="6" t="s">
        <v>75</v>
      </c>
      <c r="F179" s="82"/>
      <c r="G179" s="82"/>
      <c r="H179" s="10">
        <f t="shared" si="44"/>
        <v>23084.446481922441</v>
      </c>
      <c r="I179" s="10">
        <f t="shared" si="44"/>
        <v>46420.000074457137</v>
      </c>
      <c r="J179" s="10">
        <f t="shared" si="44"/>
        <v>53177.271639224258</v>
      </c>
      <c r="K179" s="10">
        <f t="shared" si="44"/>
        <v>50845.596639314172</v>
      </c>
      <c r="M179" s="65"/>
    </row>
    <row r="180" spans="1:13" s="17" customFormat="1">
      <c r="A180" s="56"/>
      <c r="E180" s="6" t="s">
        <v>22</v>
      </c>
      <c r="F180" s="82"/>
      <c r="G180" s="82"/>
      <c r="H180" s="10">
        <f t="shared" si="44"/>
        <v>3812.1228066364238</v>
      </c>
      <c r="I180" s="10">
        <f t="shared" si="44"/>
        <v>2374.2982770860322</v>
      </c>
      <c r="J180" s="10">
        <f t="shared" si="44"/>
        <v>1130.6223265239043</v>
      </c>
      <c r="K180" s="10">
        <f t="shared" si="44"/>
        <v>113.32499302974774</v>
      </c>
      <c r="M180" s="65"/>
    </row>
    <row r="181" spans="1:13" s="17" customFormat="1">
      <c r="A181" s="56"/>
      <c r="E181" s="6" t="s">
        <v>42</v>
      </c>
      <c r="F181" s="82"/>
      <c r="G181" s="82"/>
      <c r="H181" s="10">
        <f t="shared" si="44"/>
        <v>3577.7372472856696</v>
      </c>
      <c r="I181" s="10">
        <f t="shared" si="44"/>
        <v>5191.3330876267046</v>
      </c>
      <c r="J181" s="10">
        <f t="shared" si="44"/>
        <v>6939.9531903566049</v>
      </c>
      <c r="K181" s="10">
        <f t="shared" si="44"/>
        <v>8191.6028635642797</v>
      </c>
      <c r="M181" s="65"/>
    </row>
    <row r="182" spans="1:13" s="17" customFormat="1">
      <c r="A182" s="56"/>
      <c r="E182" s="6" t="s">
        <v>25</v>
      </c>
      <c r="F182" s="82"/>
      <c r="G182" s="82"/>
      <c r="H182" s="10">
        <f t="shared" si="44"/>
        <v>88000.133162083963</v>
      </c>
      <c r="I182" s="10">
        <f t="shared" si="44"/>
        <v>46667.660753673015</v>
      </c>
      <c r="J182" s="10">
        <f t="shared" si="44"/>
        <v>33386.477965768841</v>
      </c>
      <c r="K182" s="10">
        <f t="shared" si="44"/>
        <v>26006.639659321889</v>
      </c>
      <c r="M182" s="65"/>
    </row>
    <row r="183" spans="1:13" s="17" customFormat="1">
      <c r="A183" s="56"/>
      <c r="E183" s="6" t="s">
        <v>26</v>
      </c>
      <c r="F183" s="82"/>
      <c r="G183" s="82"/>
      <c r="H183" s="10">
        <f t="shared" si="44"/>
        <v>21044.942132932614</v>
      </c>
      <c r="I183" s="10">
        <f t="shared" si="44"/>
        <v>65948.448147346222</v>
      </c>
      <c r="J183" s="10">
        <f t="shared" si="44"/>
        <v>99544.928719748539</v>
      </c>
      <c r="K183" s="10">
        <f t="shared" si="44"/>
        <v>109644.77618153766</v>
      </c>
      <c r="M183" s="65"/>
    </row>
    <row r="184" spans="1:13" s="17" customFormat="1">
      <c r="A184" s="56"/>
      <c r="E184" s="7" t="s">
        <v>17</v>
      </c>
      <c r="F184" s="82"/>
      <c r="G184" s="82"/>
      <c r="H184" s="10">
        <f>SUM(H177:H183)</f>
        <v>287333.79208712652</v>
      </c>
      <c r="I184" s="10">
        <f t="shared" ref="I184:K184" si="45">SUM(I177:I183)</f>
        <v>258828.66466211929</v>
      </c>
      <c r="J184" s="10">
        <f t="shared" si="45"/>
        <v>232752.15473715233</v>
      </c>
      <c r="K184" s="10">
        <f t="shared" si="45"/>
        <v>204790.07158910698</v>
      </c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1">
    <mergeCell ref="M59:M65"/>
    <mergeCell ref="F68:K68"/>
    <mergeCell ref="F75:K75"/>
    <mergeCell ref="F161:K161"/>
    <mergeCell ref="F85:G85"/>
    <mergeCell ref="M87:M93"/>
    <mergeCell ref="F95:K95"/>
    <mergeCell ref="F105:K105"/>
    <mergeCell ref="F116:K116"/>
    <mergeCell ref="F127:K127"/>
    <mergeCell ref="E138:M138"/>
    <mergeCell ref="F140:K140"/>
    <mergeCell ref="M142:M149"/>
    <mergeCell ref="F151:K151"/>
    <mergeCell ref="M153:M159"/>
    <mergeCell ref="E174:M174"/>
    <mergeCell ref="C27:O27"/>
    <mergeCell ref="C1:O1"/>
    <mergeCell ref="C3:O3"/>
    <mergeCell ref="F5:K5"/>
    <mergeCell ref="F11:K11"/>
    <mergeCell ref="F22:K22"/>
    <mergeCell ref="M77:M83"/>
    <mergeCell ref="D29:N29"/>
    <mergeCell ref="F32:K32"/>
    <mergeCell ref="D39:N39"/>
    <mergeCell ref="E41:M41"/>
    <mergeCell ref="F43:K43"/>
    <mergeCell ref="F54:K54"/>
    <mergeCell ref="F57:K57"/>
    <mergeCell ref="M45:M52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  <pageSetUpPr fitToPage="1"/>
  </sheetPr>
  <dimension ref="A1:GB1589"/>
  <sheetViews>
    <sheetView showGridLines="0" topLeftCell="A58" zoomScale="115" zoomScaleNormal="115" workbookViewId="0">
      <selection activeCell="B41" sqref="B41:M41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249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256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226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 t="shared" ref="H7:K8" si="0">H34</f>
        <v>67243.869415029592</v>
      </c>
      <c r="I7" s="10">
        <f t="shared" si="0"/>
        <v>67845.668346404927</v>
      </c>
      <c r="J7" s="10">
        <f t="shared" si="0"/>
        <v>68347.127348944588</v>
      </c>
      <c r="K7" s="10">
        <f t="shared" si="0"/>
        <v>67379.41377843167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2538.4223705281875</v>
      </c>
      <c r="J8" s="76">
        <f t="shared" si="0"/>
        <v>2455.4142509161229</v>
      </c>
      <c r="K8" s="76">
        <f t="shared" si="0"/>
        <v>1968.3972676496044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1">H36</f>
        <v>67243.869415029592</v>
      </c>
      <c r="I9" s="96">
        <f t="shared" si="1"/>
        <v>65307.245975876736</v>
      </c>
      <c r="J9" s="96">
        <f t="shared" si="1"/>
        <v>65891.713098028471</v>
      </c>
      <c r="K9" s="96">
        <f t="shared" si="1"/>
        <v>65411.016510782065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228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1140.7847357342437</v>
      </c>
      <c r="I13" s="86">
        <f t="shared" ref="I13:K13" si="2">I129+I163</f>
        <v>129.61175552147077</v>
      </c>
      <c r="J13" s="86">
        <f t="shared" si="2"/>
        <v>0</v>
      </c>
      <c r="K13" s="86">
        <f t="shared" si="2"/>
        <v>0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9" si="3">H130+H164</f>
        <v>3672.1014843777784</v>
      </c>
      <c r="I14" s="86">
        <f t="shared" si="3"/>
        <v>2705.1486247049966</v>
      </c>
      <c r="J14" s="86">
        <f t="shared" si="3"/>
        <v>1196.8412239209474</v>
      </c>
      <c r="K14" s="86">
        <f t="shared" si="3"/>
        <v>385.03891290089814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si="3"/>
        <v>624.54051287307163</v>
      </c>
      <c r="I15" s="86">
        <f t="shared" si="3"/>
        <v>1025.9267032804819</v>
      </c>
      <c r="J15" s="86">
        <f t="shared" si="3"/>
        <v>1207.1312034329169</v>
      </c>
      <c r="K15" s="86">
        <f t="shared" si="3"/>
        <v>1406.1622377246376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si="3"/>
        <v>126.92767661024014</v>
      </c>
      <c r="I16" s="86">
        <f t="shared" si="3"/>
        <v>71.113638908206198</v>
      </c>
      <c r="J16" s="86">
        <f t="shared" si="3"/>
        <v>33.924975195836865</v>
      </c>
      <c r="K16" s="86">
        <f t="shared" si="3"/>
        <v>0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si="3"/>
        <v>210.53470904103489</v>
      </c>
      <c r="I17" s="86">
        <f t="shared" si="3"/>
        <v>174.58704557132268</v>
      </c>
      <c r="J17" s="86">
        <f t="shared" si="3"/>
        <v>152.83274416830801</v>
      </c>
      <c r="K17" s="86">
        <f t="shared" si="3"/>
        <v>127.41314189545784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si="3"/>
        <v>1500.7713046024307</v>
      </c>
      <c r="I18" s="86">
        <f t="shared" si="3"/>
        <v>882.20631636811538</v>
      </c>
      <c r="J18" s="86">
        <f t="shared" si="3"/>
        <v>819.78552316809657</v>
      </c>
      <c r="K18" s="86">
        <f t="shared" si="3"/>
        <v>550.99531779498398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si="3"/>
        <v>330.32015047808898</v>
      </c>
      <c r="I19" s="86">
        <f t="shared" si="3"/>
        <v>871.18759099871102</v>
      </c>
      <c r="J19" s="86">
        <f t="shared" si="3"/>
        <v>1214.2551169114588</v>
      </c>
      <c r="K19" s="86">
        <f t="shared" si="3"/>
        <v>1294.8727456858439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7605.980573716889</v>
      </c>
      <c r="I20" s="13">
        <f t="shared" ref="I20:K20" si="4">SUM(I13:I19)</f>
        <v>5859.7816753533043</v>
      </c>
      <c r="J20" s="13">
        <f t="shared" si="4"/>
        <v>4624.7707867975641</v>
      </c>
      <c r="K20" s="13">
        <f t="shared" si="4"/>
        <v>3764.4823560018212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-0.38177233080614392</v>
      </c>
      <c r="J23" s="188">
        <f t="shared" ref="J23:K23" si="5">J114/$G114-1</f>
        <v>-0.51552582757079024</v>
      </c>
      <c r="K23" s="188">
        <f t="shared" si="5"/>
        <v>-0.61524815061743832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-0.32314857272251718</v>
      </c>
      <c r="J24" s="188">
        <f t="shared" ref="J24:K24" si="6">J125/$G125-1</f>
        <v>-0.46666054064661389</v>
      </c>
      <c r="K24" s="188">
        <f t="shared" si="6"/>
        <v>-0.53834605169084049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257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258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67243.869415029592</v>
      </c>
      <c r="H34" s="126">
        <f>'Init. parc'!C20</f>
        <v>67243.869415029592</v>
      </c>
      <c r="I34" s="126">
        <f>'Init. parc'!D20</f>
        <v>67845.668346404927</v>
      </c>
      <c r="J34" s="126">
        <f>'Init. parc'!E20</f>
        <v>68347.127348944588</v>
      </c>
      <c r="K34" s="126">
        <f>'Init. parc'!F20</f>
        <v>67379.41377843167</v>
      </c>
      <c r="L34" s="65"/>
      <c r="M34" s="65"/>
      <c r="N34" s="65"/>
      <c r="O34" s="42"/>
    </row>
    <row r="35" spans="1:17" s="17" customFormat="1" ht="21">
      <c r="A35" s="56"/>
      <c r="C35" s="40"/>
      <c r="D35" s="32"/>
      <c r="E35" s="83" t="s">
        <v>29</v>
      </c>
      <c r="F35" s="55"/>
      <c r="G35" s="195"/>
      <c r="H35" s="126">
        <v>0</v>
      </c>
      <c r="I35" s="126">
        <f>'Init. parc'!N20</f>
        <v>2538.4223705281875</v>
      </c>
      <c r="J35" s="126">
        <f>'Init. parc'!O20</f>
        <v>2455.4142509161229</v>
      </c>
      <c r="K35" s="126">
        <f>'Init. parc'!P20</f>
        <v>1968.3972676496044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30</v>
      </c>
      <c r="F36" s="55"/>
      <c r="G36" s="195">
        <f>G34-G35</f>
        <v>67243.869415029592</v>
      </c>
      <c r="H36" s="126">
        <f>H34-H35</f>
        <v>67243.869415029592</v>
      </c>
      <c r="I36" s="126">
        <f>I34-I35</f>
        <v>65307.245975876736</v>
      </c>
      <c r="J36" s="126">
        <f>J34-J35</f>
        <v>65891.713098028471</v>
      </c>
      <c r="K36" s="126">
        <f>K34-K35</f>
        <v>65411.016510782065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7.9577911246311389E-2</v>
      </c>
      <c r="H45" s="55">
        <f>'Init. énergie'!B12</f>
        <v>7.9577911246311389E-2</v>
      </c>
      <c r="I45" s="47">
        <v>0.01</v>
      </c>
      <c r="J45" s="47">
        <v>0</v>
      </c>
      <c r="K45" s="47">
        <v>0</v>
      </c>
      <c r="L45" s="64"/>
      <c r="M45" s="339" t="s">
        <v>283</v>
      </c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7">H46</f>
        <v>0.34462030283054329</v>
      </c>
      <c r="H46" s="55">
        <f>'Init. énergie'!B13</f>
        <v>0.34462030283054329</v>
      </c>
      <c r="I46" s="47">
        <f>H46*0.86</f>
        <v>0.29637346043426721</v>
      </c>
      <c r="J46" s="47">
        <f>H46*0.4</f>
        <v>0.13784812113221731</v>
      </c>
      <c r="K46" s="47">
        <v>0.05</v>
      </c>
      <c r="L46" s="64"/>
      <c r="M46" s="339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7"/>
        <v>6.6086937326922057E-2</v>
      </c>
      <c r="H47" s="55">
        <f>'Init. énergie'!B14</f>
        <v>6.6086937326922057E-2</v>
      </c>
      <c r="I47" s="47">
        <v>0.12</v>
      </c>
      <c r="J47" s="47">
        <v>0.15</v>
      </c>
      <c r="K47" s="47">
        <v>0.2</v>
      </c>
      <c r="L47" s="64"/>
      <c r="M47" s="339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7"/>
        <v>1.4148263803273525E-2</v>
      </c>
      <c r="H48" s="55">
        <f>'Init. énergie'!B15</f>
        <v>1.4148263803273525E-2</v>
      </c>
      <c r="I48" s="47">
        <f t="shared" ref="I48:I49" si="8">H48+((K48-H48)/3)</f>
        <v>9.432175868849018E-3</v>
      </c>
      <c r="J48" s="47">
        <f t="shared" ref="J48:J49" si="9">H48+((K48-H48)/3*2)</f>
        <v>4.716087934424509E-3</v>
      </c>
      <c r="K48" s="47">
        <v>0</v>
      </c>
      <c r="L48" s="64"/>
      <c r="M48" s="339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7"/>
        <v>2.6562983479710957E-2</v>
      </c>
      <c r="H49" s="55">
        <f>'Init. énergie'!B16</f>
        <v>2.6562983479710957E-2</v>
      </c>
      <c r="I49" s="47">
        <f t="shared" si="8"/>
        <v>2.4375322319807304E-2</v>
      </c>
      <c r="J49" s="47">
        <f t="shared" si="9"/>
        <v>2.2187661159903654E-2</v>
      </c>
      <c r="K49" s="47">
        <v>0.02</v>
      </c>
      <c r="L49" s="64"/>
      <c r="M49" s="339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7"/>
        <v>0.36221493246354636</v>
      </c>
      <c r="H50" s="55">
        <f>'Init. énergie'!B17</f>
        <v>0.36221493246354636</v>
      </c>
      <c r="I50" s="47">
        <f t="shared" ref="I50" si="10">1-I45-I46-I47-I48-I49-I51</f>
        <v>0.23981904137707649</v>
      </c>
      <c r="J50" s="47">
        <f t="shared" ref="J50" si="11">1-J45-J46-J47-J48-J49-J51</f>
        <v>0.2352481297734545</v>
      </c>
      <c r="K50" s="47">
        <f>1-K45-K46-K47-K48-K49-K51</f>
        <v>0.17999999999999994</v>
      </c>
      <c r="L50" s="64"/>
      <c r="M50" s="339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7"/>
        <v>0.10678866884969246</v>
      </c>
      <c r="H51" s="55">
        <f>'Init. énergie'!B18</f>
        <v>0.10678866884969246</v>
      </c>
      <c r="I51" s="47">
        <v>0.3</v>
      </c>
      <c r="J51" s="47">
        <v>0.45</v>
      </c>
      <c r="K51" s="124">
        <v>0.55000000000000004</v>
      </c>
      <c r="L51" s="64"/>
      <c r="M51" s="339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J52" si="12">SUM(G45:G51)</f>
        <v>1</v>
      </c>
      <c r="H52" s="159">
        <f t="shared" si="12"/>
        <v>1</v>
      </c>
      <c r="I52" s="165">
        <f t="shared" si="12"/>
        <v>1</v>
      </c>
      <c r="J52" s="165">
        <f t="shared" si="12"/>
        <v>1</v>
      </c>
      <c r="K52" s="165">
        <f>SUM(K45:K51)</f>
        <v>1</v>
      </c>
      <c r="L52" s="63"/>
      <c r="M52" s="339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K55" si="13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-0.12768373647439527</v>
      </c>
      <c r="J55" s="152">
        <f t="shared" si="13"/>
        <v>-0.17331393295058561</v>
      </c>
      <c r="K55" s="152">
        <f t="shared" si="13"/>
        <v>-8.1484556403038144E-2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>
        <v>2006</v>
      </c>
      <c r="G58" s="4">
        <v>2015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7.9577911246311389E-2</v>
      </c>
      <c r="H59" s="55">
        <f>H45</f>
        <v>7.9577911246311389E-2</v>
      </c>
      <c r="I59" s="47">
        <f>I45</f>
        <v>0.01</v>
      </c>
      <c r="J59" s="47">
        <f>J45</f>
        <v>0</v>
      </c>
      <c r="K59" s="47">
        <f>K45</f>
        <v>0</v>
      </c>
      <c r="L59" s="64"/>
      <c r="M59" s="334"/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4">H60</f>
        <v>0.34462030283054329</v>
      </c>
      <c r="H60" s="55">
        <f t="shared" ref="H60:K65" si="15">H46</f>
        <v>0.34462030283054329</v>
      </c>
      <c r="I60" s="47">
        <f t="shared" si="15"/>
        <v>0.29637346043426721</v>
      </c>
      <c r="J60" s="47">
        <f t="shared" si="15"/>
        <v>0.13784812113221731</v>
      </c>
      <c r="K60" s="47">
        <f t="shared" si="15"/>
        <v>0.05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4"/>
        <v>6.6086937326922057E-2</v>
      </c>
      <c r="H61" s="55">
        <f t="shared" si="15"/>
        <v>6.6086937326922057E-2</v>
      </c>
      <c r="I61" s="47">
        <f t="shared" si="15"/>
        <v>0.12</v>
      </c>
      <c r="J61" s="47">
        <f t="shared" si="15"/>
        <v>0.15</v>
      </c>
      <c r="K61" s="47">
        <f t="shared" si="15"/>
        <v>0.2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4"/>
        <v>1.4148263803273525E-2</v>
      </c>
      <c r="H62" s="55">
        <f t="shared" si="15"/>
        <v>1.4148263803273525E-2</v>
      </c>
      <c r="I62" s="47">
        <f t="shared" si="15"/>
        <v>9.432175868849018E-3</v>
      </c>
      <c r="J62" s="47">
        <f t="shared" si="15"/>
        <v>4.716087934424509E-3</v>
      </c>
      <c r="K62" s="47">
        <f t="shared" si="15"/>
        <v>0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4"/>
        <v>2.6562983479710957E-2</v>
      </c>
      <c r="H63" s="55">
        <f t="shared" si="15"/>
        <v>2.6562983479710957E-2</v>
      </c>
      <c r="I63" s="47">
        <f t="shared" si="15"/>
        <v>2.4375322319807304E-2</v>
      </c>
      <c r="J63" s="47">
        <f t="shared" si="15"/>
        <v>2.2187661159903654E-2</v>
      </c>
      <c r="K63" s="47">
        <f t="shared" si="15"/>
        <v>0.02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4"/>
        <v>0.36221493246354636</v>
      </c>
      <c r="H64" s="55">
        <f t="shared" si="15"/>
        <v>0.36221493246354636</v>
      </c>
      <c r="I64" s="47">
        <f t="shared" si="15"/>
        <v>0.23981904137707649</v>
      </c>
      <c r="J64" s="47">
        <f t="shared" si="15"/>
        <v>0.2352481297734545</v>
      </c>
      <c r="K64" s="47">
        <f t="shared" si="15"/>
        <v>0.17999999999999994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4"/>
        <v>0.10678866884969246</v>
      </c>
      <c r="H65" s="55">
        <f t="shared" si="15"/>
        <v>0.10678866884969246</v>
      </c>
      <c r="I65" s="47">
        <f t="shared" si="15"/>
        <v>0.3</v>
      </c>
      <c r="J65" s="47">
        <f t="shared" si="15"/>
        <v>0.45</v>
      </c>
      <c r="K65" s="47">
        <f t="shared" si="15"/>
        <v>0.55000000000000004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16">SUM(G59:G65)</f>
        <v>1</v>
      </c>
      <c r="H66" s="159">
        <v>1</v>
      </c>
      <c r="I66" s="165">
        <f t="shared" ref="I66:J66" si="17">SUM(I59:I65)</f>
        <v>1</v>
      </c>
      <c r="J66" s="165">
        <f t="shared" si="17"/>
        <v>1</v>
      </c>
      <c r="K66" s="165">
        <f>SUM(K59:K65)</f>
        <v>1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-0.12768373647439527</v>
      </c>
      <c r="J69" s="152">
        <f>(I$97*(J59-I59)+I$98*(J60-I60)+I$99*(J61-I61)+I$100*(J62-I62)+I$101*(J63-I63)+I$102*(J64-I64)+I$103*(J65-I65))/(I$97*I59+I$98*I60+I$99*I61+I$100*I62+I$101*I63+I$102*I64+I$103*I65)</f>
        <v>-0.17602206622983224</v>
      </c>
      <c r="K69" s="152">
        <f>(J$97*(K59-J59)+J$98*(K60-J60)+J$99*(K61-J61)+J$100*(K62-J62)+J$101*(K63-J63)+J$102*(K64-J64)+J$103*(K65-J65))/(J$97*J59+J$98*J60+J$99*J61+J$100*J62+J$101*J63+J$102*J64+J$103*J65)</f>
        <v>-8.0439254087787321E-2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93" t="s">
        <v>92</v>
      </c>
      <c r="G72" s="194" t="s">
        <v>91</v>
      </c>
      <c r="H72" s="194" t="s">
        <v>35</v>
      </c>
      <c r="J72" s="296" t="s">
        <v>293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bord'!F12</f>
        <v>0.65</v>
      </c>
      <c r="G73" s="92">
        <f>'Tableau de bord'!F25</f>
        <v>0.9</v>
      </c>
      <c r="H73" s="92">
        <f>'Tableau de bord'!F28</f>
        <v>0.74249999999999994</v>
      </c>
      <c r="J73" s="92">
        <f>'Tableau de bord'!F37</f>
        <v>0.35625000000000001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324" t="s">
        <v>311</v>
      </c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325">
        <f>'Init. énergie'!K78</f>
        <v>0.97683808360784841</v>
      </c>
      <c r="G77" s="81">
        <f>H77/F77^10</f>
        <v>269.48378612019405</v>
      </c>
      <c r="H77" s="54">
        <f>'Init. énergie'!D12</f>
        <v>213.18589628380153</v>
      </c>
      <c r="I77" s="81">
        <f>G77*(1-J$73)/(1+I$55)</f>
        <v>198.87304016748146</v>
      </c>
      <c r="J77" s="81">
        <f>G77*50%/(1+I$55)/(1+J$55)</f>
        <v>186.84782939280907</v>
      </c>
      <c r="K77" s="81">
        <f>G77*40%/(1+I$55)/(1+J$55)/(1+K$55)</f>
        <v>162.73897685256267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325">
        <f>'Init. énergie'!K77</f>
        <v>0.98504576820130418</v>
      </c>
      <c r="G78" s="81">
        <f t="shared" ref="G78:G83" si="18">H78/F78^10</f>
        <v>184.22858790649224</v>
      </c>
      <c r="H78" s="54">
        <f>'Init. énergie'!D13</f>
        <v>158.46053551606883</v>
      </c>
      <c r="I78" s="81">
        <f t="shared" ref="I78:I83" si="19">G78*(1-J$73)/(1+I$55)</f>
        <v>135.95660017328481</v>
      </c>
      <c r="J78" s="81">
        <f t="shared" ref="J78:J83" si="20">G78*50%/(1+I$55)/(1+J$55)</f>
        <v>127.73574343013466</v>
      </c>
      <c r="K78" s="81">
        <f t="shared" ref="K78:K83" si="21">G78*40%/(1+I$55)/(1+J$55)/(1+K$55)</f>
        <v>111.25408446474351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325">
        <f>'Init. énergie'!K$79</f>
        <v>0.9880584769094648</v>
      </c>
      <c r="G79" s="81">
        <f t="shared" si="18"/>
        <v>158.47684218712803</v>
      </c>
      <c r="H79" s="54">
        <f>'Init. énergie'!D14</f>
        <v>140.53752265291996</v>
      </c>
      <c r="I79" s="81">
        <f t="shared" si="19"/>
        <v>116.95238461522635</v>
      </c>
      <c r="J79" s="81">
        <f t="shared" si="20"/>
        <v>109.88065144106528</v>
      </c>
      <c r="K79" s="81">
        <f t="shared" si="21"/>
        <v>95.702823252065116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325">
        <f>'Init. énergie'!K$79</f>
        <v>0.9880584769094648</v>
      </c>
      <c r="G80" s="81">
        <f t="shared" si="18"/>
        <v>150.4436981709726</v>
      </c>
      <c r="H80" s="54">
        <f>'Init. énergie'!D15</f>
        <v>133.41371741069062</v>
      </c>
      <c r="I80" s="81">
        <f t="shared" si="19"/>
        <v>111.02410300839344</v>
      </c>
      <c r="J80" s="81">
        <f t="shared" si="20"/>
        <v>104.31083388644247</v>
      </c>
      <c r="K80" s="81">
        <f t="shared" si="21"/>
        <v>90.851675593350919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325">
        <f>'Init. énergie'!K$79</f>
        <v>0.9880584769094648</v>
      </c>
      <c r="G81" s="81">
        <f t="shared" si="18"/>
        <v>132.91306449058305</v>
      </c>
      <c r="H81" s="54">
        <f>'Init. énergie'!D16</f>
        <v>117.86752281231102</v>
      </c>
      <c r="I81" s="81">
        <f t="shared" si="19"/>
        <v>98.086885277132467</v>
      </c>
      <c r="J81" s="81">
        <f t="shared" si="20"/>
        <v>92.15588794991659</v>
      </c>
      <c r="K81" s="81">
        <f t="shared" si="21"/>
        <v>80.265074336935342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325">
        <f>'Init. énergie'!K80</f>
        <v>0.98034249346915125</v>
      </c>
      <c r="G82" s="81">
        <f t="shared" si="18"/>
        <v>75.147959574358367</v>
      </c>
      <c r="H82" s="54">
        <f>'Init. énergie'!D17</f>
        <v>61.616279427836453</v>
      </c>
      <c r="I82" s="81">
        <f t="shared" si="19"/>
        <v>55.457522688470689</v>
      </c>
      <c r="J82" s="81">
        <f t="shared" si="20"/>
        <v>52.10418530896257</v>
      </c>
      <c r="K82" s="81">
        <f t="shared" si="21"/>
        <v>45.381216546491103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325">
        <f>'Init. énergie'!K80</f>
        <v>0.98034249346915125</v>
      </c>
      <c r="G83" s="81">
        <f t="shared" si="18"/>
        <v>56.102074548751148</v>
      </c>
      <c r="H83" s="54">
        <f>'Init. énergie'!D18</f>
        <v>45.999932951694888</v>
      </c>
      <c r="I83" s="81">
        <f t="shared" si="19"/>
        <v>41.40208316739524</v>
      </c>
      <c r="J83" s="81">
        <f t="shared" si="20"/>
        <v>38.898632844620671</v>
      </c>
      <c r="K83" s="81">
        <f t="shared" si="21"/>
        <v>33.879567831579429</v>
      </c>
      <c r="M83" s="339"/>
      <c r="N83" s="33"/>
      <c r="O83" s="42"/>
      <c r="Q83" s="52"/>
      <c r="R83" s="52"/>
      <c r="V83" s="101"/>
    </row>
    <row r="84" spans="1:184" s="17" customFormat="1">
      <c r="A84" s="56"/>
      <c r="C84" s="40"/>
      <c r="D84" s="32"/>
      <c r="E84" s="128"/>
      <c r="F84" s="89"/>
      <c r="G84" s="89"/>
      <c r="H84" s="89"/>
      <c r="I84" s="89"/>
      <c r="J84" s="89"/>
      <c r="K84" s="89"/>
      <c r="M84" s="322"/>
      <c r="N84" s="33"/>
      <c r="O84" s="42"/>
      <c r="Q84" s="52"/>
      <c r="R84" s="52"/>
      <c r="V84" s="101"/>
    </row>
    <row r="85" spans="1:184" s="17" customFormat="1" ht="69" customHeight="1">
      <c r="A85" s="56"/>
      <c r="C85" s="40"/>
      <c r="D85" s="32"/>
      <c r="F85" s="333" t="s">
        <v>259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22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22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22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22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22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22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260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 t="shared" ref="G97:H103" si="23">G77</f>
        <v>269.48378612019405</v>
      </c>
      <c r="H97" s="54">
        <f t="shared" si="23"/>
        <v>213.18589628380153</v>
      </c>
      <c r="I97" s="81">
        <f>$H97*(1+$G87)^(I$96-$H$96)</f>
        <v>197.28681138656805</v>
      </c>
      <c r="J97" s="81">
        <f>$H97*(1+$G87)^(J$96-$H$96)</f>
        <v>182.57345643196135</v>
      </c>
      <c r="K97" s="81">
        <f>$H97*(1+$G87)^(K$96-$H$96)</f>
        <v>168.95740145650061</v>
      </c>
      <c r="L97" s="67"/>
      <c r="M97" s="79">
        <f>(K97-G97)/H97</f>
        <v>-0.47154331696440527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si="23"/>
        <v>184.22858790649224</v>
      </c>
      <c r="H98" s="54">
        <f t="shared" si="23"/>
        <v>158.46053551606883</v>
      </c>
      <c r="I98" s="81">
        <f t="shared" ref="I98:K103" si="24">$H98*(1+$G88)^(I$96-$H$96)</f>
        <v>150.73653068584596</v>
      </c>
      <c r="J98" s="81">
        <f t="shared" si="24"/>
        <v>143.38902496578328</v>
      </c>
      <c r="K98" s="81">
        <f t="shared" si="24"/>
        <v>136.39966627259403</v>
      </c>
      <c r="L98" s="67"/>
      <c r="M98" s="79">
        <f t="shared" ref="M98:M103" si="25">(K98-G98)/H98</f>
        <v>-0.30183491099617082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23"/>
        <v>158.47684218712803</v>
      </c>
      <c r="H99" s="54">
        <f t="shared" si="23"/>
        <v>140.53752265291996</v>
      </c>
      <c r="I99" s="81">
        <f t="shared" si="24"/>
        <v>135.042562729781</v>
      </c>
      <c r="J99" s="81">
        <f t="shared" si="24"/>
        <v>129.76245350264776</v>
      </c>
      <c r="K99" s="81">
        <f t="shared" si="24"/>
        <v>124.68879439677183</v>
      </c>
      <c r="L99" s="67"/>
      <c r="M99" s="79">
        <f t="shared" si="25"/>
        <v>-0.2404201180762324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23"/>
        <v>150.4436981709726</v>
      </c>
      <c r="H100" s="54">
        <f t="shared" si="23"/>
        <v>133.41371741069062</v>
      </c>
      <c r="I100" s="81">
        <f t="shared" si="24"/>
        <v>128.19729537243364</v>
      </c>
      <c r="J100" s="81">
        <f t="shared" si="24"/>
        <v>123.1848333122758</v>
      </c>
      <c r="K100" s="81">
        <f t="shared" si="24"/>
        <v>118.36835647810524</v>
      </c>
      <c r="L100" s="67"/>
      <c r="M100" s="79">
        <f t="shared" si="25"/>
        <v>-0.24042011807623248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23"/>
        <v>132.91306449058305</v>
      </c>
      <c r="H101" s="54">
        <f t="shared" si="23"/>
        <v>117.86752281231102</v>
      </c>
      <c r="I101" s="81">
        <f t="shared" si="24"/>
        <v>113.25895065402088</v>
      </c>
      <c r="J101" s="81">
        <f>$H101*(1+$G91)^(J$96-$H$96)</f>
        <v>108.83057179097786</v>
      </c>
      <c r="K101" s="81">
        <f>$H101*(1+$G91)^(K$96-$H$96)</f>
        <v>104.57534073869421</v>
      </c>
      <c r="L101" s="67"/>
      <c r="M101" s="79">
        <f t="shared" si="25"/>
        <v>-0.24042011807623251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23"/>
        <v>75.147959574358367</v>
      </c>
      <c r="H102" s="54">
        <f t="shared" si="23"/>
        <v>61.616279427836453</v>
      </c>
      <c r="I102" s="81">
        <f t="shared" si="24"/>
        <v>57.695862938979083</v>
      </c>
      <c r="J102" s="81">
        <f t="shared" si="24"/>
        <v>54.024888084521365</v>
      </c>
      <c r="K102" s="81">
        <f t="shared" si="24"/>
        <v>50.587483813734664</v>
      </c>
      <c r="L102" s="67"/>
      <c r="M102" s="79">
        <f t="shared" si="25"/>
        <v>-0.39860368053199902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23"/>
        <v>56.102074548751148</v>
      </c>
      <c r="H103" s="54">
        <f t="shared" si="23"/>
        <v>45.999932951694888</v>
      </c>
      <c r="I103" s="81">
        <f t="shared" si="24"/>
        <v>43.073126963005379</v>
      </c>
      <c r="J103" s="81">
        <f t="shared" si="24"/>
        <v>40.332542839126504</v>
      </c>
      <c r="K103" s="81">
        <f t="shared" si="24"/>
        <v>37.766331969980392</v>
      </c>
      <c r="L103" s="67"/>
      <c r="M103" s="79">
        <f t="shared" si="25"/>
        <v>-0.39860368053199885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261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 t="shared" ref="G107:K113" si="26">G$36*G45*$H$73*G77/1000</f>
        <v>1070.7160926512113</v>
      </c>
      <c r="H107" s="54">
        <f t="shared" si="26"/>
        <v>847.0326662826759</v>
      </c>
      <c r="I107" s="126">
        <f t="shared" si="26"/>
        <v>96.434790349996831</v>
      </c>
      <c r="J107" s="126">
        <f t="shared" si="26"/>
        <v>0</v>
      </c>
      <c r="K107" s="126">
        <f t="shared" si="26"/>
        <v>0</v>
      </c>
      <c r="L107" s="46"/>
      <c r="M107" s="79">
        <f>(K107-G107)/H107</f>
        <v>-1.2640788664623788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si="26"/>
        <v>3169.9107678004816</v>
      </c>
      <c r="H108" s="54">
        <f t="shared" si="26"/>
        <v>2726.5353521505003</v>
      </c>
      <c r="I108" s="126">
        <f t="shared" si="26"/>
        <v>1953.8779624362639</v>
      </c>
      <c r="J108" s="126">
        <f t="shared" si="26"/>
        <v>861.47077300033038</v>
      </c>
      <c r="K108" s="126">
        <f t="shared" si="26"/>
        <v>270.16763730964226</v>
      </c>
      <c r="L108" s="46"/>
      <c r="M108" s="79">
        <f t="shared" ref="M108:M114" si="27">(K108-G108)/H108</f>
        <v>-1.0635266944929671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26"/>
        <v>522.91438452916282</v>
      </c>
      <c r="H109" s="54">
        <f t="shared" si="26"/>
        <v>463.72133080825563</v>
      </c>
      <c r="I109" s="126">
        <f t="shared" si="26"/>
        <v>680.53137912329476</v>
      </c>
      <c r="J109" s="126">
        <f t="shared" si="26"/>
        <v>806.37998807040196</v>
      </c>
      <c r="K109" s="126">
        <f t="shared" si="26"/>
        <v>929.61281435258934</v>
      </c>
      <c r="L109" s="46"/>
      <c r="M109" s="79">
        <f t="shared" si="27"/>
        <v>0.87703196468137556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26"/>
        <v>106.27382295670147</v>
      </c>
      <c r="H110" s="54">
        <f t="shared" si="26"/>
        <v>94.243799883103293</v>
      </c>
      <c r="I110" s="126">
        <f t="shared" si="26"/>
        <v>50.779332855125688</v>
      </c>
      <c r="J110" s="126">
        <f t="shared" si="26"/>
        <v>24.067920497473835</v>
      </c>
      <c r="K110" s="126">
        <f t="shared" si="26"/>
        <v>0</v>
      </c>
      <c r="L110" s="46"/>
      <c r="M110" s="79">
        <f t="shared" si="27"/>
        <v>-1.1276478992625487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26"/>
        <v>176.27619911119135</v>
      </c>
      <c r="H111" s="54">
        <f t="shared" si="26"/>
        <v>156.32202146296839</v>
      </c>
      <c r="I111" s="126">
        <f t="shared" si="26"/>
        <v>115.93622063281389</v>
      </c>
      <c r="J111" s="126">
        <f t="shared" si="26"/>
        <v>100.03727882508771</v>
      </c>
      <c r="K111" s="126">
        <f t="shared" si="26"/>
        <v>77.965768524982551</v>
      </c>
      <c r="L111" s="46"/>
      <c r="M111" s="79">
        <f t="shared" si="27"/>
        <v>-0.62889687368518232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26"/>
        <v>1359.0414337589789</v>
      </c>
      <c r="H112" s="54">
        <f t="shared" si="26"/>
        <v>1114.3226936673047</v>
      </c>
      <c r="I112" s="126">
        <f t="shared" si="26"/>
        <v>644.91422450139783</v>
      </c>
      <c r="J112" s="126">
        <f t="shared" si="26"/>
        <v>599.68894926677331</v>
      </c>
      <c r="K112" s="126">
        <f t="shared" si="26"/>
        <v>396.73087061677455</v>
      </c>
      <c r="L112" s="46"/>
      <c r="M112" s="79">
        <f t="shared" si="27"/>
        <v>-0.86358338442806082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26"/>
        <v>299.12536942072381</v>
      </c>
      <c r="H113" s="54">
        <f t="shared" si="26"/>
        <v>245.26271172998105</v>
      </c>
      <c r="I113" s="126">
        <f t="shared" si="26"/>
        <v>602.28393053254172</v>
      </c>
      <c r="J113" s="126">
        <f t="shared" si="26"/>
        <v>856.39497066571244</v>
      </c>
      <c r="K113" s="126">
        <f t="shared" si="26"/>
        <v>904.99860045437151</v>
      </c>
      <c r="L113" s="46"/>
      <c r="M113" s="79">
        <f t="shared" si="27"/>
        <v>2.4703030752619108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6704.2580702284504</v>
      </c>
      <c r="H114" s="156">
        <f>SUM(H107:H113)</f>
        <v>5647.4405759847887</v>
      </c>
      <c r="I114" s="154">
        <f t="shared" ref="I114:J114" si="28">SUM(I107:I113)</f>
        <v>4144.7578404314345</v>
      </c>
      <c r="J114" s="154">
        <f t="shared" si="28"/>
        <v>3248.0398803257794</v>
      </c>
      <c r="K114" s="154">
        <f>SUM(K107:K113)</f>
        <v>2579.4756912583603</v>
      </c>
      <c r="L114" s="21"/>
      <c r="M114" s="79">
        <f t="shared" si="27"/>
        <v>-0.73038083773919482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262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 t="shared" ref="G118:K124" si="29">G$36*G45*(1-$H$73)*G97/1000</f>
        <v>371.32578297331582</v>
      </c>
      <c r="H118" s="157">
        <f t="shared" si="29"/>
        <v>293.75206945156782</v>
      </c>
      <c r="I118" s="153">
        <f t="shared" si="29"/>
        <v>33.176965171473938</v>
      </c>
      <c r="J118" s="153">
        <f t="shared" si="29"/>
        <v>0</v>
      </c>
      <c r="K118" s="153">
        <f t="shared" si="29"/>
        <v>0</v>
      </c>
      <c r="L118" s="46"/>
      <c r="M118" s="79">
        <f>(K118-G118)/H118</f>
        <v>-1.2640788664623788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si="29"/>
        <v>1099.3293235132987</v>
      </c>
      <c r="H119" s="157">
        <f t="shared" si="29"/>
        <v>945.56613222727822</v>
      </c>
      <c r="I119" s="153">
        <f t="shared" si="29"/>
        <v>751.27066226873274</v>
      </c>
      <c r="J119" s="153">
        <f t="shared" si="29"/>
        <v>335.37045092061692</v>
      </c>
      <c r="K119" s="153">
        <f t="shared" si="29"/>
        <v>114.87127559125585</v>
      </c>
      <c r="L119" s="46"/>
      <c r="M119" s="79">
        <f t="shared" ref="M119:M125" si="30">(K119-G119)/H119</f>
        <v>-1.0411308256178284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29"/>
        <v>181.34741281651108</v>
      </c>
      <c r="H120" s="157">
        <f t="shared" si="29"/>
        <v>160.819182064816</v>
      </c>
      <c r="I120" s="153">
        <f t="shared" si="29"/>
        <v>272.51506791746311</v>
      </c>
      <c r="J120" s="153">
        <f t="shared" si="29"/>
        <v>330.25419254270662</v>
      </c>
      <c r="K120" s="153">
        <f t="shared" si="29"/>
        <v>420.03507063333285</v>
      </c>
      <c r="L120" s="46"/>
      <c r="M120" s="79">
        <f t="shared" si="30"/>
        <v>1.4841989292087179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29"/>
        <v>36.855904931111965</v>
      </c>
      <c r="H121" s="157">
        <f t="shared" si="29"/>
        <v>32.683876727136848</v>
      </c>
      <c r="I121" s="153">
        <f t="shared" si="29"/>
        <v>20.334306053080514</v>
      </c>
      <c r="J121" s="153">
        <f t="shared" si="29"/>
        <v>9.8570546983630294</v>
      </c>
      <c r="K121" s="153">
        <f t="shared" si="29"/>
        <v>0</v>
      </c>
      <c r="L121" s="46"/>
      <c r="M121" s="79">
        <f t="shared" si="30"/>
        <v>-1.1276478992625485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29"/>
        <v>61.132823260783546</v>
      </c>
      <c r="H122" s="157">
        <f t="shared" si="29"/>
        <v>54.212687578066493</v>
      </c>
      <c r="I122" s="153">
        <f t="shared" si="29"/>
        <v>46.426025322369703</v>
      </c>
      <c r="J122" s="153">
        <f t="shared" si="29"/>
        <v>40.97042490055513</v>
      </c>
      <c r="K122" s="153">
        <f t="shared" si="29"/>
        <v>35.227953599348851</v>
      </c>
      <c r="L122" s="46"/>
      <c r="M122" s="79">
        <f t="shared" si="30"/>
        <v>-0.47783776858750227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29"/>
        <v>471.31739958644738</v>
      </c>
      <c r="H123" s="157">
        <f t="shared" si="29"/>
        <v>386.44861093512594</v>
      </c>
      <c r="I123" s="153">
        <f t="shared" si="29"/>
        <v>232.68422405538169</v>
      </c>
      <c r="J123" s="153">
        <f t="shared" si="29"/>
        <v>215.63938646803675</v>
      </c>
      <c r="K123" s="153">
        <f t="shared" si="29"/>
        <v>153.37116455168214</v>
      </c>
      <c r="L123" s="46"/>
      <c r="M123" s="79">
        <f t="shared" si="30"/>
        <v>-0.82273871877919524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29"/>
        <v>103.73708097755744</v>
      </c>
      <c r="H124" s="157">
        <f t="shared" si="29"/>
        <v>85.057438748107927</v>
      </c>
      <c r="I124" s="153">
        <f t="shared" si="29"/>
        <v>217.30326873366423</v>
      </c>
      <c r="J124" s="153">
        <f t="shared" si="29"/>
        <v>307.94712204462263</v>
      </c>
      <c r="K124" s="153">
        <f t="shared" si="29"/>
        <v>349.86107598217421</v>
      </c>
      <c r="L124" s="46"/>
      <c r="M124" s="79">
        <f t="shared" si="30"/>
        <v>2.8936210474606106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2325.0457280590263</v>
      </c>
      <c r="H125" s="158">
        <f>SUM(H118:H124)</f>
        <v>1958.539997732099</v>
      </c>
      <c r="I125" s="155">
        <f t="shared" ref="I125:K125" si="31">SUM(I118:I124)</f>
        <v>1573.7105195221661</v>
      </c>
      <c r="J125" s="155">
        <f t="shared" si="31"/>
        <v>1240.038631574901</v>
      </c>
      <c r="K125" s="155">
        <f t="shared" si="31"/>
        <v>1073.3665403577938</v>
      </c>
      <c r="L125" s="21"/>
      <c r="M125" s="79">
        <f t="shared" si="30"/>
        <v>-0.63908788646166048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263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1140.7847357342437</v>
      </c>
      <c r="I129" s="153">
        <f t="shared" ref="I129:K129" si="32">I107+I118</f>
        <v>129.61175552147077</v>
      </c>
      <c r="J129" s="153">
        <f t="shared" si="32"/>
        <v>0</v>
      </c>
      <c r="K129" s="153">
        <f t="shared" si="32"/>
        <v>0</v>
      </c>
      <c r="L129" s="46"/>
      <c r="M129" s="79">
        <f>(K129-G129)/H129</f>
        <v>0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5" si="33">H108+H119</f>
        <v>3672.1014843777784</v>
      </c>
      <c r="I130" s="153">
        <f t="shared" si="33"/>
        <v>2705.1486247049966</v>
      </c>
      <c r="J130" s="153">
        <f t="shared" si="33"/>
        <v>1196.8412239209474</v>
      </c>
      <c r="K130" s="153">
        <f t="shared" si="33"/>
        <v>385.03891290089814</v>
      </c>
      <c r="L130" s="46"/>
      <c r="M130" s="79">
        <f t="shared" ref="M130:M136" si="34">(K130-G130)/H130</f>
        <v>0.10485519382810339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si="33"/>
        <v>624.54051287307163</v>
      </c>
      <c r="I131" s="153">
        <f t="shared" si="33"/>
        <v>953.04644704075781</v>
      </c>
      <c r="J131" s="153">
        <f t="shared" si="33"/>
        <v>1136.6341806131086</v>
      </c>
      <c r="K131" s="153">
        <f t="shared" si="33"/>
        <v>1349.6478849859222</v>
      </c>
      <c r="L131" s="46"/>
      <c r="M131" s="79">
        <f t="shared" si="34"/>
        <v>2.1610253573097151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si="33"/>
        <v>126.92767661024014</v>
      </c>
      <c r="I132" s="153">
        <f t="shared" si="33"/>
        <v>71.113638908206198</v>
      </c>
      <c r="J132" s="153">
        <f t="shared" si="33"/>
        <v>33.924975195836865</v>
      </c>
      <c r="K132" s="153">
        <f t="shared" si="33"/>
        <v>0</v>
      </c>
      <c r="L132" s="46"/>
      <c r="M132" s="79">
        <f t="shared" si="34"/>
        <v>0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si="33"/>
        <v>210.53470904103489</v>
      </c>
      <c r="I133" s="153">
        <f t="shared" si="33"/>
        <v>162.3622459551836</v>
      </c>
      <c r="J133" s="153">
        <f t="shared" si="33"/>
        <v>141.00770372564284</v>
      </c>
      <c r="K133" s="153">
        <f t="shared" si="33"/>
        <v>113.1937221243314</v>
      </c>
      <c r="L133" s="46"/>
      <c r="M133" s="79">
        <f t="shared" si="34"/>
        <v>0.53764874514001892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si="33"/>
        <v>1500.7713046024307</v>
      </c>
      <c r="I134" s="153">
        <f t="shared" si="33"/>
        <v>877.59844855677954</v>
      </c>
      <c r="J134" s="153">
        <f t="shared" si="33"/>
        <v>815.32833573481003</v>
      </c>
      <c r="K134" s="153">
        <f t="shared" si="33"/>
        <v>550.10203516845672</v>
      </c>
      <c r="L134" s="46"/>
      <c r="M134" s="79">
        <f t="shared" si="34"/>
        <v>0.36654621092597733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si="33"/>
        <v>330.32015047808898</v>
      </c>
      <c r="I135" s="153">
        <f t="shared" si="33"/>
        <v>819.58719926620597</v>
      </c>
      <c r="J135" s="153">
        <f t="shared" si="33"/>
        <v>1164.342092710335</v>
      </c>
      <c r="K135" s="153">
        <f t="shared" si="33"/>
        <v>1254.8596764365457</v>
      </c>
      <c r="L135" s="46"/>
      <c r="M135" s="79">
        <f t="shared" si="34"/>
        <v>3.798919547052531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7605.980573716889</v>
      </c>
      <c r="I136" s="155">
        <f t="shared" ref="I136:K136" si="35">SUM(I129:I135)</f>
        <v>5718.4683599536002</v>
      </c>
      <c r="J136" s="155">
        <f t="shared" si="35"/>
        <v>4488.0785119006805</v>
      </c>
      <c r="K136" s="155">
        <f t="shared" si="35"/>
        <v>3652.8422316161541</v>
      </c>
      <c r="L136" s="21"/>
      <c r="M136" s="79">
        <f t="shared" si="34"/>
        <v>0.48025921131574545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264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énergie'!C12</f>
        <v>0</v>
      </c>
      <c r="I142" s="47">
        <v>0</v>
      </c>
      <c r="J142" s="47">
        <v>0</v>
      </c>
      <c r="K142" s="47">
        <v>0</v>
      </c>
      <c r="M142" s="334" t="s">
        <v>41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énergie'!C13</f>
        <v>0.38923402073260943</v>
      </c>
      <c r="I143" s="47">
        <v>0</v>
      </c>
      <c r="J143" s="47">
        <v>0</v>
      </c>
      <c r="K143" s="47">
        <v>0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énergie'!C14</f>
        <v>6.6076657693018501E-2</v>
      </c>
      <c r="I144" s="47">
        <v>0.3</v>
      </c>
      <c r="J144" s="47">
        <v>0.3</v>
      </c>
      <c r="K144" s="47">
        <v>0.3</v>
      </c>
      <c r="M144" s="335"/>
      <c r="N144" s="33"/>
      <c r="O144" s="42"/>
    </row>
    <row r="145" spans="1:15" s="17" customFormat="1">
      <c r="A145" s="56"/>
      <c r="C145" s="40"/>
      <c r="D145" s="32"/>
      <c r="E145" s="6" t="s">
        <v>22</v>
      </c>
      <c r="F145" s="55"/>
      <c r="G145" s="55"/>
      <c r="H145" s="55">
        <f>'Init. énergie'!C15</f>
        <v>1.4740928196769911E-2</v>
      </c>
      <c r="I145" s="47">
        <v>0</v>
      </c>
      <c r="J145" s="47">
        <v>0</v>
      </c>
      <c r="K145" s="47">
        <v>0</v>
      </c>
      <c r="M145" s="335"/>
      <c r="N145" s="33"/>
      <c r="O145" s="42"/>
    </row>
    <row r="146" spans="1:15" s="17" customFormat="1">
      <c r="A146" s="56"/>
      <c r="C146" s="40"/>
      <c r="D146" s="32"/>
      <c r="E146" s="6" t="s">
        <v>42</v>
      </c>
      <c r="F146" s="55"/>
      <c r="G146" s="55"/>
      <c r="H146" s="55">
        <f>'Init. énergie'!C16</f>
        <v>2.5736644706610589E-2</v>
      </c>
      <c r="I146" s="47">
        <v>0.06</v>
      </c>
      <c r="J146" s="47">
        <v>0.06</v>
      </c>
      <c r="K146" s="47">
        <v>0.09</v>
      </c>
      <c r="M146" s="335"/>
      <c r="N146" s="33"/>
      <c r="O146" s="42"/>
    </row>
    <row r="147" spans="1:15" s="17" customFormat="1">
      <c r="A147" s="56"/>
      <c r="C147" s="40"/>
      <c r="D147" s="32"/>
      <c r="E147" s="6" t="s">
        <v>25</v>
      </c>
      <c r="F147" s="55"/>
      <c r="G147" s="85"/>
      <c r="H147" s="55">
        <f>'Init. énergie'!C17</f>
        <v>8.0042733231366181E-2</v>
      </c>
      <c r="I147" s="47">
        <f>1-I142-I143-I144-I145-I146-I148</f>
        <v>3.9999999999999925E-2</v>
      </c>
      <c r="J147" s="47">
        <f t="shared" ref="J147:K147" si="36">1-J142-J143-J144-J145-J146-J148</f>
        <v>3.9999999999999925E-2</v>
      </c>
      <c r="K147" s="47">
        <f t="shared" si="36"/>
        <v>1.0000000000000009E-2</v>
      </c>
      <c r="M147" s="335"/>
      <c r="N147" s="33"/>
      <c r="O147" s="42"/>
    </row>
    <row r="148" spans="1:15" s="17" customFormat="1">
      <c r="A148" s="56"/>
      <c r="C148" s="40"/>
      <c r="D148" s="32"/>
      <c r="E148" s="6" t="s">
        <v>26</v>
      </c>
      <c r="F148" s="55"/>
      <c r="G148" s="85"/>
      <c r="H148" s="55">
        <f>'Init. énergie'!C18</f>
        <v>0.42416901543962537</v>
      </c>
      <c r="I148" s="47">
        <v>0.6</v>
      </c>
      <c r="J148" s="47">
        <v>0.6</v>
      </c>
      <c r="K148" s="47">
        <v>0.6</v>
      </c>
      <c r="M148" s="335"/>
      <c r="N148" s="33"/>
      <c r="O148" s="42"/>
    </row>
    <row r="149" spans="1:15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1</v>
      </c>
      <c r="I149" s="15">
        <f t="shared" ref="I149:K149" si="37">SUM(I142:I148)</f>
        <v>0.99999999999999989</v>
      </c>
      <c r="J149" s="15">
        <f t="shared" si="37"/>
        <v>0.99999999999999989</v>
      </c>
      <c r="K149" s="15">
        <f t="shared" si="37"/>
        <v>1</v>
      </c>
      <c r="M149" s="336"/>
      <c r="N149" s="33"/>
      <c r="O149" s="42"/>
    </row>
    <row r="150" spans="1:15" s="17" customFormat="1">
      <c r="A150" s="56"/>
      <c r="C150" s="40"/>
      <c r="D150" s="32"/>
      <c r="M150" s="65"/>
      <c r="N150" s="33"/>
      <c r="O150" s="42"/>
    </row>
    <row r="151" spans="1:15" s="17" customFormat="1" ht="30.75" customHeight="1">
      <c r="A151" s="56"/>
      <c r="C151" s="40"/>
      <c r="D151" s="32"/>
      <c r="F151" s="333" t="s">
        <v>265</v>
      </c>
      <c r="G151" s="333"/>
      <c r="H151" s="333"/>
      <c r="I151" s="333"/>
      <c r="J151" s="333"/>
      <c r="K151" s="333"/>
      <c r="M151" s="65"/>
      <c r="N151" s="33"/>
      <c r="O151" s="42"/>
    </row>
    <row r="152" spans="1:15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5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162.73897685256267</v>
      </c>
      <c r="J153" s="45">
        <f>K153</f>
        <v>162.73897685256267</v>
      </c>
      <c r="K153" s="45">
        <f t="shared" ref="K153:K159" si="38">K77</f>
        <v>162.73897685256267</v>
      </c>
      <c r="M153" s="334" t="s">
        <v>38</v>
      </c>
      <c r="N153" s="33"/>
      <c r="O153" s="42"/>
    </row>
    <row r="154" spans="1:15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J159" si="39">J154</f>
        <v>111.25408446474351</v>
      </c>
      <c r="J154" s="45">
        <f t="shared" si="39"/>
        <v>111.25408446474351</v>
      </c>
      <c r="K154" s="45">
        <f t="shared" si="38"/>
        <v>111.25408446474351</v>
      </c>
      <c r="M154" s="335"/>
      <c r="N154" s="33"/>
      <c r="O154" s="42"/>
    </row>
    <row r="155" spans="1:15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39"/>
        <v>95.702823252065116</v>
      </c>
      <c r="J155" s="45">
        <f t="shared" si="39"/>
        <v>95.702823252065116</v>
      </c>
      <c r="K155" s="45">
        <f t="shared" si="38"/>
        <v>95.702823252065116</v>
      </c>
      <c r="M155" s="335"/>
      <c r="N155" s="33"/>
      <c r="O155" s="42"/>
    </row>
    <row r="156" spans="1:15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39"/>
        <v>90.851675593350919</v>
      </c>
      <c r="J156" s="45">
        <f t="shared" si="39"/>
        <v>90.851675593350919</v>
      </c>
      <c r="K156" s="45">
        <f t="shared" si="38"/>
        <v>90.851675593350919</v>
      </c>
      <c r="M156" s="335"/>
      <c r="N156" s="33"/>
      <c r="O156" s="42"/>
    </row>
    <row r="157" spans="1:15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39"/>
        <v>80.265074336935342</v>
      </c>
      <c r="J157" s="45">
        <f t="shared" si="39"/>
        <v>80.265074336935342</v>
      </c>
      <c r="K157" s="45">
        <f t="shared" si="38"/>
        <v>80.265074336935342</v>
      </c>
      <c r="M157" s="335"/>
      <c r="N157" s="33"/>
      <c r="O157" s="42"/>
    </row>
    <row r="158" spans="1:15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39"/>
        <v>45.381216546491103</v>
      </c>
      <c r="J158" s="45">
        <f t="shared" si="39"/>
        <v>45.381216546491103</v>
      </c>
      <c r="K158" s="45">
        <f t="shared" si="38"/>
        <v>45.381216546491103</v>
      </c>
      <c r="M158" s="335"/>
      <c r="N158" s="33"/>
      <c r="O158" s="42"/>
    </row>
    <row r="159" spans="1:15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39"/>
        <v>33.879567831579429</v>
      </c>
      <c r="J159" s="45">
        <f t="shared" si="39"/>
        <v>33.879567831579429</v>
      </c>
      <c r="K159" s="45">
        <f t="shared" si="38"/>
        <v>33.879567831579429</v>
      </c>
      <c r="M159" s="336"/>
      <c r="N159" s="33"/>
      <c r="O159" s="42"/>
    </row>
    <row r="160" spans="1:15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266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40">I$35*I142*I153/1000</f>
        <v>0</v>
      </c>
      <c r="J163" s="10">
        <f t="shared" si="40"/>
        <v>0</v>
      </c>
      <c r="K163" s="10">
        <f t="shared" si="40"/>
        <v>0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9" si="41">H$35*H143*H154/1000</f>
        <v>0</v>
      </c>
      <c r="I164" s="10">
        <f t="shared" si="41"/>
        <v>0</v>
      </c>
      <c r="J164" s="10">
        <f t="shared" si="41"/>
        <v>0</v>
      </c>
      <c r="K164" s="10">
        <f t="shared" si="41"/>
        <v>0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si="41"/>
        <v>0</v>
      </c>
      <c r="I165" s="10">
        <f t="shared" si="41"/>
        <v>72.88025623972419</v>
      </c>
      <c r="J165" s="10">
        <f t="shared" si="41"/>
        <v>70.497022819808265</v>
      </c>
      <c r="K165" s="10">
        <f t="shared" si="41"/>
        <v>56.514352738715395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si="41"/>
        <v>0</v>
      </c>
      <c r="I166" s="10">
        <f t="shared" si="41"/>
        <v>0</v>
      </c>
      <c r="J166" s="10">
        <f t="shared" si="41"/>
        <v>0</v>
      </c>
      <c r="K166" s="10">
        <f t="shared" si="41"/>
        <v>0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si="41"/>
        <v>0</v>
      </c>
      <c r="I167" s="10">
        <f t="shared" si="41"/>
        <v>12.224799616139075</v>
      </c>
      <c r="J167" s="10">
        <f t="shared" si="41"/>
        <v>11.825040442665181</v>
      </c>
      <c r="K167" s="10">
        <f t="shared" si="41"/>
        <v>14.219419771126432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si="41"/>
        <v>0</v>
      </c>
      <c r="I168" s="10">
        <f t="shared" si="41"/>
        <v>4.6078678113358693</v>
      </c>
      <c r="J168" s="10">
        <f t="shared" si="41"/>
        <v>4.4571874332865837</v>
      </c>
      <c r="K168" s="10">
        <f t="shared" si="41"/>
        <v>0.89328262652728185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si="41"/>
        <v>0</v>
      </c>
      <c r="I169" s="10">
        <f t="shared" si="41"/>
        <v>51.600391732505031</v>
      </c>
      <c r="J169" s="10">
        <f t="shared" si="41"/>
        <v>49.91302420112374</v>
      </c>
      <c r="K169" s="10">
        <f t="shared" si="41"/>
        <v>40.013069249298226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42">SUM(I163:I169)</f>
        <v>141.31331539970415</v>
      </c>
      <c r="J170" s="11">
        <f t="shared" si="42"/>
        <v>136.69227489688376</v>
      </c>
      <c r="K170" s="11">
        <f t="shared" si="42"/>
        <v>111.64012438566733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E174" s="337" t="s">
        <v>238</v>
      </c>
      <c r="F174" s="337"/>
      <c r="G174" s="337"/>
      <c r="H174" s="337"/>
      <c r="I174" s="337"/>
      <c r="J174" s="337"/>
      <c r="K174" s="337"/>
      <c r="L174" s="337"/>
      <c r="M174" s="337"/>
    </row>
    <row r="175" spans="1:15" s="17" customFormat="1">
      <c r="A175" s="56"/>
      <c r="M175" s="65"/>
    </row>
    <row r="176" spans="1:15" s="17" customFormat="1">
      <c r="A176" s="56"/>
      <c r="E176" s="5" t="s">
        <v>20</v>
      </c>
      <c r="F176" s="4"/>
      <c r="G176" s="4"/>
      <c r="H176" s="4">
        <v>2020</v>
      </c>
      <c r="I176" s="4">
        <v>2030</v>
      </c>
      <c r="J176" s="4">
        <v>2040</v>
      </c>
      <c r="K176" s="4">
        <v>2050</v>
      </c>
      <c r="M176" s="65"/>
    </row>
    <row r="177" spans="1:13" s="17" customFormat="1">
      <c r="A177" s="56"/>
      <c r="E177" s="6" t="s">
        <v>15</v>
      </c>
      <c r="F177" s="82"/>
      <c r="G177" s="82"/>
      <c r="H177" s="10">
        <f t="shared" ref="H177:K183" si="43">H$36*($H$73*H45+(1-$H$73)*H59)+H$35*H142</f>
        <v>5351.1266721677775</v>
      </c>
      <c r="I177" s="10">
        <f t="shared" si="43"/>
        <v>653.07245975876742</v>
      </c>
      <c r="J177" s="10">
        <f t="shared" si="43"/>
        <v>0</v>
      </c>
      <c r="K177" s="10">
        <f t="shared" si="43"/>
        <v>0</v>
      </c>
      <c r="M177" s="65"/>
    </row>
    <row r="178" spans="1:13" s="17" customFormat="1">
      <c r="A178" s="56"/>
      <c r="E178" s="6" t="s">
        <v>16</v>
      </c>
      <c r="F178" s="82"/>
      <c r="G178" s="82"/>
      <c r="H178" s="10">
        <f t="shared" si="43"/>
        <v>23173.602641305006</v>
      </c>
      <c r="I178" s="10">
        <f t="shared" si="43"/>
        <v>19355.33448130246</v>
      </c>
      <c r="J178" s="10">
        <f t="shared" si="43"/>
        <v>9083.048848746339</v>
      </c>
      <c r="K178" s="10">
        <f t="shared" si="43"/>
        <v>3270.5508255391032</v>
      </c>
      <c r="M178" s="65"/>
    </row>
    <row r="179" spans="1:13" s="17" customFormat="1">
      <c r="A179" s="56"/>
      <c r="E179" s="6" t="s">
        <v>75</v>
      </c>
      <c r="F179" s="82"/>
      <c r="G179" s="82"/>
      <c r="H179" s="10">
        <f t="shared" si="43"/>
        <v>4443.941383650792</v>
      </c>
      <c r="I179" s="10">
        <f t="shared" si="43"/>
        <v>8598.3962282636639</v>
      </c>
      <c r="J179" s="10">
        <f t="shared" si="43"/>
        <v>10620.381239979108</v>
      </c>
      <c r="K179" s="10">
        <f t="shared" si="43"/>
        <v>13672.722482451294</v>
      </c>
      <c r="M179" s="65"/>
    </row>
    <row r="180" spans="1:13" s="17" customFormat="1">
      <c r="A180" s="56"/>
      <c r="E180" s="6" t="s">
        <v>22</v>
      </c>
      <c r="F180" s="82"/>
      <c r="G180" s="82"/>
      <c r="H180" s="10">
        <f t="shared" si="43"/>
        <v>951.38400363671485</v>
      </c>
      <c r="I180" s="10">
        <f t="shared" si="43"/>
        <v>615.98942955465168</v>
      </c>
      <c r="J180" s="10">
        <f t="shared" si="43"/>
        <v>310.75111312017344</v>
      </c>
      <c r="K180" s="10">
        <f t="shared" si="43"/>
        <v>0</v>
      </c>
      <c r="M180" s="65"/>
    </row>
    <row r="181" spans="1:13" s="17" customFormat="1">
      <c r="A181" s="56"/>
      <c r="E181" s="6" t="s">
        <v>42</v>
      </c>
      <c r="F181" s="82"/>
      <c r="G181" s="82"/>
      <c r="H181" s="10">
        <f t="shared" si="43"/>
        <v>1786.1977923832719</v>
      </c>
      <c r="I181" s="10">
        <f t="shared" si="43"/>
        <v>1744.1905127126252</v>
      </c>
      <c r="J181" s="10">
        <f t="shared" si="43"/>
        <v>1609.3078585196085</v>
      </c>
      <c r="K181" s="10">
        <f t="shared" si="43"/>
        <v>1485.3760843041057</v>
      </c>
      <c r="M181" s="65"/>
    </row>
    <row r="182" spans="1:13" s="17" customFormat="1">
      <c r="A182" s="56"/>
      <c r="E182" s="6" t="s">
        <v>25</v>
      </c>
      <c r="F182" s="82"/>
      <c r="G182" s="82"/>
      <c r="H182" s="10">
        <f t="shared" si="43"/>
        <v>24356.733618752474</v>
      </c>
      <c r="I182" s="10">
        <f t="shared" si="43"/>
        <v>15763.458019732823</v>
      </c>
      <c r="J182" s="10">
        <f t="shared" si="43"/>
        <v>15599.118843916876</v>
      </c>
      <c r="K182" s="10">
        <f t="shared" si="43"/>
        <v>11793.666944617264</v>
      </c>
      <c r="M182" s="65"/>
    </row>
    <row r="183" spans="1:13" s="17" customFormat="1">
      <c r="A183" s="56"/>
      <c r="E183" s="6" t="s">
        <v>26</v>
      </c>
      <c r="F183" s="82"/>
      <c r="G183" s="82"/>
      <c r="H183" s="10">
        <f t="shared" si="43"/>
        <v>7180.883303133558</v>
      </c>
      <c r="I183" s="10">
        <f t="shared" si="43"/>
        <v>21115.227215079933</v>
      </c>
      <c r="J183" s="10">
        <f t="shared" si="43"/>
        <v>31124.519444662488</v>
      </c>
      <c r="K183" s="10">
        <f t="shared" si="43"/>
        <v>37157.097441519902</v>
      </c>
      <c r="M183" s="65"/>
    </row>
    <row r="184" spans="1:13" s="17" customFormat="1">
      <c r="A184" s="56"/>
      <c r="E184" s="7" t="s">
        <v>17</v>
      </c>
      <c r="F184" s="82"/>
      <c r="G184" s="82"/>
      <c r="H184" s="10">
        <f>SUM(H177:H183)</f>
        <v>67243.869415029592</v>
      </c>
      <c r="I184" s="10">
        <f t="shared" ref="I184:K184" si="44">SUM(I177:I183)</f>
        <v>67845.668346404927</v>
      </c>
      <c r="J184" s="10">
        <f t="shared" si="44"/>
        <v>68347.127348944603</v>
      </c>
      <c r="K184" s="10">
        <f t="shared" si="44"/>
        <v>67379.41377843167</v>
      </c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1">
    <mergeCell ref="M59:M65"/>
    <mergeCell ref="F68:K68"/>
    <mergeCell ref="F75:K75"/>
    <mergeCell ref="F161:K161"/>
    <mergeCell ref="F85:G85"/>
    <mergeCell ref="M87:M93"/>
    <mergeCell ref="F95:K95"/>
    <mergeCell ref="F105:K105"/>
    <mergeCell ref="F116:K116"/>
    <mergeCell ref="F127:K127"/>
    <mergeCell ref="E138:M138"/>
    <mergeCell ref="F140:K140"/>
    <mergeCell ref="M142:M149"/>
    <mergeCell ref="F151:K151"/>
    <mergeCell ref="M153:M159"/>
    <mergeCell ref="E174:M174"/>
    <mergeCell ref="C27:O27"/>
    <mergeCell ref="C1:O1"/>
    <mergeCell ref="C3:O3"/>
    <mergeCell ref="F5:K5"/>
    <mergeCell ref="F11:K11"/>
    <mergeCell ref="F22:K22"/>
    <mergeCell ref="M77:M83"/>
    <mergeCell ref="D29:N29"/>
    <mergeCell ref="F32:K32"/>
    <mergeCell ref="D39:N39"/>
    <mergeCell ref="E41:M41"/>
    <mergeCell ref="F43:K43"/>
    <mergeCell ref="F54:K54"/>
    <mergeCell ref="F57:K57"/>
    <mergeCell ref="M45:M52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  <pageSetUpPr fitToPage="1"/>
  </sheetPr>
  <dimension ref="A1:GB1589"/>
  <sheetViews>
    <sheetView showGridLines="0" topLeftCell="A54" zoomScale="115" zoomScaleNormal="115" workbookViewId="0">
      <selection activeCell="B41" sqref="B41:M41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250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256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226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 t="shared" ref="H7:K8" si="0">H34</f>
        <v>184229.64520786435</v>
      </c>
      <c r="I7" s="10">
        <f t="shared" si="0"/>
        <v>183396.52889302961</v>
      </c>
      <c r="J7" s="10">
        <f t="shared" si="0"/>
        <v>182251.82086992491</v>
      </c>
      <c r="K7" s="10">
        <f t="shared" si="0"/>
        <v>177206.5299487029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8548.2555376449054</v>
      </c>
      <c r="J8" s="76">
        <f t="shared" si="0"/>
        <v>8509.5989406365734</v>
      </c>
      <c r="K8" s="76">
        <f t="shared" si="0"/>
        <v>8456.4844883645164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1">H36</f>
        <v>184229.64520786435</v>
      </c>
      <c r="I9" s="96">
        <f t="shared" si="1"/>
        <v>174848.27335538471</v>
      </c>
      <c r="J9" s="96">
        <f t="shared" si="1"/>
        <v>173742.22192928832</v>
      </c>
      <c r="K9" s="96">
        <f t="shared" si="1"/>
        <v>168750.04546033838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228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3424.0581411789453</v>
      </c>
      <c r="I13" s="86">
        <f t="shared" ref="I13:K13" si="2">I129+I163</f>
        <v>336.25896001992623</v>
      </c>
      <c r="J13" s="86">
        <f t="shared" si="2"/>
        <v>0</v>
      </c>
      <c r="K13" s="86">
        <f t="shared" si="2"/>
        <v>0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9" si="3">H130+H164</f>
        <v>7860.7872905325057</v>
      </c>
      <c r="I14" s="86">
        <f t="shared" si="3"/>
        <v>5829.9327422002825</v>
      </c>
      <c r="J14" s="86">
        <f t="shared" si="3"/>
        <v>2466.7935815085584</v>
      </c>
      <c r="K14" s="86">
        <f t="shared" si="3"/>
        <v>697.56818336440085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si="3"/>
        <v>389.32830220965593</v>
      </c>
      <c r="I15" s="86">
        <f t="shared" si="3"/>
        <v>1788.2294086542302</v>
      </c>
      <c r="J15" s="86">
        <f t="shared" si="3"/>
        <v>1637.535918795445</v>
      </c>
      <c r="K15" s="86">
        <f t="shared" si="3"/>
        <v>1466.9299469405187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si="3"/>
        <v>160.79190512601076</v>
      </c>
      <c r="I16" s="86">
        <f t="shared" si="3"/>
        <v>95.172609017803723</v>
      </c>
      <c r="J16" s="86">
        <f t="shared" si="3"/>
        <v>45.724867276067648</v>
      </c>
      <c r="K16" s="86">
        <f t="shared" si="3"/>
        <v>4.113305875049531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si="3"/>
        <v>140.34318919677133</v>
      </c>
      <c r="I17" s="86">
        <f t="shared" si="3"/>
        <v>210.63173598772141</v>
      </c>
      <c r="J17" s="86">
        <f t="shared" si="3"/>
        <v>278.71425579410402</v>
      </c>
      <c r="K17" s="86">
        <f t="shared" si="3"/>
        <v>329.67434155605088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si="3"/>
        <v>3469.516037445308</v>
      </c>
      <c r="I18" s="86">
        <f t="shared" si="3"/>
        <v>1871.9552060591268</v>
      </c>
      <c r="J18" s="86">
        <f t="shared" si="3"/>
        <v>2144.5730848561302</v>
      </c>
      <c r="K18" s="86">
        <f t="shared" si="3"/>
        <v>1491.7509513502748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si="3"/>
        <v>818.64485552683084</v>
      </c>
      <c r="I19" s="86">
        <f t="shared" si="3"/>
        <v>2135.9144477415966</v>
      </c>
      <c r="J19" s="86">
        <f t="shared" si="3"/>
        <v>3097.4635278586397</v>
      </c>
      <c r="K19" s="86">
        <f t="shared" si="3"/>
        <v>3717.037025536195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16263.46972121603</v>
      </c>
      <c r="I20" s="13">
        <f t="shared" ref="I20:K20" si="4">SUM(I13:I19)</f>
        <v>12268.095109680686</v>
      </c>
      <c r="J20" s="13">
        <f t="shared" si="4"/>
        <v>9670.8052360889451</v>
      </c>
      <c r="K20" s="13">
        <f t="shared" si="4"/>
        <v>7707.07375462249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-0.39962613184256091</v>
      </c>
      <c r="J23" s="188">
        <f t="shared" ref="J23:K23" si="5">J114/$G114-1</f>
        <v>-0.53663997194041846</v>
      </c>
      <c r="K23" s="188">
        <f t="shared" si="5"/>
        <v>-0.63996304441700258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-0.36552418787082519</v>
      </c>
      <c r="J24" s="188">
        <f t="shared" ref="J24:K24" si="6">J125/$G125-1</f>
        <v>-0.4878578294436382</v>
      </c>
      <c r="K24" s="188">
        <f t="shared" si="6"/>
        <v>-0.58372435020960523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257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258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184229.64520786435</v>
      </c>
      <c r="H34" s="126">
        <f>'Init. parc'!C21</f>
        <v>184229.64520786435</v>
      </c>
      <c r="I34" s="126">
        <f>'Init. parc'!D21</f>
        <v>183396.52889302961</v>
      </c>
      <c r="J34" s="126">
        <f>'Init. parc'!E21</f>
        <v>182251.82086992491</v>
      </c>
      <c r="K34" s="126">
        <f>'Init. parc'!F21</f>
        <v>177206.5299487029</v>
      </c>
      <c r="L34" s="65"/>
      <c r="M34" s="65"/>
      <c r="N34" s="65"/>
      <c r="O34" s="42"/>
    </row>
    <row r="35" spans="1:17" s="17" customFormat="1" ht="21">
      <c r="A35" s="56"/>
      <c r="C35" s="40"/>
      <c r="D35" s="32"/>
      <c r="E35" s="83" t="s">
        <v>29</v>
      </c>
      <c r="F35" s="55"/>
      <c r="G35" s="195"/>
      <c r="H35" s="126">
        <v>0</v>
      </c>
      <c r="I35" s="126">
        <f>'Init. parc'!N21</f>
        <v>8548.2555376449054</v>
      </c>
      <c r="J35" s="126">
        <f>'Init. parc'!O21</f>
        <v>8509.5989406365734</v>
      </c>
      <c r="K35" s="126">
        <f>'Init. parc'!P21</f>
        <v>8456.4844883645164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30</v>
      </c>
      <c r="F36" s="55"/>
      <c r="G36" s="195">
        <f>G34-G35</f>
        <v>184229.64520786435</v>
      </c>
      <c r="H36" s="126">
        <f>H34-H35</f>
        <v>184229.64520786435</v>
      </c>
      <c r="I36" s="126">
        <f>I34-I35</f>
        <v>174848.27335538471</v>
      </c>
      <c r="J36" s="126">
        <f>J34-J35</f>
        <v>173742.22192928832</v>
      </c>
      <c r="K36" s="126">
        <f>K34-K35</f>
        <v>168750.04546033838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0.1836452867363588</v>
      </c>
      <c r="H45" s="55">
        <f>'Init. énergie'!B21</f>
        <v>0.1836452867363588</v>
      </c>
      <c r="I45" s="47">
        <v>0.02</v>
      </c>
      <c r="J45" s="47">
        <v>0</v>
      </c>
      <c r="K45" s="47">
        <v>0</v>
      </c>
      <c r="L45" s="64"/>
      <c r="M45" s="339" t="s">
        <v>283</v>
      </c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7">H46</f>
        <v>0.39294128743187395</v>
      </c>
      <c r="H46" s="55">
        <f>'Init. énergie'!B22</f>
        <v>0.39294128743187395</v>
      </c>
      <c r="I46" s="47">
        <f>H46*0.86</f>
        <v>0.33792950719141157</v>
      </c>
      <c r="J46" s="47">
        <f>H46*0.4</f>
        <v>0.15717651497274959</v>
      </c>
      <c r="K46" s="47">
        <v>0.05</v>
      </c>
      <c r="L46" s="64"/>
      <c r="M46" s="339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7"/>
        <v>4.1639881083029275E-2</v>
      </c>
      <c r="H47" s="55">
        <f>'Init. énergie'!B23</f>
        <v>4.1639881083029275E-2</v>
      </c>
      <c r="I47" s="47">
        <v>0.22</v>
      </c>
      <c r="J47" s="47">
        <v>0.22</v>
      </c>
      <c r="K47" s="47">
        <v>0.22</v>
      </c>
      <c r="L47" s="64"/>
      <c r="M47" s="339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7"/>
        <v>1.8191868324415598E-2</v>
      </c>
      <c r="H48" s="55">
        <f>'Init. énergie'!B24</f>
        <v>1.8191868324415598E-2</v>
      </c>
      <c r="I48" s="47">
        <f t="shared" ref="I48:I51" si="8">H48+((K48-H48)/3)</f>
        <v>1.2127912216277067E-2</v>
      </c>
      <c r="J48" s="47">
        <f t="shared" ref="J48:J51" si="9">H48+((K48-H48)/3*2)</f>
        <v>6.0639561081385334E-3</v>
      </c>
      <c r="K48" s="47">
        <v>0</v>
      </c>
      <c r="L48" s="64"/>
      <c r="M48" s="339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7"/>
        <v>1.3815793734488184E-2</v>
      </c>
      <c r="H49" s="55">
        <f>'Init. énergie'!B25</f>
        <v>1.3815793734488184E-2</v>
      </c>
      <c r="I49" s="47">
        <f t="shared" si="8"/>
        <v>2.2543862489658791E-2</v>
      </c>
      <c r="J49" s="47">
        <f t="shared" si="9"/>
        <v>3.1271931244829396E-2</v>
      </c>
      <c r="K49" s="47">
        <v>0.04</v>
      </c>
      <c r="L49" s="64"/>
      <c r="M49" s="339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7"/>
        <v>0.26215626418619603</v>
      </c>
      <c r="H50" s="55">
        <f>'Init. énergie'!B26</f>
        <v>0.26215626418619603</v>
      </c>
      <c r="I50" s="47">
        <f>1-I45-I46-I47-I48-I49-I51</f>
        <v>0.15232563910022712</v>
      </c>
      <c r="J50" s="47">
        <f t="shared" ref="J50" si="10">1-J45-J46-J47-J48-J49-J51</f>
        <v>0.20295105817306985</v>
      </c>
      <c r="K50" s="47">
        <f>1-K45-K46-K47-K48-K49-K51</f>
        <v>0.15999999999999992</v>
      </c>
      <c r="L50" s="64"/>
      <c r="M50" s="339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7"/>
        <v>8.7609618503638187E-2</v>
      </c>
      <c r="H51" s="55">
        <f>'Init. énergie'!B27</f>
        <v>8.7609618503638187E-2</v>
      </c>
      <c r="I51" s="47">
        <f t="shared" si="8"/>
        <v>0.23507307900242547</v>
      </c>
      <c r="J51" s="47">
        <f t="shared" si="9"/>
        <v>0.38253653950121275</v>
      </c>
      <c r="K51" s="124">
        <v>0.53</v>
      </c>
      <c r="L51" s="64"/>
      <c r="M51" s="339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J52" si="11">SUM(G45:G51)</f>
        <v>1</v>
      </c>
      <c r="H52" s="159">
        <f t="shared" si="11"/>
        <v>1</v>
      </c>
      <c r="I52" s="165">
        <f t="shared" si="11"/>
        <v>1</v>
      </c>
      <c r="J52" s="165">
        <f t="shared" si="11"/>
        <v>1.0000000000000002</v>
      </c>
      <c r="K52" s="165">
        <f>SUM(K45:K51)</f>
        <v>1</v>
      </c>
      <c r="L52" s="63"/>
      <c r="M52" s="339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K55" si="12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-0.15523021036033474</v>
      </c>
      <c r="J55" s="152">
        <f t="shared" si="12"/>
        <v>-0.13224953946751725</v>
      </c>
      <c r="K55" s="152">
        <f t="shared" si="12"/>
        <v>-0.10449021554661743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>
        <v>2006</v>
      </c>
      <c r="G58" s="4">
        <v>2015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0.1836452867363588</v>
      </c>
      <c r="H59" s="55">
        <f>H45</f>
        <v>0.1836452867363588</v>
      </c>
      <c r="I59" s="47">
        <f>I45</f>
        <v>0.02</v>
      </c>
      <c r="J59" s="47">
        <f>J45</f>
        <v>0</v>
      </c>
      <c r="K59" s="47">
        <f>K45</f>
        <v>0</v>
      </c>
      <c r="L59" s="64"/>
      <c r="M59" s="334"/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3">H60</f>
        <v>0.39294128743187395</v>
      </c>
      <c r="H60" s="55">
        <f t="shared" ref="H60:K65" si="14">H46</f>
        <v>0.39294128743187395</v>
      </c>
      <c r="I60" s="47">
        <f t="shared" si="14"/>
        <v>0.33792950719141157</v>
      </c>
      <c r="J60" s="47">
        <f t="shared" si="14"/>
        <v>0.15717651497274959</v>
      </c>
      <c r="K60" s="47">
        <f t="shared" si="14"/>
        <v>0.05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3"/>
        <v>4.1639881083029275E-2</v>
      </c>
      <c r="H61" s="55">
        <f t="shared" si="14"/>
        <v>4.1639881083029275E-2</v>
      </c>
      <c r="I61" s="47">
        <f t="shared" si="14"/>
        <v>0.22</v>
      </c>
      <c r="J61" s="47">
        <f t="shared" si="14"/>
        <v>0.22</v>
      </c>
      <c r="K61" s="47">
        <f t="shared" si="14"/>
        <v>0.22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3"/>
        <v>1.8191868324415598E-2</v>
      </c>
      <c r="H62" s="55">
        <f t="shared" si="14"/>
        <v>1.8191868324415598E-2</v>
      </c>
      <c r="I62" s="47">
        <f t="shared" si="14"/>
        <v>1.2127912216277067E-2</v>
      </c>
      <c r="J62" s="47">
        <f t="shared" si="14"/>
        <v>6.0639561081385334E-3</v>
      </c>
      <c r="K62" s="47">
        <f t="shared" si="14"/>
        <v>0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3"/>
        <v>1.3815793734488184E-2</v>
      </c>
      <c r="H63" s="55">
        <f t="shared" si="14"/>
        <v>1.3815793734488184E-2</v>
      </c>
      <c r="I63" s="47">
        <f t="shared" si="14"/>
        <v>2.2543862489658791E-2</v>
      </c>
      <c r="J63" s="47">
        <f t="shared" si="14"/>
        <v>3.1271931244829396E-2</v>
      </c>
      <c r="K63" s="47">
        <f t="shared" si="14"/>
        <v>0.04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3"/>
        <v>0.26215626418619603</v>
      </c>
      <c r="H64" s="55">
        <f t="shared" si="14"/>
        <v>0.26215626418619603</v>
      </c>
      <c r="I64" s="47">
        <f t="shared" si="14"/>
        <v>0.15232563910022712</v>
      </c>
      <c r="J64" s="47">
        <f t="shared" si="14"/>
        <v>0.20295105817306985</v>
      </c>
      <c r="K64" s="47">
        <f t="shared" si="14"/>
        <v>0.15999999999999992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3"/>
        <v>8.7609618503638187E-2</v>
      </c>
      <c r="H65" s="55">
        <f t="shared" si="14"/>
        <v>8.7609618503638187E-2</v>
      </c>
      <c r="I65" s="47">
        <f t="shared" si="14"/>
        <v>0.23507307900242547</v>
      </c>
      <c r="J65" s="47">
        <f t="shared" si="14"/>
        <v>0.38253653950121275</v>
      </c>
      <c r="K65" s="47">
        <f t="shared" si="14"/>
        <v>0.53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15">SUM(G59:G65)</f>
        <v>1</v>
      </c>
      <c r="H66" s="159">
        <v>1</v>
      </c>
      <c r="I66" s="47">
        <f t="shared" ref="I66:J66" si="16">SUM(I59:I65)</f>
        <v>1</v>
      </c>
      <c r="J66" s="47">
        <f t="shared" si="16"/>
        <v>1.0000000000000002</v>
      </c>
      <c r="K66" s="47">
        <f>SUM(K59:K65)</f>
        <v>1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-0.15523021036033474</v>
      </c>
      <c r="J69" s="152">
        <f>(I$97*(J59-I59)+I$98*(J60-I60)+I$99*(J61-I61)+I$100*(J62-I62)+I$101*(J63-I63)+I$102*(J64-I64)+I$103*(J65-I65))/(I$97*I59+I$98*I60+I$99*I61+I$100*I62+I$101*I63+I$102*I64+I$103*I65)</f>
        <v>-0.14081978439129419</v>
      </c>
      <c r="K69" s="152">
        <f>(J$97*(K59-J59)+J$98*(K60-J60)+J$99*(K61-J61)+J$100*(K62-J62)+J$101*(K63-J63)+J$102*(K64-J64)+J$103*(K65-J65))/(J$97*J59+J$98*J60+J$99*J61+J$100*J62+J$101*J63+J$102*J64+J$103*J65)</f>
        <v>-0.11327033131411529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93" t="s">
        <v>92</v>
      </c>
      <c r="G72" s="194" t="s">
        <v>91</v>
      </c>
      <c r="H72" s="194" t="s">
        <v>35</v>
      </c>
      <c r="J72" s="296" t="s">
        <v>293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bord'!G12</f>
        <v>0.55000000000000004</v>
      </c>
      <c r="G73" s="92">
        <f>'Tableau de bord'!G25</f>
        <v>0.9</v>
      </c>
      <c r="H73" s="92">
        <f>'Tableau de bord'!G28</f>
        <v>0.65250000000000008</v>
      </c>
      <c r="J73" s="92">
        <f>'Tableau de bord'!F37</f>
        <v>0.35625000000000001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324" t="s">
        <v>311</v>
      </c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325">
        <f>'Init. énergie'!K78</f>
        <v>0.97683808360784841</v>
      </c>
      <c r="G77" s="81">
        <f>H77/F77^10</f>
        <v>127.93106011359217</v>
      </c>
      <c r="H77" s="54">
        <f>'Init. énergie'!D21</f>
        <v>101.20496711697824</v>
      </c>
      <c r="I77" s="81">
        <f>G77*(1-J$73)/(1+I$55)</f>
        <v>97.48883181920317</v>
      </c>
      <c r="J77" s="81">
        <f>G77*50%/(1+I$55)/(1+J$55)</f>
        <v>87.259511194220082</v>
      </c>
      <c r="K77" s="81">
        <f>G77*40%/(1+I$55)/(1+J$55)/(1+K$55)</f>
        <v>77.95292711177521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325">
        <f>'Init. énergie'!K77</f>
        <v>0.98504576820130418</v>
      </c>
      <c r="G78" s="81">
        <f t="shared" ref="G78:G83" si="17">H78/F78^10</f>
        <v>126.2451693219331</v>
      </c>
      <c r="H78" s="54">
        <f>'Init. énergie'!D22</f>
        <v>108.58725762596659</v>
      </c>
      <c r="I78" s="81">
        <f t="shared" ref="I78:I83" si="18">G78*(1-J$73)/(1+I$55)</f>
        <v>96.204112348359573</v>
      </c>
      <c r="J78" s="81">
        <f t="shared" ref="J78:J83" si="19">G78*50%/(1+I$55)/(1+J$55)</f>
        <v>86.109594932474224</v>
      </c>
      <c r="K78" s="81">
        <f t="shared" ref="K78:K83" si="20">G78*40%/(1+I$55)/(1+J$55)/(1+K$55)</f>
        <v>76.925654126747801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325">
        <f>'Init. énergie'!K$79</f>
        <v>0.9880584769094648</v>
      </c>
      <c r="G79" s="81">
        <f t="shared" si="17"/>
        <v>57.229571577305208</v>
      </c>
      <c r="H79" s="54">
        <f>'Init. énergie'!D23</f>
        <v>50.751277606007875</v>
      </c>
      <c r="I79" s="81">
        <f t="shared" si="18"/>
        <v>43.6113331166884</v>
      </c>
      <c r="J79" s="81">
        <f t="shared" si="19"/>
        <v>39.035277572594033</v>
      </c>
      <c r="K79" s="81">
        <f t="shared" si="20"/>
        <v>34.872005421065133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325">
        <f>'Init. énergie'!K$79</f>
        <v>0.9880584769094648</v>
      </c>
      <c r="G80" s="81">
        <f t="shared" si="17"/>
        <v>54.100449874785426</v>
      </c>
      <c r="H80" s="54">
        <f>'Init. énergie'!D24</f>
        <v>47.976367366236985</v>
      </c>
      <c r="I80" s="81">
        <f t="shared" si="18"/>
        <v>41.226811178639061</v>
      </c>
      <c r="J80" s="81">
        <f t="shared" si="19"/>
        <v>36.900959057710622</v>
      </c>
      <c r="K80" s="81">
        <f t="shared" si="20"/>
        <v>32.965320713037123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325">
        <f>'Init. énergie'!K$79</f>
        <v>0.9880584769094648</v>
      </c>
      <c r="G81" s="81">
        <f t="shared" si="17"/>
        <v>62.176962242139027</v>
      </c>
      <c r="H81" s="54">
        <f>'Init. énergie'!D25</f>
        <v>55.138631733186472</v>
      </c>
      <c r="I81" s="81">
        <f t="shared" si="18"/>
        <v>47.381452242095662</v>
      </c>
      <c r="J81" s="81">
        <f t="shared" si="19"/>
        <v>42.409805155785534</v>
      </c>
      <c r="K81" s="81">
        <f t="shared" si="20"/>
        <v>37.886625823231981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325">
        <f>'Init. énergie'!K80</f>
        <v>0.98034249346915125</v>
      </c>
      <c r="G82" s="81">
        <f t="shared" si="17"/>
        <v>87.613466979542125</v>
      </c>
      <c r="H82" s="54">
        <f>'Init. énergie'!D26</f>
        <v>71.83715823596377</v>
      </c>
      <c r="I82" s="81">
        <f t="shared" si="18"/>
        <v>66.765135377459515</v>
      </c>
      <c r="J82" s="81">
        <f t="shared" si="19"/>
        <v>59.759594705754537</v>
      </c>
      <c r="K82" s="81">
        <f t="shared" si="20"/>
        <v>53.385989292998453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325">
        <f>'Init. énergie'!K80</f>
        <v>0.98034249346915125</v>
      </c>
      <c r="G83" s="81">
        <f t="shared" si="17"/>
        <v>61.859435760411181</v>
      </c>
      <c r="H83" s="54">
        <f>'Init. énergie'!D27</f>
        <v>50.720582443629688</v>
      </c>
      <c r="I83" s="81">
        <f t="shared" si="18"/>
        <v>47.139483749472973</v>
      </c>
      <c r="J83" s="81">
        <f t="shared" si="19"/>
        <v>42.193225964131912</v>
      </c>
      <c r="K83" s="81">
        <f t="shared" si="20"/>
        <v>37.69314568897677</v>
      </c>
      <c r="M83" s="339"/>
      <c r="N83" s="33"/>
      <c r="O83" s="42"/>
      <c r="Q83" s="52"/>
      <c r="R83" s="52"/>
      <c r="V83" s="101"/>
    </row>
    <row r="84" spans="1:184" s="17" customFormat="1">
      <c r="A84" s="56"/>
      <c r="C84" s="40"/>
      <c r="D84" s="32"/>
      <c r="E84" s="128"/>
      <c r="F84" s="89"/>
      <c r="G84" s="89"/>
      <c r="H84" s="89"/>
      <c r="I84" s="89"/>
      <c r="J84" s="89"/>
      <c r="K84" s="89"/>
      <c r="M84" s="322"/>
      <c r="N84" s="33"/>
      <c r="O84" s="42"/>
      <c r="Q84" s="52"/>
      <c r="R84" s="52"/>
      <c r="V84" s="101"/>
    </row>
    <row r="85" spans="1:184" s="17" customFormat="1" ht="69" customHeight="1">
      <c r="A85" s="56"/>
      <c r="C85" s="40"/>
      <c r="D85" s="32"/>
      <c r="F85" s="333" t="s">
        <v>259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21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21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21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21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21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21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260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 t="shared" ref="G97:H103" si="22">G77</f>
        <v>127.93106011359217</v>
      </c>
      <c r="H97" s="54">
        <f t="shared" si="22"/>
        <v>101.20496711697824</v>
      </c>
      <c r="I97" s="81">
        <f>$H97*(1+$G87)^(I$96-$H$96)</f>
        <v>93.65725222465484</v>
      </c>
      <c r="J97" s="81">
        <f>$H97*(1+$G87)^(J$96-$H$96)</f>
        <v>86.672434606236521</v>
      </c>
      <c r="K97" s="81">
        <f>$H97*(1+$G87)^(K$96-$H$96)</f>
        <v>80.208534225978681</v>
      </c>
      <c r="L97" s="67"/>
      <c r="M97" s="79">
        <f>(K97-G97)/H97</f>
        <v>-0.47154331696440532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si="22"/>
        <v>126.2451693219331</v>
      </c>
      <c r="H98" s="54">
        <f t="shared" si="22"/>
        <v>108.58725762596659</v>
      </c>
      <c r="I98" s="81">
        <f t="shared" ref="I98:K103" si="23">$H98*(1+$G88)^(I$96-$H$96)</f>
        <v>103.2942772654492</v>
      </c>
      <c r="J98" s="81">
        <f t="shared" si="23"/>
        <v>98.259298089502863</v>
      </c>
      <c r="K98" s="81">
        <f t="shared" si="23"/>
        <v>93.469744081081217</v>
      </c>
      <c r="L98" s="67"/>
      <c r="M98" s="79">
        <f t="shared" ref="M98:M103" si="24">(K98-G98)/H98</f>
        <v>-0.30183491099617077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22"/>
        <v>57.229571577305208</v>
      </c>
      <c r="H99" s="54">
        <f t="shared" si="22"/>
        <v>50.751277606007875</v>
      </c>
      <c r="I99" s="81">
        <f t="shared" si="23"/>
        <v>48.766923312373116</v>
      </c>
      <c r="J99" s="81">
        <f t="shared" si="23"/>
        <v>46.860156463792165</v>
      </c>
      <c r="K99" s="81">
        <f t="shared" si="23"/>
        <v>45.027943422749146</v>
      </c>
      <c r="L99" s="67"/>
      <c r="M99" s="79">
        <f t="shared" si="24"/>
        <v>-0.24042011807623237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22"/>
        <v>54.100449874785426</v>
      </c>
      <c r="H100" s="54">
        <f t="shared" si="22"/>
        <v>47.976367366236985</v>
      </c>
      <c r="I100" s="81">
        <f t="shared" si="23"/>
        <v>46.10051093331596</v>
      </c>
      <c r="J100" s="81">
        <f t="shared" si="23"/>
        <v>44.297999723264127</v>
      </c>
      <c r="K100" s="81">
        <f t="shared" si="23"/>
        <v>42.565965967726029</v>
      </c>
      <c r="L100" s="67"/>
      <c r="M100" s="79">
        <f t="shared" si="24"/>
        <v>-0.24042011807623234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22"/>
        <v>62.176962242139027</v>
      </c>
      <c r="H101" s="54">
        <f t="shared" si="22"/>
        <v>55.138631733186472</v>
      </c>
      <c r="I101" s="81">
        <f t="shared" si="23"/>
        <v>52.982733679263553</v>
      </c>
      <c r="J101" s="81">
        <f>$H101*(1+$G91)^(J$96-$H$96)</f>
        <v>50.91113036158653</v>
      </c>
      <c r="K101" s="81">
        <f>$H101*(1+$G91)^(K$96-$H$96)</f>
        <v>48.920525890284438</v>
      </c>
      <c r="L101" s="67"/>
      <c r="M101" s="79">
        <f t="shared" si="24"/>
        <v>-0.24042011807623245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22"/>
        <v>87.613466979542125</v>
      </c>
      <c r="H102" s="54">
        <f t="shared" si="22"/>
        <v>71.83715823596377</v>
      </c>
      <c r="I102" s="81">
        <f t="shared" si="23"/>
        <v>67.266424944759962</v>
      </c>
      <c r="J102" s="81">
        <f t="shared" si="23"/>
        <v>62.986510546345542</v>
      </c>
      <c r="K102" s="81">
        <f t="shared" si="23"/>
        <v>58.97891130772738</v>
      </c>
      <c r="L102" s="67"/>
      <c r="M102" s="79">
        <f t="shared" si="24"/>
        <v>-0.39860368053199874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22"/>
        <v>61.859435760411181</v>
      </c>
      <c r="H103" s="54">
        <f t="shared" si="22"/>
        <v>50.720582443629688</v>
      </c>
      <c r="I103" s="81">
        <f t="shared" si="23"/>
        <v>47.49341894750625</v>
      </c>
      <c r="J103" s="81">
        <f t="shared" si="23"/>
        <v>44.47158795603783</v>
      </c>
      <c r="K103" s="81">
        <f t="shared" si="23"/>
        <v>41.642024919653707</v>
      </c>
      <c r="L103" s="67"/>
      <c r="M103" s="79">
        <f t="shared" si="24"/>
        <v>-0.39860368053199879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261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 t="shared" ref="G107:K113" si="25">G$36*G45*$H$73*G77/1000</f>
        <v>2824.2023958063019</v>
      </c>
      <c r="H107" s="54">
        <f t="shared" si="25"/>
        <v>2234.1979371192624</v>
      </c>
      <c r="I107" s="126">
        <f t="shared" si="25"/>
        <v>222.44708859102619</v>
      </c>
      <c r="J107" s="126">
        <f t="shared" si="25"/>
        <v>0</v>
      </c>
      <c r="K107" s="126">
        <f t="shared" si="25"/>
        <v>0</v>
      </c>
      <c r="L107" s="46"/>
      <c r="M107" s="79">
        <f>(K107-G107)/H107</f>
        <v>-1.2640788664623785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si="25"/>
        <v>5963.2424175378737</v>
      </c>
      <c r="H108" s="54">
        <f t="shared" si="25"/>
        <v>5129.163707072461</v>
      </c>
      <c r="I108" s="126">
        <f t="shared" si="25"/>
        <v>3709.0408436845182</v>
      </c>
      <c r="J108" s="126">
        <f t="shared" si="25"/>
        <v>1534.35229975125</v>
      </c>
      <c r="K108" s="126">
        <f t="shared" si="25"/>
        <v>423.51189895990558</v>
      </c>
      <c r="L108" s="46"/>
      <c r="M108" s="79">
        <f t="shared" ref="M108:M114" si="26">(K108-G108)/H108</f>
        <v>-1.0800455658959349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25"/>
        <v>286.46397047688799</v>
      </c>
      <c r="H109" s="54">
        <f t="shared" si="25"/>
        <v>254.03671719180051</v>
      </c>
      <c r="I109" s="126">
        <f t="shared" si="25"/>
        <v>1094.6213315294635</v>
      </c>
      <c r="J109" s="126">
        <f t="shared" si="25"/>
        <v>973.56698957222659</v>
      </c>
      <c r="K109" s="126">
        <f t="shared" si="25"/>
        <v>844.74186638905474</v>
      </c>
      <c r="L109" s="46"/>
      <c r="M109" s="79">
        <f t="shared" si="26"/>
        <v>2.1976267922351589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25"/>
        <v>118.30911675703432</v>
      </c>
      <c r="H110" s="54">
        <f t="shared" si="25"/>
        <v>104.91671809472203</v>
      </c>
      <c r="I110" s="126">
        <f t="shared" si="25"/>
        <v>57.043695502904001</v>
      </c>
      <c r="J110" s="126">
        <f t="shared" si="25"/>
        <v>25.367612207611252</v>
      </c>
      <c r="K110" s="126">
        <f t="shared" si="25"/>
        <v>0</v>
      </c>
      <c r="L110" s="46"/>
      <c r="M110" s="79">
        <f t="shared" si="26"/>
        <v>-1.1276478992625487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25"/>
        <v>103.26315086398851</v>
      </c>
      <c r="H111" s="54">
        <f t="shared" si="25"/>
        <v>91.573930950893313</v>
      </c>
      <c r="I111" s="126">
        <f t="shared" si="25"/>
        <v>121.86487810173935</v>
      </c>
      <c r="J111" s="126">
        <f t="shared" si="25"/>
        <v>150.35118903474822</v>
      </c>
      <c r="K111" s="126">
        <f t="shared" si="25"/>
        <v>166.86695256324086</v>
      </c>
      <c r="L111" s="46"/>
      <c r="M111" s="79">
        <f t="shared" si="26"/>
        <v>0.69456231744993013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25"/>
        <v>2761.0300769214773</v>
      </c>
      <c r="H112" s="54">
        <f t="shared" si="25"/>
        <v>2263.8592144330637</v>
      </c>
      <c r="I112" s="126">
        <f t="shared" si="25"/>
        <v>1160.2848104975837</v>
      </c>
      <c r="J112" s="126">
        <f t="shared" si="25"/>
        <v>1374.9434951239468</v>
      </c>
      <c r="K112" s="126">
        <f t="shared" si="25"/>
        <v>940.52791974247248</v>
      </c>
      <c r="L112" s="46"/>
      <c r="M112" s="79">
        <f t="shared" si="26"/>
        <v>-0.80415873282778827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25"/>
        <v>651.47503110864295</v>
      </c>
      <c r="H113" s="54">
        <f t="shared" si="25"/>
        <v>534.16576823125718</v>
      </c>
      <c r="I113" s="126">
        <f t="shared" si="25"/>
        <v>1264.2401591462929</v>
      </c>
      <c r="J113" s="126">
        <f t="shared" si="25"/>
        <v>1829.7912377440325</v>
      </c>
      <c r="K113" s="126">
        <f t="shared" si="25"/>
        <v>2199.6960107925665</v>
      </c>
      <c r="L113" s="46"/>
      <c r="M113" s="79">
        <f t="shared" si="26"/>
        <v>2.8983904843068302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12707.986159472208</v>
      </c>
      <c r="H114" s="156">
        <f>SUM(H107:H113)</f>
        <v>10611.913993093462</v>
      </c>
      <c r="I114" s="154">
        <f t="shared" ref="I114:J114" si="27">SUM(I107:I113)</f>
        <v>7629.5428070535281</v>
      </c>
      <c r="J114" s="154">
        <f t="shared" si="27"/>
        <v>5888.3728234338159</v>
      </c>
      <c r="K114" s="154">
        <f>SUM(K107:K113)</f>
        <v>4575.3446484472406</v>
      </c>
      <c r="L114" s="21"/>
      <c r="M114" s="79">
        <f t="shared" si="26"/>
        <v>-0.76636896193447512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262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 t="shared" ref="G118:K124" si="28">G$36*G45*(1-$H$73)*G97/1000</f>
        <v>1504.0771379964592</v>
      </c>
      <c r="H118" s="157">
        <f t="shared" si="28"/>
        <v>1189.8602040596832</v>
      </c>
      <c r="I118" s="153">
        <f t="shared" si="28"/>
        <v>113.81187142890008</v>
      </c>
      <c r="J118" s="153">
        <f t="shared" si="28"/>
        <v>0</v>
      </c>
      <c r="K118" s="153">
        <f t="shared" si="28"/>
        <v>0</v>
      </c>
      <c r="L118" s="46"/>
      <c r="M118" s="79">
        <f>(K118-G118)/H118</f>
        <v>-1.264078866462379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si="28"/>
        <v>3175.8264216006287</v>
      </c>
      <c r="H119" s="157">
        <f t="shared" si="28"/>
        <v>2731.6235834600452</v>
      </c>
      <c r="I119" s="153">
        <f t="shared" si="28"/>
        <v>2120.8918985157643</v>
      </c>
      <c r="J119" s="153">
        <f t="shared" si="28"/>
        <v>932.44128175730827</v>
      </c>
      <c r="K119" s="153">
        <f t="shared" si="28"/>
        <v>274.05628440449527</v>
      </c>
      <c r="L119" s="46"/>
      <c r="M119" s="79">
        <f t="shared" ref="M119:M125" si="29">(K119-G119)/H119</f>
        <v>-1.0622877012654028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28"/>
        <v>152.56127163328514</v>
      </c>
      <c r="H120" s="157">
        <f t="shared" si="28"/>
        <v>135.2915850178554</v>
      </c>
      <c r="I120" s="153">
        <f t="shared" si="28"/>
        <v>651.87480324185037</v>
      </c>
      <c r="J120" s="153">
        <f t="shared" si="28"/>
        <v>622.42437996876276</v>
      </c>
      <c r="K120" s="153">
        <f t="shared" si="28"/>
        <v>580.9028403424677</v>
      </c>
      <c r="L120" s="46"/>
      <c r="M120" s="79">
        <f t="shared" si="29"/>
        <v>3.166062166044187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28"/>
        <v>63.00753727673473</v>
      </c>
      <c r="H121" s="157">
        <f t="shared" si="28"/>
        <v>55.875187031288725</v>
      </c>
      <c r="I121" s="153">
        <f t="shared" si="28"/>
        <v>33.970969422079698</v>
      </c>
      <c r="J121" s="153">
        <f t="shared" si="28"/>
        <v>16.218113872727059</v>
      </c>
      <c r="K121" s="153">
        <f t="shared" si="28"/>
        <v>0</v>
      </c>
      <c r="L121" s="46"/>
      <c r="M121" s="79">
        <f t="shared" si="29"/>
        <v>-1.1276478992625487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28"/>
        <v>54.994551609557085</v>
      </c>
      <c r="H122" s="157">
        <f t="shared" si="28"/>
        <v>48.769258245878021</v>
      </c>
      <c r="I122" s="153">
        <f t="shared" si="28"/>
        <v>72.573629936175905</v>
      </c>
      <c r="J122" s="153">
        <f t="shared" si="28"/>
        <v>96.123067662388891</v>
      </c>
      <c r="K122" s="153">
        <f t="shared" si="28"/>
        <v>114.74923945421529</v>
      </c>
      <c r="L122" s="46"/>
      <c r="M122" s="79">
        <f t="shared" si="29"/>
        <v>1.2252531613951432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28"/>
        <v>1470.4336424984108</v>
      </c>
      <c r="H123" s="157">
        <f t="shared" si="28"/>
        <v>1205.6568230122441</v>
      </c>
      <c r="I123" s="153">
        <f t="shared" si="28"/>
        <v>622.56902953833173</v>
      </c>
      <c r="J123" s="153">
        <f t="shared" si="28"/>
        <v>771.78982611382912</v>
      </c>
      <c r="K123" s="153">
        <f t="shared" si="28"/>
        <v>553.36978441954216</v>
      </c>
      <c r="L123" s="46"/>
      <c r="M123" s="79">
        <f t="shared" si="29"/>
        <v>-0.76063423735093427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28"/>
        <v>346.95413534138447</v>
      </c>
      <c r="H124" s="157">
        <f t="shared" si="28"/>
        <v>284.47908729557366</v>
      </c>
      <c r="I124" s="153">
        <f t="shared" si="28"/>
        <v>678.34790377507272</v>
      </c>
      <c r="J124" s="153">
        <f t="shared" si="28"/>
        <v>1027.107125646475</v>
      </c>
      <c r="K124" s="153">
        <f t="shared" si="28"/>
        <v>1294.2149634580815</v>
      </c>
      <c r="L124" s="46"/>
      <c r="M124" s="79">
        <f t="shared" si="29"/>
        <v>3.3298083072535078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6767.8546979564599</v>
      </c>
      <c r="H125" s="158">
        <f>SUM(H118:H124)</f>
        <v>5651.5557281225674</v>
      </c>
      <c r="I125" s="155">
        <f t="shared" ref="I125:K125" si="30">SUM(I118:I124)</f>
        <v>4294.0401058581756</v>
      </c>
      <c r="J125" s="155">
        <f t="shared" si="30"/>
        <v>3466.1037950214914</v>
      </c>
      <c r="K125" s="155">
        <f t="shared" si="30"/>
        <v>2817.2931120788016</v>
      </c>
      <c r="L125" s="21"/>
      <c r="M125" s="79">
        <f t="shared" si="29"/>
        <v>-0.69902196420347873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263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3424.0581411789453</v>
      </c>
      <c r="I129" s="153">
        <f t="shared" ref="I129:K129" si="31">I107+I118</f>
        <v>336.25896001992623</v>
      </c>
      <c r="J129" s="153">
        <f t="shared" si="31"/>
        <v>0</v>
      </c>
      <c r="K129" s="153">
        <f t="shared" si="31"/>
        <v>0</v>
      </c>
      <c r="L129" s="46"/>
      <c r="M129" s="79">
        <f>(K129-G129)/H129</f>
        <v>0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5" si="32">H108+H119</f>
        <v>7860.7872905325057</v>
      </c>
      <c r="I130" s="153">
        <f t="shared" si="32"/>
        <v>5829.9327422002825</v>
      </c>
      <c r="J130" s="153">
        <f t="shared" si="32"/>
        <v>2466.7935815085584</v>
      </c>
      <c r="K130" s="153">
        <f t="shared" si="32"/>
        <v>697.56818336440085</v>
      </c>
      <c r="L130" s="46"/>
      <c r="M130" s="79">
        <f t="shared" ref="M130:M136" si="33">(K130-G130)/H130</f>
        <v>8.8740244148896974E-2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si="32"/>
        <v>389.32830220965593</v>
      </c>
      <c r="I131" s="153">
        <f t="shared" si="32"/>
        <v>1746.4961347713138</v>
      </c>
      <c r="J131" s="153">
        <f t="shared" si="32"/>
        <v>1595.9913695409894</v>
      </c>
      <c r="K131" s="153">
        <f t="shared" si="32"/>
        <v>1425.6447067315225</v>
      </c>
      <c r="L131" s="46"/>
      <c r="M131" s="79">
        <f t="shared" si="33"/>
        <v>3.6618059838963446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si="32"/>
        <v>160.79190512601076</v>
      </c>
      <c r="I132" s="153">
        <f t="shared" si="32"/>
        <v>91.014664924983691</v>
      </c>
      <c r="J132" s="153">
        <f t="shared" si="32"/>
        <v>41.585726080338311</v>
      </c>
      <c r="K132" s="153">
        <f t="shared" si="32"/>
        <v>0</v>
      </c>
      <c r="L132" s="46"/>
      <c r="M132" s="79">
        <f t="shared" si="33"/>
        <v>0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si="32"/>
        <v>140.34318919677133</v>
      </c>
      <c r="I133" s="153">
        <f t="shared" si="32"/>
        <v>194.43850803791526</v>
      </c>
      <c r="J133" s="153">
        <f t="shared" si="32"/>
        <v>246.47425669713709</v>
      </c>
      <c r="K133" s="153">
        <f t="shared" si="32"/>
        <v>281.61619201745611</v>
      </c>
      <c r="L133" s="46"/>
      <c r="M133" s="79">
        <f t="shared" si="33"/>
        <v>2.0066252849834401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si="32"/>
        <v>3469.516037445308</v>
      </c>
      <c r="I134" s="153">
        <f t="shared" si="32"/>
        <v>1782.8538400359155</v>
      </c>
      <c r="J134" s="153">
        <f t="shared" si="32"/>
        <v>2146.7333212377762</v>
      </c>
      <c r="K134" s="153">
        <f t="shared" si="32"/>
        <v>1493.8977041620146</v>
      </c>
      <c r="L134" s="46"/>
      <c r="M134" s="79">
        <f t="shared" si="33"/>
        <v>0.43057812329987361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si="32"/>
        <v>818.64485552683084</v>
      </c>
      <c r="I135" s="153">
        <f t="shared" si="32"/>
        <v>1942.5880629213657</v>
      </c>
      <c r="J135" s="153">
        <f t="shared" si="32"/>
        <v>2856.8983633905073</v>
      </c>
      <c r="K135" s="153">
        <f t="shared" si="32"/>
        <v>3493.910974250648</v>
      </c>
      <c r="L135" s="46"/>
      <c r="M135" s="79">
        <f t="shared" si="33"/>
        <v>4.2679202717302562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16263.46972121603</v>
      </c>
      <c r="I136" s="155">
        <f t="shared" ref="I136:K136" si="34">SUM(I129:I135)</f>
        <v>11923.582912911705</v>
      </c>
      <c r="J136" s="155">
        <f t="shared" si="34"/>
        <v>9354.4766184553082</v>
      </c>
      <c r="K136" s="155">
        <f t="shared" si="34"/>
        <v>7392.6377605260423</v>
      </c>
      <c r="L136" s="21"/>
      <c r="M136" s="79">
        <f t="shared" si="33"/>
        <v>0.45455477135252353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264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énergie'!C21</f>
        <v>4.1021151124009851E-5</v>
      </c>
      <c r="I142" s="47">
        <v>0</v>
      </c>
      <c r="J142" s="47">
        <v>0</v>
      </c>
      <c r="K142" s="47">
        <v>0</v>
      </c>
      <c r="M142" s="334" t="s">
        <v>41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énergie'!C22</f>
        <v>0.24387457929202933</v>
      </c>
      <c r="I143" s="47">
        <v>0</v>
      </c>
      <c r="J143" s="47">
        <v>0</v>
      </c>
      <c r="K143" s="47">
        <v>0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énergie'!C23</f>
        <v>3.8798739172946649E-2</v>
      </c>
      <c r="I144" s="47">
        <v>0.14000000000000001</v>
      </c>
      <c r="J144" s="47">
        <v>0.14000000000000001</v>
      </c>
      <c r="K144" s="47">
        <v>0.14000000000000001</v>
      </c>
      <c r="M144" s="335"/>
      <c r="N144" s="33"/>
      <c r="O144" s="42"/>
    </row>
    <row r="145" spans="1:15" s="17" customFormat="1">
      <c r="A145" s="56"/>
      <c r="C145" s="40"/>
      <c r="D145" s="32"/>
      <c r="E145" s="6" t="s">
        <v>22</v>
      </c>
      <c r="F145" s="55"/>
      <c r="G145" s="55"/>
      <c r="H145" s="55">
        <f>'Init. énergie'!C24</f>
        <v>1.4755157309534661E-2</v>
      </c>
      <c r="I145" s="47">
        <f t="shared" ref="I145:K145" si="35">H145</f>
        <v>1.4755157309534661E-2</v>
      </c>
      <c r="J145" s="47">
        <f t="shared" si="35"/>
        <v>1.4755157309534661E-2</v>
      </c>
      <c r="K145" s="47">
        <f t="shared" si="35"/>
        <v>1.4755157309534661E-2</v>
      </c>
      <c r="M145" s="335"/>
      <c r="N145" s="33"/>
      <c r="O145" s="42"/>
    </row>
    <row r="146" spans="1:15" s="17" customFormat="1">
      <c r="A146" s="56"/>
      <c r="C146" s="40"/>
      <c r="D146" s="32"/>
      <c r="E146" s="6" t="s">
        <v>42</v>
      </c>
      <c r="F146" s="55"/>
      <c r="G146" s="55"/>
      <c r="H146" s="55">
        <f>'Init. énergie'!C25</f>
        <v>1.1548604741342878E-2</v>
      </c>
      <c r="I146" s="47">
        <v>0.05</v>
      </c>
      <c r="J146" s="47">
        <v>0.1</v>
      </c>
      <c r="K146" s="47">
        <v>0.15</v>
      </c>
      <c r="M146" s="335"/>
      <c r="N146" s="33"/>
      <c r="O146" s="42"/>
    </row>
    <row r="147" spans="1:15" s="17" customFormat="1">
      <c r="A147" s="56"/>
      <c r="C147" s="40"/>
      <c r="D147" s="32"/>
      <c r="E147" s="6" t="s">
        <v>25</v>
      </c>
      <c r="F147" s="55"/>
      <c r="G147" s="85"/>
      <c r="H147" s="55">
        <f>'Init. énergie'!C26</f>
        <v>0.37540666329243721</v>
      </c>
      <c r="I147" s="47">
        <f>1-I142-I143-I144-I145-I146-I148</f>
        <v>0.19524484269046527</v>
      </c>
      <c r="J147" s="47">
        <f t="shared" ref="J147:K147" si="36">1-J142-J143-J144-J145-J146-J148</f>
        <v>-4.7551573095346855E-3</v>
      </c>
      <c r="K147" s="47">
        <f t="shared" si="36"/>
        <v>-4.7551573095346855E-3</v>
      </c>
      <c r="M147" s="335"/>
      <c r="N147" s="33"/>
      <c r="O147" s="42"/>
    </row>
    <row r="148" spans="1:15" s="17" customFormat="1">
      <c r="A148" s="56"/>
      <c r="C148" s="40"/>
      <c r="D148" s="32"/>
      <c r="E148" s="6" t="s">
        <v>26</v>
      </c>
      <c r="F148" s="55"/>
      <c r="G148" s="85"/>
      <c r="H148" s="55">
        <f>'Init. énergie'!C27</f>
        <v>0.31557523504058516</v>
      </c>
      <c r="I148" s="47">
        <v>0.6</v>
      </c>
      <c r="J148" s="47">
        <v>0.75</v>
      </c>
      <c r="K148" s="47">
        <v>0.7</v>
      </c>
      <c r="M148" s="335"/>
      <c r="N148" s="33"/>
      <c r="O148" s="42"/>
    </row>
    <row r="149" spans="1:15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0.99999999999999989</v>
      </c>
      <c r="I149" s="15">
        <f t="shared" ref="I149:K149" si="37">SUM(I142:I148)</f>
        <v>1</v>
      </c>
      <c r="J149" s="15">
        <f t="shared" si="37"/>
        <v>1</v>
      </c>
      <c r="K149" s="15">
        <f t="shared" si="37"/>
        <v>1</v>
      </c>
      <c r="M149" s="336"/>
      <c r="N149" s="33"/>
      <c r="O149" s="42"/>
    </row>
    <row r="150" spans="1:15" s="17" customFormat="1">
      <c r="A150" s="56"/>
      <c r="C150" s="40"/>
      <c r="D150" s="32"/>
      <c r="M150" s="65"/>
      <c r="N150" s="33"/>
      <c r="O150" s="42"/>
    </row>
    <row r="151" spans="1:15" s="17" customFormat="1" ht="30.75" customHeight="1">
      <c r="A151" s="56"/>
      <c r="C151" s="40"/>
      <c r="D151" s="32"/>
      <c r="F151" s="333" t="s">
        <v>265</v>
      </c>
      <c r="G151" s="333"/>
      <c r="H151" s="333"/>
      <c r="I151" s="333"/>
      <c r="J151" s="333"/>
      <c r="K151" s="333"/>
      <c r="M151" s="65"/>
      <c r="N151" s="33"/>
      <c r="O151" s="42"/>
    </row>
    <row r="152" spans="1:15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5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77.95292711177521</v>
      </c>
      <c r="J153" s="45">
        <f>K153</f>
        <v>77.95292711177521</v>
      </c>
      <c r="K153" s="45">
        <f t="shared" ref="K153:K159" si="38">K77</f>
        <v>77.95292711177521</v>
      </c>
      <c r="M153" s="334" t="s">
        <v>38</v>
      </c>
      <c r="N153" s="33"/>
      <c r="O153" s="42"/>
    </row>
    <row r="154" spans="1:15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J159" si="39">J154</f>
        <v>76.925654126747801</v>
      </c>
      <c r="J154" s="45">
        <f t="shared" si="39"/>
        <v>76.925654126747801</v>
      </c>
      <c r="K154" s="45">
        <f t="shared" si="38"/>
        <v>76.925654126747801</v>
      </c>
      <c r="M154" s="335"/>
      <c r="N154" s="33"/>
      <c r="O154" s="42"/>
    </row>
    <row r="155" spans="1:15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39"/>
        <v>34.872005421065133</v>
      </c>
      <c r="J155" s="45">
        <f t="shared" si="39"/>
        <v>34.872005421065133</v>
      </c>
      <c r="K155" s="45">
        <f t="shared" si="38"/>
        <v>34.872005421065133</v>
      </c>
      <c r="M155" s="335"/>
      <c r="N155" s="33"/>
      <c r="O155" s="42"/>
    </row>
    <row r="156" spans="1:15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39"/>
        <v>32.965320713037123</v>
      </c>
      <c r="J156" s="45">
        <f t="shared" si="39"/>
        <v>32.965320713037123</v>
      </c>
      <c r="K156" s="45">
        <f t="shared" si="38"/>
        <v>32.965320713037123</v>
      </c>
      <c r="M156" s="335"/>
      <c r="N156" s="33"/>
      <c r="O156" s="42"/>
    </row>
    <row r="157" spans="1:15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39"/>
        <v>37.886625823231981</v>
      </c>
      <c r="J157" s="45">
        <f t="shared" si="39"/>
        <v>37.886625823231981</v>
      </c>
      <c r="K157" s="45">
        <f t="shared" si="38"/>
        <v>37.886625823231981</v>
      </c>
      <c r="M157" s="335"/>
      <c r="N157" s="33"/>
      <c r="O157" s="42"/>
    </row>
    <row r="158" spans="1:15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39"/>
        <v>53.385989292998453</v>
      </c>
      <c r="J158" s="45">
        <f t="shared" si="39"/>
        <v>53.385989292998453</v>
      </c>
      <c r="K158" s="45">
        <f t="shared" si="38"/>
        <v>53.385989292998453</v>
      </c>
      <c r="M158" s="335"/>
      <c r="N158" s="33"/>
      <c r="O158" s="42"/>
    </row>
    <row r="159" spans="1:15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39"/>
        <v>37.69314568897677</v>
      </c>
      <c r="J159" s="45">
        <f t="shared" si="39"/>
        <v>37.69314568897677</v>
      </c>
      <c r="K159" s="45">
        <f t="shared" si="38"/>
        <v>37.69314568897677</v>
      </c>
      <c r="M159" s="336"/>
      <c r="N159" s="33"/>
      <c r="O159" s="42"/>
    </row>
    <row r="160" spans="1:15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266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40">I$35*I142*I153/1000</f>
        <v>0</v>
      </c>
      <c r="J163" s="10">
        <f t="shared" si="40"/>
        <v>0</v>
      </c>
      <c r="K163" s="10">
        <f t="shared" si="40"/>
        <v>0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9" si="41">H$35*H143*H154/1000</f>
        <v>0</v>
      </c>
      <c r="I164" s="10">
        <f t="shared" si="41"/>
        <v>0</v>
      </c>
      <c r="J164" s="10">
        <f t="shared" si="41"/>
        <v>0</v>
      </c>
      <c r="K164" s="10">
        <f t="shared" si="41"/>
        <v>0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si="41"/>
        <v>0</v>
      </c>
      <c r="I165" s="10">
        <f t="shared" si="41"/>
        <v>41.73327388291645</v>
      </c>
      <c r="J165" s="10">
        <f t="shared" si="41"/>
        <v>41.544549254455617</v>
      </c>
      <c r="K165" s="10">
        <f t="shared" si="41"/>
        <v>41.285240208996086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si="41"/>
        <v>0</v>
      </c>
      <c r="I166" s="10">
        <f t="shared" si="41"/>
        <v>4.1579440928200331</v>
      </c>
      <c r="J166" s="10">
        <f t="shared" si="41"/>
        <v>4.1391411957293363</v>
      </c>
      <c r="K166" s="10">
        <f t="shared" si="41"/>
        <v>4.113305875049531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si="41"/>
        <v>0</v>
      </c>
      <c r="I167" s="10">
        <f t="shared" si="41"/>
        <v>16.193227949806165</v>
      </c>
      <c r="J167" s="10">
        <f t="shared" si="41"/>
        <v>32.239999096966919</v>
      </c>
      <c r="K167" s="10">
        <f t="shared" si="41"/>
        <v>48.058149538594762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si="41"/>
        <v>0</v>
      </c>
      <c r="I168" s="10">
        <f t="shared" si="41"/>
        <v>89.101366023211412</v>
      </c>
      <c r="J168" s="10">
        <f t="shared" si="41"/>
        <v>-2.1602363816459516</v>
      </c>
      <c r="K168" s="10">
        <f t="shared" si="41"/>
        <v>-2.1467528117398107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si="41"/>
        <v>0</v>
      </c>
      <c r="I169" s="10">
        <f t="shared" si="41"/>
        <v>193.32638482023108</v>
      </c>
      <c r="J169" s="10">
        <f t="shared" si="41"/>
        <v>240.56516446813256</v>
      </c>
      <c r="K169" s="10">
        <f t="shared" si="41"/>
        <v>223.12605128554711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42">SUM(I163:I169)</f>
        <v>344.51219676898518</v>
      </c>
      <c r="J170" s="11">
        <f t="shared" si="42"/>
        <v>316.32861763363849</v>
      </c>
      <c r="K170" s="11">
        <f t="shared" si="42"/>
        <v>314.43599409644764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E174" s="337" t="s">
        <v>238</v>
      </c>
      <c r="F174" s="337"/>
      <c r="G174" s="337"/>
      <c r="H174" s="337"/>
      <c r="I174" s="337"/>
      <c r="J174" s="337"/>
      <c r="K174" s="337"/>
      <c r="L174" s="337"/>
      <c r="M174" s="337"/>
    </row>
    <row r="175" spans="1:15" s="17" customFormat="1">
      <c r="A175" s="56"/>
      <c r="M175" s="65"/>
    </row>
    <row r="176" spans="1:15" s="17" customFormat="1">
      <c r="A176" s="56"/>
      <c r="E176" s="5" t="s">
        <v>20</v>
      </c>
      <c r="F176" s="4"/>
      <c r="G176" s="4"/>
      <c r="H176" s="4">
        <v>2020</v>
      </c>
      <c r="I176" s="4">
        <v>2030</v>
      </c>
      <c r="J176" s="4">
        <v>2040</v>
      </c>
      <c r="K176" s="4">
        <v>2050</v>
      </c>
      <c r="M176" s="65"/>
    </row>
    <row r="177" spans="1:13" s="17" customFormat="1">
      <c r="A177" s="56"/>
      <c r="E177" s="6" t="s">
        <v>15</v>
      </c>
      <c r="F177" s="82"/>
      <c r="G177" s="82"/>
      <c r="H177" s="10">
        <f t="shared" ref="H177:K183" si="43">H$36*($H$73*H45+(1-$H$73)*H59)+H$35*H142</f>
        <v>33832.906019535898</v>
      </c>
      <c r="I177" s="10">
        <f t="shared" si="43"/>
        <v>3496.9654671076942</v>
      </c>
      <c r="J177" s="10">
        <f t="shared" si="43"/>
        <v>0</v>
      </c>
      <c r="K177" s="10">
        <f t="shared" si="43"/>
        <v>0</v>
      </c>
      <c r="M177" s="65"/>
    </row>
    <row r="178" spans="1:13" s="17" customFormat="1">
      <c r="A178" s="56"/>
      <c r="E178" s="6" t="s">
        <v>16</v>
      </c>
      <c r="F178" s="82"/>
      <c r="G178" s="82"/>
      <c r="H178" s="10">
        <f t="shared" si="43"/>
        <v>72391.433971095583</v>
      </c>
      <c r="I178" s="10">
        <f t="shared" si="43"/>
        <v>59086.39084825437</v>
      </c>
      <c r="J178" s="10">
        <f t="shared" si="43"/>
        <v>27308.196946467568</v>
      </c>
      <c r="K178" s="10">
        <f t="shared" si="43"/>
        <v>8437.5022730169203</v>
      </c>
      <c r="M178" s="65"/>
    </row>
    <row r="179" spans="1:13" s="17" customFormat="1">
      <c r="A179" s="56"/>
      <c r="E179" s="6" t="s">
        <v>75</v>
      </c>
      <c r="F179" s="82"/>
      <c r="G179" s="82"/>
      <c r="H179" s="10">
        <f t="shared" si="43"/>
        <v>7671.3005184241456</v>
      </c>
      <c r="I179" s="10">
        <f t="shared" si="43"/>
        <v>39663.375913454918</v>
      </c>
      <c r="J179" s="10">
        <f t="shared" si="43"/>
        <v>39414.632676132547</v>
      </c>
      <c r="K179" s="10">
        <f t="shared" si="43"/>
        <v>38308.91782964547</v>
      </c>
      <c r="M179" s="65"/>
    </row>
    <row r="180" spans="1:13" s="17" customFormat="1">
      <c r="A180" s="56"/>
      <c r="E180" s="6" t="s">
        <v>22</v>
      </c>
      <c r="F180" s="82"/>
      <c r="G180" s="82"/>
      <c r="H180" s="10">
        <f t="shared" si="43"/>
        <v>3351.4814470752713</v>
      </c>
      <c r="I180" s="10">
        <f t="shared" si="43"/>
        <v>2246.6753656017731</v>
      </c>
      <c r="J180" s="10">
        <f t="shared" si="43"/>
        <v>1179.1256789198108</v>
      </c>
      <c r="K180" s="10">
        <f t="shared" si="43"/>
        <v>124.77675891145817</v>
      </c>
      <c r="M180" s="65"/>
    </row>
    <row r="181" spans="1:13" s="17" customFormat="1">
      <c r="A181" s="56"/>
      <c r="E181" s="6" t="s">
        <v>42</v>
      </c>
      <c r="F181" s="82"/>
      <c r="G181" s="82"/>
      <c r="H181" s="10">
        <f t="shared" si="43"/>
        <v>2545.2787779697937</v>
      </c>
      <c r="I181" s="10">
        <f t="shared" si="43"/>
        <v>4369.1682079603088</v>
      </c>
      <c r="J181" s="10">
        <f t="shared" si="43"/>
        <v>6284.2147125602514</v>
      </c>
      <c r="K181" s="10">
        <f t="shared" si="43"/>
        <v>8018.4744916682121</v>
      </c>
      <c r="M181" s="65"/>
    </row>
    <row r="182" spans="1:13" s="17" customFormat="1">
      <c r="A182" s="56"/>
      <c r="E182" s="6" t="s">
        <v>25</v>
      </c>
      <c r="F182" s="82"/>
      <c r="G182" s="82"/>
      <c r="H182" s="10">
        <f t="shared" si="43"/>
        <v>48296.95554004205</v>
      </c>
      <c r="I182" s="10">
        <f t="shared" si="43"/>
        <v>28302.877792155567</v>
      </c>
      <c r="J182" s="10">
        <f t="shared" si="43"/>
        <v>35220.703308285629</v>
      </c>
      <c r="K182" s="10">
        <f t="shared" si="43"/>
        <v>26959.795359626318</v>
      </c>
      <c r="M182" s="65"/>
    </row>
    <row r="183" spans="1:13" s="17" customFormat="1">
      <c r="A183" s="56"/>
      <c r="E183" s="6" t="s">
        <v>26</v>
      </c>
      <c r="F183" s="82"/>
      <c r="G183" s="82"/>
      <c r="H183" s="10">
        <f t="shared" si="43"/>
        <v>16140.288933721611</v>
      </c>
      <c r="I183" s="10">
        <f t="shared" si="43"/>
        <v>46231.07529849498</v>
      </c>
      <c r="J183" s="10">
        <f t="shared" si="43"/>
        <v>72844.947547559103</v>
      </c>
      <c r="K183" s="10">
        <f t="shared" si="43"/>
        <v>95357.063235834503</v>
      </c>
      <c r="M183" s="65"/>
    </row>
    <row r="184" spans="1:13" s="17" customFormat="1">
      <c r="A184" s="56"/>
      <c r="E184" s="7" t="s">
        <v>17</v>
      </c>
      <c r="F184" s="82"/>
      <c r="G184" s="82"/>
      <c r="H184" s="10">
        <f>SUM(H177:H183)</f>
        <v>184229.64520786435</v>
      </c>
      <c r="I184" s="10">
        <f t="shared" ref="I184:K184" si="44">SUM(I177:I183)</f>
        <v>183396.52889302961</v>
      </c>
      <c r="J184" s="10">
        <f t="shared" si="44"/>
        <v>182251.82086992491</v>
      </c>
      <c r="K184" s="10">
        <f t="shared" si="44"/>
        <v>177206.5299487029</v>
      </c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1">
    <mergeCell ref="M59:M65"/>
    <mergeCell ref="F68:K68"/>
    <mergeCell ref="F75:K75"/>
    <mergeCell ref="F161:K161"/>
    <mergeCell ref="F85:G85"/>
    <mergeCell ref="M87:M93"/>
    <mergeCell ref="F95:K95"/>
    <mergeCell ref="F105:K105"/>
    <mergeCell ref="F116:K116"/>
    <mergeCell ref="F127:K127"/>
    <mergeCell ref="E138:M138"/>
    <mergeCell ref="F140:K140"/>
    <mergeCell ref="M142:M149"/>
    <mergeCell ref="F151:K151"/>
    <mergeCell ref="M153:M159"/>
    <mergeCell ref="E174:M174"/>
    <mergeCell ref="C27:O27"/>
    <mergeCell ref="C1:O1"/>
    <mergeCell ref="C3:O3"/>
    <mergeCell ref="F5:K5"/>
    <mergeCell ref="F11:K11"/>
    <mergeCell ref="F22:K22"/>
    <mergeCell ref="M77:M83"/>
    <mergeCell ref="D29:N29"/>
    <mergeCell ref="F32:K32"/>
    <mergeCell ref="D39:N39"/>
    <mergeCell ref="E41:M41"/>
    <mergeCell ref="F43:K43"/>
    <mergeCell ref="F54:K54"/>
    <mergeCell ref="F57:K57"/>
    <mergeCell ref="M45:M52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  <pageSetUpPr fitToPage="1"/>
  </sheetPr>
  <dimension ref="A1:GB1589"/>
  <sheetViews>
    <sheetView showGridLines="0" topLeftCell="A33" zoomScale="115" zoomScaleNormal="115" workbookViewId="0">
      <selection activeCell="B41" sqref="B41:M41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251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256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226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 t="shared" ref="H7:K8" si="0">H34</f>
        <v>167106.71056882737</v>
      </c>
      <c r="I7" s="10">
        <f t="shared" si="0"/>
        <v>164691.46909822503</v>
      </c>
      <c r="J7" s="10">
        <f t="shared" si="0"/>
        <v>161969.06416582453</v>
      </c>
      <c r="K7" s="10">
        <f t="shared" si="0"/>
        <v>155791.88903666596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3362.5337122163387</v>
      </c>
      <c r="J8" s="76">
        <f t="shared" si="0"/>
        <v>3313.9340429367594</v>
      </c>
      <c r="K8" s="76">
        <f t="shared" si="0"/>
        <v>3259.1536075350923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1">H36</f>
        <v>167106.71056882737</v>
      </c>
      <c r="I9" s="96">
        <f t="shared" si="1"/>
        <v>161328.9353860087</v>
      </c>
      <c r="J9" s="96">
        <f t="shared" si="1"/>
        <v>158655.13012288776</v>
      </c>
      <c r="K9" s="96">
        <f t="shared" si="1"/>
        <v>152532.73542913087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228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3589.0688094094048</v>
      </c>
      <c r="I13" s="86">
        <f t="shared" ref="I13:K13" si="2">I129+I163</f>
        <v>304.41373868944157</v>
      </c>
      <c r="J13" s="86">
        <f t="shared" si="2"/>
        <v>0</v>
      </c>
      <c r="K13" s="86">
        <f t="shared" si="2"/>
        <v>0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9" si="3">H130+H164</f>
        <v>8980.3737607899948</v>
      </c>
      <c r="I14" s="86">
        <f t="shared" si="3"/>
        <v>6134.6032135862561</v>
      </c>
      <c r="J14" s="86">
        <f t="shared" si="3"/>
        <v>2447.6472400904108</v>
      </c>
      <c r="K14" s="86">
        <f t="shared" si="3"/>
        <v>434.6185002898236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si="3"/>
        <v>1357.4109413495637</v>
      </c>
      <c r="I15" s="86">
        <f t="shared" si="3"/>
        <v>2544.5270664947402</v>
      </c>
      <c r="J15" s="86">
        <f t="shared" si="3"/>
        <v>2512.6103653001242</v>
      </c>
      <c r="K15" s="86">
        <f t="shared" si="3"/>
        <v>2368.463872021202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si="3"/>
        <v>219.64717145626702</v>
      </c>
      <c r="I16" s="86">
        <f t="shared" si="3"/>
        <v>115.61979668801277</v>
      </c>
      <c r="J16" s="86">
        <f t="shared" si="3"/>
        <v>51.029543946253767</v>
      </c>
      <c r="K16" s="86">
        <f t="shared" si="3"/>
        <v>2.4201042465238012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si="3"/>
        <v>147.47400699665445</v>
      </c>
      <c r="I17" s="86">
        <f t="shared" si="3"/>
        <v>239.891590428255</v>
      </c>
      <c r="J17" s="86">
        <f t="shared" si="3"/>
        <v>419.61329565026887</v>
      </c>
      <c r="K17" s="86">
        <f t="shared" si="3"/>
        <v>356.87228421487379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si="3"/>
        <v>870.55026304738203</v>
      </c>
      <c r="I18" s="86">
        <f t="shared" si="3"/>
        <v>804.39790110414174</v>
      </c>
      <c r="J18" s="86">
        <f t="shared" si="3"/>
        <v>1103.9825814800654</v>
      </c>
      <c r="K18" s="86">
        <f t="shared" si="3"/>
        <v>1033.9830581914439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si="3"/>
        <v>116.79726704018628</v>
      </c>
      <c r="I19" s="86">
        <f t="shared" si="3"/>
        <v>1164.905264552375</v>
      </c>
      <c r="J19" s="86">
        <f t="shared" si="3"/>
        <v>2180.5055586227172</v>
      </c>
      <c r="K19" s="86">
        <f t="shared" si="3"/>
        <v>2575.7512176990358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15281.322220089454</v>
      </c>
      <c r="I20" s="13">
        <f t="shared" ref="I20:K20" si="4">SUM(I13:I19)</f>
        <v>11308.358571543222</v>
      </c>
      <c r="J20" s="13">
        <f t="shared" si="4"/>
        <v>8715.3885850898405</v>
      </c>
      <c r="K20" s="13">
        <f t="shared" si="4"/>
        <v>6772.1090366629023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-0.38949543302774781</v>
      </c>
      <c r="J23" s="188">
        <f t="shared" ref="J23:K23" si="5">J114/$G114-1</f>
        <v>-0.53368054891651062</v>
      </c>
      <c r="K23" s="188">
        <f t="shared" si="5"/>
        <v>-0.64134040215412214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-0.2894064795145479</v>
      </c>
      <c r="J24" s="188">
        <f t="shared" ref="J24:K24" si="6">J125/$G125-1</f>
        <v>-0.40915102656221503</v>
      </c>
      <c r="K24" s="188">
        <f t="shared" si="6"/>
        <v>-0.50519175976597397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257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258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167106.71056882737</v>
      </c>
      <c r="H34" s="126">
        <f>'Init. parc'!C22</f>
        <v>167106.71056882737</v>
      </c>
      <c r="I34" s="126">
        <f>'Init. parc'!D22</f>
        <v>164691.46909822503</v>
      </c>
      <c r="J34" s="126">
        <f>'Init. parc'!E22</f>
        <v>161969.06416582453</v>
      </c>
      <c r="K34" s="126">
        <f>'Init. parc'!F22</f>
        <v>155791.88903666596</v>
      </c>
      <c r="L34" s="65"/>
      <c r="M34" s="65"/>
      <c r="N34" s="65"/>
      <c r="O34" s="42"/>
    </row>
    <row r="35" spans="1:17" s="17" customFormat="1" ht="21">
      <c r="A35" s="56"/>
      <c r="C35" s="40"/>
      <c r="D35" s="32"/>
      <c r="E35" s="83" t="s">
        <v>29</v>
      </c>
      <c r="F35" s="55"/>
      <c r="G35" s="195"/>
      <c r="H35" s="126">
        <v>0</v>
      </c>
      <c r="I35" s="126">
        <f>'Init. parc'!N22</f>
        <v>3362.5337122163387</v>
      </c>
      <c r="J35" s="126">
        <f>'Init. parc'!O22</f>
        <v>3313.9340429367594</v>
      </c>
      <c r="K35" s="126">
        <f>'Init. parc'!P22</f>
        <v>3259.1536075350923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30</v>
      </c>
      <c r="F36" s="55"/>
      <c r="G36" s="195">
        <f>G34-G35</f>
        <v>167106.71056882737</v>
      </c>
      <c r="H36" s="126">
        <f>H34-H35</f>
        <v>167106.71056882737</v>
      </c>
      <c r="I36" s="126">
        <f>I34-I35</f>
        <v>161328.9353860087</v>
      </c>
      <c r="J36" s="126">
        <f>J34-J35</f>
        <v>158655.13012288776</v>
      </c>
      <c r="K36" s="126">
        <f>K34-K35</f>
        <v>152532.73542913087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0.20223518285214698</v>
      </c>
      <c r="H45" s="55">
        <f>'Init. énergie'!B30</f>
        <v>0.20223518285214698</v>
      </c>
      <c r="I45" s="47">
        <v>0.02</v>
      </c>
      <c r="J45" s="47">
        <v>0</v>
      </c>
      <c r="K45" s="47">
        <v>0</v>
      </c>
      <c r="L45" s="64"/>
      <c r="M45" s="339" t="s">
        <v>283</v>
      </c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7">H46</f>
        <v>0.58817685192014335</v>
      </c>
      <c r="H46" s="55">
        <f>'Init. énergie'!B31</f>
        <v>0.58817685192014335</v>
      </c>
      <c r="I46" s="47">
        <f>H46*0.86</f>
        <v>0.50583209265132323</v>
      </c>
      <c r="J46" s="47">
        <f>H46*0.4</f>
        <v>0.23527074076805735</v>
      </c>
      <c r="K46" s="47">
        <v>0.05</v>
      </c>
      <c r="L46" s="64"/>
      <c r="M46" s="339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7"/>
        <v>8.4009548274215404E-2</v>
      </c>
      <c r="H47" s="55">
        <f>'Init. énergie'!B32</f>
        <v>8.4009548274215404E-2</v>
      </c>
      <c r="I47" s="47">
        <v>0.2</v>
      </c>
      <c r="J47" s="47">
        <v>0.23</v>
      </c>
      <c r="K47" s="47">
        <v>0.26</v>
      </c>
      <c r="L47" s="64"/>
      <c r="M47" s="339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7"/>
        <v>1.3320407248410885E-2</v>
      </c>
      <c r="H48" s="55">
        <f>'Init. énergie'!B33</f>
        <v>1.3320407248410885E-2</v>
      </c>
      <c r="I48" s="47">
        <f t="shared" ref="I48:I49" si="8">H48+((K48-H48)/3)</f>
        <v>8.8802714989405888E-3</v>
      </c>
      <c r="J48" s="47">
        <f t="shared" ref="J48" si="9">H48+((K48-H48)/3*2)</f>
        <v>4.4401357494702944E-3</v>
      </c>
      <c r="K48" s="47">
        <v>0</v>
      </c>
      <c r="L48" s="64"/>
      <c r="M48" s="339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7"/>
        <v>9.3630592275931179E-3</v>
      </c>
      <c r="H49" s="55">
        <f>'Init. énergie'!B34</f>
        <v>9.3630592275931179E-3</v>
      </c>
      <c r="I49" s="47">
        <f t="shared" si="8"/>
        <v>1.9575372818395415E-2</v>
      </c>
      <c r="J49" s="47">
        <v>0.04</v>
      </c>
      <c r="K49" s="47">
        <v>0.04</v>
      </c>
      <c r="L49" s="64"/>
      <c r="M49" s="339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7"/>
        <v>8.9833717887786435E-2</v>
      </c>
      <c r="H50" s="55">
        <f>'Init. énergie'!B35</f>
        <v>8.9833717887786435E-2</v>
      </c>
      <c r="I50" s="47">
        <f t="shared" ref="I50:J50" si="10">1-I45-I46-I47-I48-I49-I51</f>
        <v>9.5712263031340727E-2</v>
      </c>
      <c r="J50" s="47">
        <f t="shared" si="10"/>
        <v>0.16028912348247237</v>
      </c>
      <c r="K50" s="47">
        <f>1-K45-K46-K47-K48-K49-K51</f>
        <v>0.17999999999999994</v>
      </c>
      <c r="L50" s="64"/>
      <c r="M50" s="339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7"/>
        <v>1.3061232589703731E-2</v>
      </c>
      <c r="H51" s="55">
        <f>'Init. énergie'!B36</f>
        <v>1.3061232589703731E-2</v>
      </c>
      <c r="I51" s="47">
        <v>0.15</v>
      </c>
      <c r="J51" s="47">
        <v>0.33</v>
      </c>
      <c r="K51" s="124">
        <v>0.47</v>
      </c>
      <c r="L51" s="64"/>
      <c r="M51" s="339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J52" si="11">SUM(G45:G51)</f>
        <v>0.99999999999999978</v>
      </c>
      <c r="H52" s="159">
        <f t="shared" si="11"/>
        <v>0.99999999999999978</v>
      </c>
      <c r="I52" s="165">
        <f t="shared" si="11"/>
        <v>1</v>
      </c>
      <c r="J52" s="165">
        <f t="shared" si="11"/>
        <v>1</v>
      </c>
      <c r="K52" s="165">
        <f>SUM(K45:K51)</f>
        <v>0.99999999999999989</v>
      </c>
      <c r="L52" s="63"/>
      <c r="M52" s="339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K55" si="12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-8.1673644832992651E-2</v>
      </c>
      <c r="J55" s="152">
        <f t="shared" si="12"/>
        <v>-0.10385847000199933</v>
      </c>
      <c r="K55" s="152">
        <f t="shared" si="12"/>
        <v>-7.2670523577297516E-2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>
        <v>2006</v>
      </c>
      <c r="G58" s="4">
        <v>2015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0.20223518285214698</v>
      </c>
      <c r="H59" s="55">
        <f>H45</f>
        <v>0.20223518285214698</v>
      </c>
      <c r="I59" s="47">
        <f>I45</f>
        <v>0.02</v>
      </c>
      <c r="J59" s="47">
        <f>J45</f>
        <v>0</v>
      </c>
      <c r="K59" s="47">
        <f>K45</f>
        <v>0</v>
      </c>
      <c r="L59" s="64"/>
      <c r="M59" s="334"/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3">H60</f>
        <v>0.58817685192014335</v>
      </c>
      <c r="H60" s="55">
        <f t="shared" ref="H60:K65" si="14">H46</f>
        <v>0.58817685192014335</v>
      </c>
      <c r="I60" s="47">
        <f t="shared" si="14"/>
        <v>0.50583209265132323</v>
      </c>
      <c r="J60" s="47">
        <f t="shared" si="14"/>
        <v>0.23527074076805735</v>
      </c>
      <c r="K60" s="47">
        <f t="shared" si="14"/>
        <v>0.05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3"/>
        <v>8.4009548274215404E-2</v>
      </c>
      <c r="H61" s="55">
        <f t="shared" si="14"/>
        <v>8.4009548274215404E-2</v>
      </c>
      <c r="I61" s="47">
        <f t="shared" si="14"/>
        <v>0.2</v>
      </c>
      <c r="J61" s="47">
        <f t="shared" si="14"/>
        <v>0.23</v>
      </c>
      <c r="K61" s="47">
        <f t="shared" si="14"/>
        <v>0.26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3"/>
        <v>1.3320407248410885E-2</v>
      </c>
      <c r="H62" s="55">
        <f t="shared" si="14"/>
        <v>1.3320407248410885E-2</v>
      </c>
      <c r="I62" s="47">
        <f t="shared" si="14"/>
        <v>8.8802714989405888E-3</v>
      </c>
      <c r="J62" s="47">
        <f t="shared" si="14"/>
        <v>4.4401357494702944E-3</v>
      </c>
      <c r="K62" s="47">
        <f t="shared" si="14"/>
        <v>0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3"/>
        <v>9.3630592275931179E-3</v>
      </c>
      <c r="H63" s="55">
        <f t="shared" si="14"/>
        <v>9.3630592275931179E-3</v>
      </c>
      <c r="I63" s="47">
        <f t="shared" si="14"/>
        <v>1.9575372818395415E-2</v>
      </c>
      <c r="J63" s="47">
        <f t="shared" si="14"/>
        <v>0.04</v>
      </c>
      <c r="K63" s="47">
        <f t="shared" si="14"/>
        <v>0.04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3"/>
        <v>8.9833717887786435E-2</v>
      </c>
      <c r="H64" s="55">
        <f t="shared" si="14"/>
        <v>8.9833717887786435E-2</v>
      </c>
      <c r="I64" s="47">
        <f t="shared" si="14"/>
        <v>9.5712263031340727E-2</v>
      </c>
      <c r="J64" s="47">
        <f t="shared" si="14"/>
        <v>0.16028912348247237</v>
      </c>
      <c r="K64" s="47">
        <f t="shared" si="14"/>
        <v>0.17999999999999994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3"/>
        <v>1.3061232589703731E-2</v>
      </c>
      <c r="H65" s="55">
        <f t="shared" si="14"/>
        <v>1.3061232589703731E-2</v>
      </c>
      <c r="I65" s="47">
        <f t="shared" si="14"/>
        <v>0.15</v>
      </c>
      <c r="J65" s="47">
        <f t="shared" si="14"/>
        <v>0.33</v>
      </c>
      <c r="K65" s="47">
        <f t="shared" si="14"/>
        <v>0.47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15">SUM(G59:G65)</f>
        <v>0.99999999999999978</v>
      </c>
      <c r="H66" s="159">
        <v>1</v>
      </c>
      <c r="I66" s="47">
        <f t="shared" ref="I66:J66" si="16">SUM(I59:I65)</f>
        <v>1</v>
      </c>
      <c r="J66" s="47">
        <f t="shared" si="16"/>
        <v>1</v>
      </c>
      <c r="K66" s="47">
        <f>SUM(K59:K65)</f>
        <v>0.99999999999999989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-8.1673644832992651E-2</v>
      </c>
      <c r="J69" s="152">
        <f>(I$97*(J59-I59)+I$98*(J60-I60)+I$99*(J61-I61)+I$100*(J62-I62)+I$101*(J63-I63)+I$102*(J64-I64)+I$103*(J65-I65))/(I$97*I59+I$98*I60+I$99*I61+I$100*I62+I$101*I63+I$102*I64+I$103*I65)</f>
        <v>-0.10945697252210616</v>
      </c>
      <c r="K69" s="152">
        <f>(J$97*(K59-J59)+J$98*(K60-J60)+J$99*(K61-J61)+J$100*(K62-J62)+J$101*(K63-J63)+J$102*(K64-J64)+J$103*(K65-J65))/(J$97*J59+J$98*J60+J$99*J61+J$100*J62+J$101*J63+J$102*J64+J$103*J65)</f>
        <v>-8.1075320922156746E-2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93" t="s">
        <v>92</v>
      </c>
      <c r="G72" s="194" t="s">
        <v>91</v>
      </c>
      <c r="H72" s="194" t="s">
        <v>35</v>
      </c>
      <c r="J72" s="296" t="s">
        <v>293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bord'!H12</f>
        <v>0.85</v>
      </c>
      <c r="G73" s="92">
        <f>'Tableau de bord'!H25</f>
        <v>0.94300000000000006</v>
      </c>
      <c r="H73" s="92">
        <f>'Tableau de bord'!H28</f>
        <v>0.94300000000000006</v>
      </c>
      <c r="J73" s="92">
        <f>'Tableau de bord'!F37</f>
        <v>0.35625000000000001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324" t="s">
        <v>311</v>
      </c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325">
        <f>'Init. énergie'!K78</f>
        <v>0.97683808360784841</v>
      </c>
      <c r="G77" s="81">
        <f>H77/F77^10</f>
        <v>134.24723602134708</v>
      </c>
      <c r="H77" s="54">
        <f>'Init. énergie'!D30</f>
        <v>106.20162996399759</v>
      </c>
      <c r="I77" s="81">
        <f>G77*(1-J$73)/(1+I$55)</f>
        <v>94.107783907634328</v>
      </c>
      <c r="J77" s="81">
        <f>G77*50%/(1+I$55)/(1+J$55)</f>
        <v>81.564598835679647</v>
      </c>
      <c r="K77" s="81">
        <f>G77*40%/(1+I$55)/(1+J$55)/(1+K$55)</f>
        <v>70.365151467265761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325">
        <f>'Init. énergie'!K77</f>
        <v>0.98504576820130418</v>
      </c>
      <c r="G78" s="81">
        <f t="shared" ref="G78:G83" si="17">H78/F78^10</f>
        <v>106.22542988733015</v>
      </c>
      <c r="H78" s="54">
        <f>'Init. énergie'!D31</f>
        <v>91.367679124341691</v>
      </c>
      <c r="I78" s="81">
        <f t="shared" ref="I78:I83" si="18">G78*(1-J$73)/(1+I$55)</f>
        <v>74.46439939920127</v>
      </c>
      <c r="J78" s="81">
        <f t="shared" ref="J78:J83" si="19">G78*50%/(1+I$55)/(1+J$55)</f>
        <v>64.539388904289765</v>
      </c>
      <c r="K78" s="81">
        <f t="shared" ref="K78:K83" si="20">G78*40%/(1+I$55)/(1+J$55)/(1+K$55)</f>
        <v>55.677633932879267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325">
        <f>'Init. énergie'!K$79</f>
        <v>0.9880584769094648</v>
      </c>
      <c r="G79" s="81">
        <f t="shared" si="17"/>
        <v>109.03409439499174</v>
      </c>
      <c r="H79" s="54">
        <f>'Init. énergie'!D32</f>
        <v>96.691613105737261</v>
      </c>
      <c r="I79" s="81">
        <f t="shared" si="18"/>
        <v>76.433283082691247</v>
      </c>
      <c r="J79" s="81">
        <f t="shared" si="19"/>
        <v>66.245849317336948</v>
      </c>
      <c r="K79" s="81">
        <f t="shared" si="20"/>
        <v>57.149784193543965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325">
        <f>'Init. énergie'!K$79</f>
        <v>0.9880584769094648</v>
      </c>
      <c r="G80" s="81">
        <f t="shared" si="17"/>
        <v>111.27247214725205</v>
      </c>
      <c r="H80" s="54">
        <f>'Init. énergie'!D33</f>
        <v>98.676610154660196</v>
      </c>
      <c r="I80" s="81">
        <f t="shared" si="18"/>
        <v>78.002393747881214</v>
      </c>
      <c r="J80" s="81">
        <f t="shared" si="19"/>
        <v>67.605820582419753</v>
      </c>
      <c r="K80" s="81">
        <f t="shared" si="20"/>
        <v>58.323020933805111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325">
        <f>'Init. énergie'!K$79</f>
        <v>0.9880584769094648</v>
      </c>
      <c r="G81" s="81">
        <f t="shared" si="17"/>
        <v>106.28631124851037</v>
      </c>
      <c r="H81" s="54">
        <f>'Init. énergie'!D34</f>
        <v>94.25487452068927</v>
      </c>
      <c r="I81" s="81">
        <f t="shared" si="18"/>
        <v>74.507077447195044</v>
      </c>
      <c r="J81" s="81">
        <f t="shared" si="19"/>
        <v>64.5763785954626</v>
      </c>
      <c r="K81" s="81">
        <f t="shared" si="20"/>
        <v>55.709544654678396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325">
        <f>'Init. énergie'!K80</f>
        <v>0.98034249346915125</v>
      </c>
      <c r="G82" s="81">
        <f t="shared" si="17"/>
        <v>70.726523146875863</v>
      </c>
      <c r="H82" s="54">
        <f>'Init. énergie'!D35</f>
        <v>57.990998529575918</v>
      </c>
      <c r="I82" s="81">
        <f t="shared" si="18"/>
        <v>49.579541107171195</v>
      </c>
      <c r="J82" s="81">
        <f t="shared" si="19"/>
        <v>42.971316642973775</v>
      </c>
      <c r="K82" s="81">
        <f t="shared" si="20"/>
        <v>37.0710240409839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325">
        <f>'Init. énergie'!K80</f>
        <v>0.98034249346915125</v>
      </c>
      <c r="G83" s="81">
        <f t="shared" si="17"/>
        <v>65.264399946815729</v>
      </c>
      <c r="H83" s="54">
        <f>'Init. énergie'!D36</f>
        <v>53.512424377058124</v>
      </c>
      <c r="I83" s="81">
        <f t="shared" si="18"/>
        <v>45.750573561750763</v>
      </c>
      <c r="J83" s="81">
        <f t="shared" si="19"/>
        <v>39.652694220586461</v>
      </c>
      <c r="K83" s="81">
        <f t="shared" si="20"/>
        <v>34.208074026549475</v>
      </c>
      <c r="M83" s="339"/>
      <c r="N83" s="33"/>
      <c r="O83" s="42"/>
      <c r="Q83" s="52"/>
      <c r="R83" s="52"/>
      <c r="V83" s="101"/>
    </row>
    <row r="84" spans="1:184" s="17" customFormat="1">
      <c r="A84" s="56"/>
      <c r="C84" s="40"/>
      <c r="D84" s="32"/>
      <c r="E84" s="128"/>
      <c r="F84" s="89"/>
      <c r="G84" s="89"/>
      <c r="H84" s="89"/>
      <c r="I84" s="89"/>
      <c r="J84" s="89"/>
      <c r="K84" s="89"/>
      <c r="M84" s="322"/>
      <c r="N84" s="33"/>
      <c r="O84" s="42"/>
      <c r="Q84" s="52"/>
      <c r="R84" s="52"/>
      <c r="V84" s="101"/>
    </row>
    <row r="85" spans="1:184" s="17" customFormat="1" ht="69" customHeight="1">
      <c r="A85" s="56"/>
      <c r="C85" s="40"/>
      <c r="D85" s="32"/>
      <c r="F85" s="333" t="s">
        <v>259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21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21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21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21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21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21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260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 t="shared" ref="G97:H103" si="22">G77</f>
        <v>134.24723602134708</v>
      </c>
      <c r="H97" s="54">
        <f t="shared" si="22"/>
        <v>106.20162996399759</v>
      </c>
      <c r="I97" s="81">
        <f>$H97*(1+$G87)^(I$96-$H$96)</f>
        <v>98.281271439086709</v>
      </c>
      <c r="J97" s="81">
        <f>$H97*(1+$G87)^(J$96-$H$96)</f>
        <v>90.951601392162416</v>
      </c>
      <c r="K97" s="81">
        <f>$H97*(1+$G87)^(K$96-$H$96)</f>
        <v>84.168567161097272</v>
      </c>
      <c r="L97" s="67"/>
      <c r="M97" s="79">
        <f>(K97-G97)/H97</f>
        <v>-0.47154331696440538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si="22"/>
        <v>106.22542988733015</v>
      </c>
      <c r="H98" s="54">
        <f t="shared" si="22"/>
        <v>91.367679124341691</v>
      </c>
      <c r="I98" s="81">
        <f t="shared" ref="I98:K103" si="23">$H98*(1+$G88)^(I$96-$H$96)</f>
        <v>86.914050385903508</v>
      </c>
      <c r="J98" s="81">
        <f t="shared" si="23"/>
        <v>82.677509452802369</v>
      </c>
      <c r="K98" s="81">
        <f t="shared" si="23"/>
        <v>78.647474590907777</v>
      </c>
      <c r="L98" s="67"/>
      <c r="M98" s="79">
        <f t="shared" ref="M98:M103" si="24">(K98-G98)/H98</f>
        <v>-0.30183491099617088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22"/>
        <v>109.03409439499174</v>
      </c>
      <c r="H99" s="54">
        <f t="shared" si="22"/>
        <v>96.691613105737261</v>
      </c>
      <c r="I99" s="81">
        <f t="shared" si="23"/>
        <v>92.91101039629676</v>
      </c>
      <c r="J99" s="81">
        <f t="shared" si="23"/>
        <v>89.278227713718337</v>
      </c>
      <c r="K99" s="81">
        <f t="shared" si="23"/>
        <v>85.787485355129007</v>
      </c>
      <c r="L99" s="67"/>
      <c r="M99" s="79">
        <f t="shared" si="24"/>
        <v>-0.2404201180762324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22"/>
        <v>111.27247214725205</v>
      </c>
      <c r="H100" s="54">
        <f t="shared" si="22"/>
        <v>98.676610154660196</v>
      </c>
      <c r="I100" s="81">
        <f t="shared" si="23"/>
        <v>94.818394868695776</v>
      </c>
      <c r="J100" s="81">
        <f t="shared" si="23"/>
        <v>91.111034229739587</v>
      </c>
      <c r="K100" s="81">
        <f t="shared" si="23"/>
        <v>87.548629882506276</v>
      </c>
      <c r="L100" s="67"/>
      <c r="M100" s="79">
        <f t="shared" si="24"/>
        <v>-0.24042011807623254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22"/>
        <v>106.28631124851037</v>
      </c>
      <c r="H101" s="54">
        <f t="shared" si="22"/>
        <v>94.25487452068927</v>
      </c>
      <c r="I101" s="81">
        <f t="shared" si="23"/>
        <v>90.569547297931948</v>
      </c>
      <c r="J101" s="81">
        <f>$H101*(1+$G91)^(J$96-$H$96)</f>
        <v>87.028314869293879</v>
      </c>
      <c r="K101" s="81">
        <f>$H101*(1+$G91)^(K$96-$H$96)</f>
        <v>83.625543186985794</v>
      </c>
      <c r="L101" s="67"/>
      <c r="M101" s="79">
        <f t="shared" si="24"/>
        <v>-0.24042011807623234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22"/>
        <v>70.726523146875863</v>
      </c>
      <c r="H102" s="54">
        <f t="shared" si="22"/>
        <v>57.990998529575918</v>
      </c>
      <c r="I102" s="81">
        <f t="shared" si="23"/>
        <v>54.301245286572687</v>
      </c>
      <c r="J102" s="81">
        <f t="shared" si="23"/>
        <v>50.846257426809224</v>
      </c>
      <c r="K102" s="81">
        <f t="shared" si="23"/>
        <v>47.611097695261172</v>
      </c>
      <c r="L102" s="67"/>
      <c r="M102" s="79">
        <f t="shared" si="24"/>
        <v>-0.39860368053199879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22"/>
        <v>65.264399946815729</v>
      </c>
      <c r="H103" s="54">
        <f t="shared" si="22"/>
        <v>53.512424377058124</v>
      </c>
      <c r="I103" s="81">
        <f t="shared" si="23"/>
        <v>50.107626280927477</v>
      </c>
      <c r="J103" s="81">
        <f t="shared" si="23"/>
        <v>46.919462923558257</v>
      </c>
      <c r="K103" s="81">
        <f t="shared" si="23"/>
        <v>43.934150635930109</v>
      </c>
      <c r="L103" s="67"/>
      <c r="M103" s="79">
        <f t="shared" si="24"/>
        <v>-0.39860368053199874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261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 t="shared" ref="G107:K113" si="25">G$36*G45*$H$73*G77/1000</f>
        <v>4278.2646684152587</v>
      </c>
      <c r="H107" s="54">
        <f t="shared" si="25"/>
        <v>3384.4918872730691</v>
      </c>
      <c r="I107" s="126">
        <f t="shared" si="25"/>
        <v>286.33833999523921</v>
      </c>
      <c r="J107" s="126">
        <f t="shared" si="25"/>
        <v>0</v>
      </c>
      <c r="K107" s="126">
        <f t="shared" si="25"/>
        <v>0</v>
      </c>
      <c r="L107" s="46"/>
      <c r="M107" s="79">
        <f>(K107-G107)/H107</f>
        <v>-1.264078866462379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si="25"/>
        <v>9845.5959514648112</v>
      </c>
      <c r="H108" s="54">
        <f t="shared" si="25"/>
        <v>8468.492456424965</v>
      </c>
      <c r="I108" s="126">
        <f t="shared" si="25"/>
        <v>5730.3220631714103</v>
      </c>
      <c r="J108" s="126">
        <f t="shared" si="25"/>
        <v>2271.7397707353789</v>
      </c>
      <c r="K108" s="126">
        <f t="shared" si="25"/>
        <v>400.42900415308259</v>
      </c>
      <c r="L108" s="46"/>
      <c r="M108" s="79">
        <f t="shared" ref="M108:M114" si="26">(K108-G108)/H108</f>
        <v>-1.1153303844707059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25"/>
        <v>1443.4327454512506</v>
      </c>
      <c r="H109" s="54">
        <f t="shared" si="25"/>
        <v>1280.0385176926386</v>
      </c>
      <c r="I109" s="126">
        <f t="shared" si="25"/>
        <v>2325.6077754168186</v>
      </c>
      <c r="J109" s="126">
        <f t="shared" si="25"/>
        <v>2279.5667872261088</v>
      </c>
      <c r="K109" s="126">
        <f t="shared" si="25"/>
        <v>2137.2862618195136</v>
      </c>
      <c r="L109" s="46"/>
      <c r="M109" s="79">
        <f t="shared" si="26"/>
        <v>0.54205674811956739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25"/>
        <v>233.56664519773798</v>
      </c>
      <c r="H110" s="54">
        <f t="shared" si="25"/>
        <v>207.12728268325981</v>
      </c>
      <c r="I110" s="126">
        <f t="shared" si="25"/>
        <v>105.37998562582516</v>
      </c>
      <c r="J110" s="126">
        <f t="shared" si="25"/>
        <v>44.910319939715336</v>
      </c>
      <c r="K110" s="126">
        <f t="shared" si="25"/>
        <v>0</v>
      </c>
      <c r="L110" s="46"/>
      <c r="M110" s="79">
        <f t="shared" si="26"/>
        <v>-1.1276478992625487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25"/>
        <v>156.81972519702816</v>
      </c>
      <c r="H111" s="54">
        <f t="shared" si="25"/>
        <v>139.06798859784516</v>
      </c>
      <c r="I111" s="126">
        <f t="shared" si="25"/>
        <v>221.88683282319633</v>
      </c>
      <c r="J111" s="126">
        <f t="shared" si="25"/>
        <v>386.4554978095635</v>
      </c>
      <c r="K111" s="126">
        <f t="shared" si="25"/>
        <v>320.5268027702046</v>
      </c>
      <c r="L111" s="46"/>
      <c r="M111" s="79">
        <f t="shared" si="26"/>
        <v>1.1771729729016376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25"/>
        <v>1001.2148123388691</v>
      </c>
      <c r="H112" s="54">
        <f t="shared" si="25"/>
        <v>820.92889805368134</v>
      </c>
      <c r="I112" s="126">
        <f t="shared" si="25"/>
        <v>721.92826925911436</v>
      </c>
      <c r="J112" s="126">
        <f t="shared" si="25"/>
        <v>1030.5012598360454</v>
      </c>
      <c r="K112" s="126">
        <f t="shared" si="25"/>
        <v>959.80241773960495</v>
      </c>
      <c r="L112" s="46"/>
      <c r="M112" s="79">
        <f t="shared" si="26"/>
        <v>-5.044577514258268E-2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25"/>
        <v>134.32785993537533</v>
      </c>
      <c r="H113" s="54">
        <f t="shared" si="25"/>
        <v>110.13982281889567</v>
      </c>
      <c r="I113" s="126">
        <f t="shared" si="25"/>
        <v>1044.0270780650378</v>
      </c>
      <c r="J113" s="126">
        <f t="shared" si="25"/>
        <v>1957.7284549999051</v>
      </c>
      <c r="K113" s="126">
        <f t="shared" si="25"/>
        <v>2312.6037882611417</v>
      </c>
      <c r="L113" s="46"/>
      <c r="M113" s="79">
        <f t="shared" si="26"/>
        <v>19.777369098437116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17093.222408000333</v>
      </c>
      <c r="H114" s="156">
        <f>SUM(H107:H113)</f>
        <v>14410.286853544354</v>
      </c>
      <c r="I114" s="154">
        <f t="shared" ref="I114:J114" si="27">SUM(I107:I113)</f>
        <v>10435.490344356642</v>
      </c>
      <c r="J114" s="154">
        <f t="shared" si="27"/>
        <v>7970.9020905467169</v>
      </c>
      <c r="K114" s="154">
        <f>SUM(K107:K113)</f>
        <v>6130.6482747435475</v>
      </c>
      <c r="L114" s="21"/>
      <c r="M114" s="79">
        <f t="shared" si="26"/>
        <v>-0.76074641987854885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262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 t="shared" ref="G118:K124" si="28">G$36*G45*(1-$H$73)*G97/1000</f>
        <v>258.60136383846174</v>
      </c>
      <c r="H118" s="157">
        <f t="shared" si="28"/>
        <v>204.57692213633587</v>
      </c>
      <c r="I118" s="153">
        <f t="shared" si="28"/>
        <v>18.075398694202352</v>
      </c>
      <c r="J118" s="153">
        <f t="shared" si="28"/>
        <v>0</v>
      </c>
      <c r="K118" s="153">
        <f t="shared" si="28"/>
        <v>0</v>
      </c>
      <c r="L118" s="46"/>
      <c r="M118" s="79">
        <f>(K118-G118)/H118</f>
        <v>-1.2640788664623785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si="28"/>
        <v>595.12085814792522</v>
      </c>
      <c r="H119" s="157">
        <f t="shared" si="28"/>
        <v>511.88130436502911</v>
      </c>
      <c r="I119" s="153">
        <f t="shared" si="28"/>
        <v>404.28115041484574</v>
      </c>
      <c r="J119" s="153">
        <f t="shared" si="28"/>
        <v>175.90746935503188</v>
      </c>
      <c r="K119" s="153">
        <f t="shared" si="28"/>
        <v>34.189496136741013</v>
      </c>
      <c r="L119" s="46"/>
      <c r="M119" s="79">
        <f t="shared" ref="M119:M125" si="29">(K119-G119)/H119</f>
        <v>-1.0958231082633503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28"/>
        <v>87.24885099758346</v>
      </c>
      <c r="H120" s="157">
        <f t="shared" si="28"/>
        <v>77.372423656925051</v>
      </c>
      <c r="I120" s="153">
        <f t="shared" si="28"/>
        <v>170.87727207875136</v>
      </c>
      <c r="J120" s="153">
        <f t="shared" si="28"/>
        <v>185.69592422764674</v>
      </c>
      <c r="K120" s="153">
        <f t="shared" si="28"/>
        <v>193.92562513683998</v>
      </c>
      <c r="L120" s="46"/>
      <c r="M120" s="79">
        <f t="shared" si="29"/>
        <v>1.3787441196396935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28"/>
        <v>14.118026273882345</v>
      </c>
      <c r="H121" s="157">
        <f t="shared" si="28"/>
        <v>12.519888773007205</v>
      </c>
      <c r="I121" s="153">
        <f t="shared" si="28"/>
        <v>7.7429412929321781</v>
      </c>
      <c r="J121" s="153">
        <f t="shared" si="28"/>
        <v>3.6584422159935372</v>
      </c>
      <c r="K121" s="153">
        <f t="shared" si="28"/>
        <v>0</v>
      </c>
      <c r="L121" s="46"/>
      <c r="M121" s="79">
        <f t="shared" si="29"/>
        <v>-1.1276478992625489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28"/>
        <v>9.4790289885796355</v>
      </c>
      <c r="H122" s="157">
        <f t="shared" si="28"/>
        <v>8.4060183988092962</v>
      </c>
      <c r="I122" s="153">
        <f t="shared" si="28"/>
        <v>16.303444245333313</v>
      </c>
      <c r="J122" s="153">
        <f t="shared" si="28"/>
        <v>31.481074053516672</v>
      </c>
      <c r="K122" s="153">
        <f t="shared" si="28"/>
        <v>29.082842907251894</v>
      </c>
      <c r="L122" s="46"/>
      <c r="M122" s="79">
        <f t="shared" si="29"/>
        <v>2.3321164656800084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28"/>
        <v>60.51881686459754</v>
      </c>
      <c r="H123" s="157">
        <f t="shared" si="28"/>
        <v>49.621364993700723</v>
      </c>
      <c r="I123" s="153">
        <f t="shared" si="28"/>
        <v>47.793022606744969</v>
      </c>
      <c r="J123" s="153">
        <f t="shared" si="28"/>
        <v>73.70416343881088</v>
      </c>
      <c r="K123" s="153">
        <f t="shared" si="28"/>
        <v>74.510694934160512</v>
      </c>
      <c r="L123" s="46"/>
      <c r="M123" s="79">
        <f t="shared" si="29"/>
        <v>0.28197285728313193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28"/>
        <v>8.119499487079942</v>
      </c>
      <c r="H124" s="157">
        <f t="shared" si="28"/>
        <v>6.6574442212906115</v>
      </c>
      <c r="I124" s="153">
        <f t="shared" si="28"/>
        <v>69.116575522418188</v>
      </c>
      <c r="J124" s="153">
        <f t="shared" si="28"/>
        <v>140.02189384909724</v>
      </c>
      <c r="K124" s="153">
        <f t="shared" si="28"/>
        <v>179.53040353505205</v>
      </c>
      <c r="L124" s="46"/>
      <c r="M124" s="79">
        <f t="shared" si="29"/>
        <v>25.747253503048114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1033.20644459811</v>
      </c>
      <c r="H125" s="158">
        <f>SUM(H118:H124)</f>
        <v>871.03536654509787</v>
      </c>
      <c r="I125" s="155">
        <f t="shared" ref="I125:K125" si="30">SUM(I118:I124)</f>
        <v>734.1898048552282</v>
      </c>
      <c r="J125" s="155">
        <f t="shared" si="30"/>
        <v>610.46896714009699</v>
      </c>
      <c r="K125" s="155">
        <f t="shared" si="30"/>
        <v>511.23906265004553</v>
      </c>
      <c r="L125" s="21"/>
      <c r="M125" s="79">
        <f t="shared" si="29"/>
        <v>-0.59924935541757895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263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3589.0688094094048</v>
      </c>
      <c r="I129" s="153">
        <f t="shared" ref="I129:K129" si="31">I107+I118</f>
        <v>304.41373868944157</v>
      </c>
      <c r="J129" s="153">
        <f t="shared" si="31"/>
        <v>0</v>
      </c>
      <c r="K129" s="153">
        <f t="shared" si="31"/>
        <v>0</v>
      </c>
      <c r="L129" s="46"/>
      <c r="M129" s="79">
        <f>(K129-G129)/H129</f>
        <v>0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5" si="32">H108+H119</f>
        <v>8980.3737607899948</v>
      </c>
      <c r="I130" s="153">
        <f t="shared" si="32"/>
        <v>6134.6032135862561</v>
      </c>
      <c r="J130" s="153">
        <f t="shared" si="32"/>
        <v>2447.6472400904108</v>
      </c>
      <c r="K130" s="153">
        <f t="shared" si="32"/>
        <v>434.6185002898236</v>
      </c>
      <c r="L130" s="46"/>
      <c r="M130" s="79">
        <f t="shared" ref="M130:M136" si="33">(K130-G130)/H130</f>
        <v>4.8396482358835653E-2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si="32"/>
        <v>1357.4109413495637</v>
      </c>
      <c r="I131" s="153">
        <f t="shared" si="32"/>
        <v>2496.4850474955701</v>
      </c>
      <c r="J131" s="153">
        <f t="shared" si="32"/>
        <v>2465.2627114537554</v>
      </c>
      <c r="K131" s="153">
        <f t="shared" si="32"/>
        <v>2331.2118869563537</v>
      </c>
      <c r="L131" s="46"/>
      <c r="M131" s="79">
        <f t="shared" si="33"/>
        <v>1.7173958275587633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si="32"/>
        <v>219.64717145626702</v>
      </c>
      <c r="I132" s="153">
        <f t="shared" si="32"/>
        <v>113.12292691875733</v>
      </c>
      <c r="J132" s="153">
        <f t="shared" si="32"/>
        <v>48.568762155708875</v>
      </c>
      <c r="K132" s="153">
        <f t="shared" si="32"/>
        <v>0</v>
      </c>
      <c r="L132" s="46"/>
      <c r="M132" s="79">
        <f t="shared" si="33"/>
        <v>0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si="32"/>
        <v>147.47400699665445</v>
      </c>
      <c r="I133" s="153">
        <f t="shared" si="32"/>
        <v>238.19027706852964</v>
      </c>
      <c r="J133" s="153">
        <f t="shared" si="32"/>
        <v>417.93657186308019</v>
      </c>
      <c r="K133" s="153">
        <f t="shared" si="32"/>
        <v>349.60964567745651</v>
      </c>
      <c r="L133" s="46"/>
      <c r="M133" s="79">
        <f t="shared" si="33"/>
        <v>2.3706526512525534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si="32"/>
        <v>870.55026304738203</v>
      </c>
      <c r="I134" s="153">
        <f t="shared" si="32"/>
        <v>769.72129186585937</v>
      </c>
      <c r="J134" s="153">
        <f t="shared" si="32"/>
        <v>1104.2054232748562</v>
      </c>
      <c r="K134" s="153">
        <f t="shared" si="32"/>
        <v>1034.3131126737655</v>
      </c>
      <c r="L134" s="46"/>
      <c r="M134" s="79">
        <f t="shared" si="33"/>
        <v>1.1881141808551383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si="32"/>
        <v>116.79726704018628</v>
      </c>
      <c r="I135" s="153">
        <f t="shared" si="32"/>
        <v>1113.1436535874559</v>
      </c>
      <c r="J135" s="153">
        <f t="shared" si="32"/>
        <v>2097.7503488490024</v>
      </c>
      <c r="K135" s="153">
        <f t="shared" si="32"/>
        <v>2492.1341917961936</v>
      </c>
      <c r="L135" s="46"/>
      <c r="M135" s="79">
        <f t="shared" si="33"/>
        <v>21.337264603449395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15281.322220089454</v>
      </c>
      <c r="I136" s="155">
        <f t="shared" ref="I136:K136" si="34">SUM(I129:I135)</f>
        <v>11169.68014921187</v>
      </c>
      <c r="J136" s="155">
        <f t="shared" si="34"/>
        <v>8581.3710576868143</v>
      </c>
      <c r="K136" s="155">
        <f t="shared" si="34"/>
        <v>6641.887337393593</v>
      </c>
      <c r="L136" s="21"/>
      <c r="M136" s="79">
        <f t="shared" si="33"/>
        <v>0.43464088000591306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264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énergie'!C30</f>
        <v>5.6584972145073235E-2</v>
      </c>
      <c r="I142" s="47">
        <v>0</v>
      </c>
      <c r="J142" s="47">
        <v>0</v>
      </c>
      <c r="K142" s="47">
        <v>0</v>
      </c>
      <c r="M142" s="334" t="s">
        <v>41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énergie'!C31</f>
        <v>0.5881912261494745</v>
      </c>
      <c r="I143" s="47">
        <v>0</v>
      </c>
      <c r="J143" s="47">
        <v>0</v>
      </c>
      <c r="K143" s="47">
        <v>0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énergie'!C32</f>
        <v>8.0741361547576412E-2</v>
      </c>
      <c r="I144" s="47">
        <v>0.25</v>
      </c>
      <c r="J144" s="47">
        <v>0.25</v>
      </c>
      <c r="K144" s="47">
        <v>0.2</v>
      </c>
      <c r="M144" s="335"/>
      <c r="N144" s="33"/>
      <c r="O144" s="42"/>
    </row>
    <row r="145" spans="1:15" s="17" customFormat="1">
      <c r="A145" s="56"/>
      <c r="C145" s="40"/>
      <c r="D145" s="32"/>
      <c r="E145" s="6" t="s">
        <v>22</v>
      </c>
      <c r="F145" s="55"/>
      <c r="G145" s="55"/>
      <c r="H145" s="55">
        <f>'Init. énergie'!C33</f>
        <v>1.2731783152525081E-2</v>
      </c>
      <c r="I145" s="47">
        <f t="shared" ref="I145:K146" si="35">H145</f>
        <v>1.2731783152525081E-2</v>
      </c>
      <c r="J145" s="47">
        <f t="shared" si="35"/>
        <v>1.2731783152525081E-2</v>
      </c>
      <c r="K145" s="47">
        <f t="shared" si="35"/>
        <v>1.2731783152525081E-2</v>
      </c>
      <c r="M145" s="335"/>
      <c r="N145" s="33"/>
      <c r="O145" s="42"/>
    </row>
    <row r="146" spans="1:15" s="17" customFormat="1">
      <c r="A146" s="56"/>
      <c r="C146" s="40"/>
      <c r="D146" s="32"/>
      <c r="E146" s="6" t="s">
        <v>42</v>
      </c>
      <c r="F146" s="55"/>
      <c r="G146" s="55"/>
      <c r="H146" s="55">
        <f>'Init. énergie'!C34</f>
        <v>9.0821371602788342E-3</v>
      </c>
      <c r="I146" s="47">
        <f t="shared" si="35"/>
        <v>9.0821371602788342E-3</v>
      </c>
      <c r="J146" s="47">
        <f t="shared" si="35"/>
        <v>9.0821371602788342E-3</v>
      </c>
      <c r="K146" s="47">
        <v>0.04</v>
      </c>
      <c r="M146" s="335"/>
      <c r="N146" s="33"/>
      <c r="O146" s="42"/>
    </row>
    <row r="147" spans="1:15" s="17" customFormat="1">
      <c r="A147" s="56"/>
      <c r="C147" s="40"/>
      <c r="D147" s="32"/>
      <c r="E147" s="6" t="s">
        <v>25</v>
      </c>
      <c r="F147" s="55"/>
      <c r="G147" s="85"/>
      <c r="H147" s="55">
        <f>'Init. énergie'!C35</f>
        <v>2.1278159067402536E-2</v>
      </c>
      <c r="I147" s="47">
        <f>1-I142-I143-I144-I145-I146-I148</f>
        <v>0.27818607968719605</v>
      </c>
      <c r="J147" s="47">
        <f t="shared" ref="J147:K147" si="36">1-J142-J143-J144-J145-J146-J148</f>
        <v>-1.8139203128039183E-3</v>
      </c>
      <c r="K147" s="47">
        <f t="shared" si="36"/>
        <v>-2.7317831525250913E-3</v>
      </c>
      <c r="M147" s="335"/>
      <c r="N147" s="33"/>
      <c r="O147" s="42"/>
    </row>
    <row r="148" spans="1:15" s="17" customFormat="1">
      <c r="A148" s="56"/>
      <c r="C148" s="40"/>
      <c r="D148" s="32"/>
      <c r="E148" s="6" t="s">
        <v>26</v>
      </c>
      <c r="F148" s="55"/>
      <c r="G148" s="85"/>
      <c r="H148" s="55">
        <f>'Init. énergie'!C36</f>
        <v>0.23139036077766945</v>
      </c>
      <c r="I148" s="47">
        <v>0.45</v>
      </c>
      <c r="J148" s="47">
        <v>0.73</v>
      </c>
      <c r="K148" s="47">
        <v>0.75</v>
      </c>
      <c r="M148" s="335"/>
      <c r="N148" s="33"/>
      <c r="O148" s="42"/>
    </row>
    <row r="149" spans="1:15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1</v>
      </c>
      <c r="I149" s="15">
        <f t="shared" ref="I149:K149" si="37">SUM(I142:I148)</f>
        <v>1</v>
      </c>
      <c r="J149" s="15">
        <f t="shared" si="37"/>
        <v>1</v>
      </c>
      <c r="K149" s="15">
        <f t="shared" si="37"/>
        <v>1</v>
      </c>
      <c r="M149" s="336"/>
      <c r="N149" s="33"/>
      <c r="O149" s="42"/>
    </row>
    <row r="150" spans="1:15" s="17" customFormat="1">
      <c r="A150" s="56"/>
      <c r="C150" s="40"/>
      <c r="D150" s="32"/>
      <c r="M150" s="65"/>
      <c r="N150" s="33"/>
      <c r="O150" s="42"/>
    </row>
    <row r="151" spans="1:15" s="17" customFormat="1" ht="30.75" customHeight="1">
      <c r="A151" s="56"/>
      <c r="C151" s="40"/>
      <c r="D151" s="32"/>
      <c r="F151" s="333" t="s">
        <v>265</v>
      </c>
      <c r="G151" s="333"/>
      <c r="H151" s="333"/>
      <c r="I151" s="333"/>
      <c r="J151" s="333"/>
      <c r="K151" s="333"/>
      <c r="M151" s="65"/>
      <c r="N151" s="33"/>
      <c r="O151" s="42"/>
    </row>
    <row r="152" spans="1:15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5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70.365151467265761</v>
      </c>
      <c r="J153" s="45">
        <f>K153</f>
        <v>70.365151467265761</v>
      </c>
      <c r="K153" s="45">
        <f t="shared" ref="K153:K159" si="38">K77</f>
        <v>70.365151467265761</v>
      </c>
      <c r="M153" s="334" t="s">
        <v>38</v>
      </c>
      <c r="N153" s="33"/>
      <c r="O153" s="42"/>
    </row>
    <row r="154" spans="1:15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J159" si="39">J154</f>
        <v>55.677633932879267</v>
      </c>
      <c r="J154" s="45">
        <f t="shared" si="39"/>
        <v>55.677633932879267</v>
      </c>
      <c r="K154" s="45">
        <f t="shared" si="38"/>
        <v>55.677633932879267</v>
      </c>
      <c r="M154" s="335"/>
      <c r="N154" s="33"/>
      <c r="O154" s="42"/>
    </row>
    <row r="155" spans="1:15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39"/>
        <v>57.149784193543965</v>
      </c>
      <c r="J155" s="45">
        <f t="shared" si="39"/>
        <v>57.149784193543965</v>
      </c>
      <c r="K155" s="45">
        <f t="shared" si="38"/>
        <v>57.149784193543965</v>
      </c>
      <c r="M155" s="335"/>
      <c r="N155" s="33"/>
      <c r="O155" s="42"/>
    </row>
    <row r="156" spans="1:15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39"/>
        <v>58.323020933805111</v>
      </c>
      <c r="J156" s="45">
        <f t="shared" si="39"/>
        <v>58.323020933805111</v>
      </c>
      <c r="K156" s="45">
        <f t="shared" si="38"/>
        <v>58.323020933805111</v>
      </c>
      <c r="M156" s="335"/>
      <c r="N156" s="33"/>
      <c r="O156" s="42"/>
    </row>
    <row r="157" spans="1:15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39"/>
        <v>55.709544654678396</v>
      </c>
      <c r="J157" s="45">
        <f t="shared" si="39"/>
        <v>55.709544654678396</v>
      </c>
      <c r="K157" s="45">
        <f t="shared" si="38"/>
        <v>55.709544654678396</v>
      </c>
      <c r="M157" s="335"/>
      <c r="N157" s="33"/>
      <c r="O157" s="42"/>
    </row>
    <row r="158" spans="1:15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39"/>
        <v>37.0710240409839</v>
      </c>
      <c r="J158" s="45">
        <f t="shared" si="39"/>
        <v>37.0710240409839</v>
      </c>
      <c r="K158" s="45">
        <f t="shared" si="38"/>
        <v>37.0710240409839</v>
      </c>
      <c r="M158" s="335"/>
      <c r="N158" s="33"/>
      <c r="O158" s="42"/>
    </row>
    <row r="159" spans="1:15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39"/>
        <v>34.208074026549475</v>
      </c>
      <c r="J159" s="45">
        <f t="shared" si="39"/>
        <v>34.208074026549475</v>
      </c>
      <c r="K159" s="45">
        <f t="shared" si="38"/>
        <v>34.208074026549475</v>
      </c>
      <c r="M159" s="336"/>
      <c r="N159" s="33"/>
      <c r="O159" s="42"/>
    </row>
    <row r="160" spans="1:15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266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40">I$35*I142*I153/1000</f>
        <v>0</v>
      </c>
      <c r="J163" s="10">
        <f t="shared" si="40"/>
        <v>0</v>
      </c>
      <c r="K163" s="10">
        <f t="shared" si="40"/>
        <v>0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9" si="41">H$35*H143*H154/1000</f>
        <v>0</v>
      </c>
      <c r="I164" s="10">
        <f t="shared" si="41"/>
        <v>0</v>
      </c>
      <c r="J164" s="10">
        <f t="shared" si="41"/>
        <v>0</v>
      </c>
      <c r="K164" s="10">
        <f t="shared" si="41"/>
        <v>0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si="41"/>
        <v>0</v>
      </c>
      <c r="I165" s="10">
        <f t="shared" si="41"/>
        <v>48.042018999170011</v>
      </c>
      <c r="J165" s="10">
        <f t="shared" si="41"/>
        <v>47.347653846368615</v>
      </c>
      <c r="K165" s="10">
        <f t="shared" si="41"/>
        <v>37.251985064848164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si="41"/>
        <v>0</v>
      </c>
      <c r="I166" s="10">
        <f t="shared" si="41"/>
        <v>2.4968697692554467</v>
      </c>
      <c r="J166" s="10">
        <f t="shared" si="41"/>
        <v>2.460781790544889</v>
      </c>
      <c r="K166" s="10">
        <f t="shared" si="41"/>
        <v>2.4201042465238012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si="41"/>
        <v>0</v>
      </c>
      <c r="I167" s="10">
        <f t="shared" si="41"/>
        <v>1.7013133597253534</v>
      </c>
      <c r="J167" s="10">
        <f t="shared" si="41"/>
        <v>1.6767237871886713</v>
      </c>
      <c r="K167" s="10">
        <f t="shared" si="41"/>
        <v>7.2626385374172973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si="41"/>
        <v>0</v>
      </c>
      <c r="I168" s="10">
        <f t="shared" si="41"/>
        <v>34.676609238282317</v>
      </c>
      <c r="J168" s="10">
        <f t="shared" si="41"/>
        <v>-0.22284179479072741</v>
      </c>
      <c r="K168" s="10">
        <f t="shared" si="41"/>
        <v>-0.33005448232175172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si="41"/>
        <v>0</v>
      </c>
      <c r="I169" s="10">
        <f t="shared" si="41"/>
        <v>51.761610964919129</v>
      </c>
      <c r="J169" s="10">
        <f t="shared" si="41"/>
        <v>82.755209773714625</v>
      </c>
      <c r="K169" s="10">
        <f t="shared" si="41"/>
        <v>83.617025902842158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42">SUM(I163:I169)</f>
        <v>138.67842233135227</v>
      </c>
      <c r="J170" s="11">
        <f t="shared" si="42"/>
        <v>134.01752740302607</v>
      </c>
      <c r="K170" s="11">
        <f t="shared" si="42"/>
        <v>130.22169926930968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E174" s="337" t="s">
        <v>238</v>
      </c>
      <c r="F174" s="337"/>
      <c r="G174" s="337"/>
      <c r="H174" s="337"/>
      <c r="I174" s="337"/>
      <c r="J174" s="337"/>
      <c r="K174" s="337"/>
      <c r="L174" s="337"/>
      <c r="M174" s="337"/>
    </row>
    <row r="175" spans="1:15" s="17" customFormat="1">
      <c r="A175" s="56"/>
      <c r="M175" s="65"/>
    </row>
    <row r="176" spans="1:15" s="17" customFormat="1">
      <c r="A176" s="56"/>
      <c r="E176" s="5" t="s">
        <v>20</v>
      </c>
      <c r="F176" s="4"/>
      <c r="G176" s="4"/>
      <c r="H176" s="4">
        <v>2020</v>
      </c>
      <c r="I176" s="4">
        <v>2030</v>
      </c>
      <c r="J176" s="4">
        <v>2040</v>
      </c>
      <c r="K176" s="4">
        <v>2050</v>
      </c>
      <c r="M176" s="65"/>
    </row>
    <row r="177" spans="1:13" s="17" customFormat="1">
      <c r="A177" s="56"/>
      <c r="E177" s="6" t="s">
        <v>15</v>
      </c>
      <c r="F177" s="82"/>
      <c r="G177" s="82"/>
      <c r="H177" s="10">
        <f t="shared" ref="H177:K183" si="43">H$36*($H$73*H45+(1-$H$73)*H59)+H$35*H142</f>
        <v>33794.856167707607</v>
      </c>
      <c r="I177" s="10">
        <f t="shared" si="43"/>
        <v>3226.578707720174</v>
      </c>
      <c r="J177" s="10">
        <f t="shared" si="43"/>
        <v>0</v>
      </c>
      <c r="K177" s="10">
        <f t="shared" si="43"/>
        <v>0</v>
      </c>
      <c r="M177" s="65"/>
    </row>
    <row r="178" spans="1:13" s="17" customFormat="1">
      <c r="A178" s="56"/>
      <c r="E178" s="6" t="s">
        <v>16</v>
      </c>
      <c r="F178" s="82"/>
      <c r="G178" s="82"/>
      <c r="H178" s="10">
        <f t="shared" si="43"/>
        <v>98288.298957103427</v>
      </c>
      <c r="I178" s="10">
        <f t="shared" si="43"/>
        <v>81605.352991514897</v>
      </c>
      <c r="J178" s="10">
        <f t="shared" si="43"/>
        <v>37326.909990664331</v>
      </c>
      <c r="K178" s="10">
        <f t="shared" si="43"/>
        <v>7626.636771456544</v>
      </c>
      <c r="M178" s="65"/>
    </row>
    <row r="179" spans="1:13" s="17" customFormat="1">
      <c r="A179" s="56"/>
      <c r="E179" s="6" t="s">
        <v>75</v>
      </c>
      <c r="F179" s="82"/>
      <c r="G179" s="82"/>
      <c r="H179" s="10">
        <f t="shared" si="43"/>
        <v>14038.559268477245</v>
      </c>
      <c r="I179" s="10">
        <f t="shared" si="43"/>
        <v>33106.420505255825</v>
      </c>
      <c r="J179" s="10">
        <f t="shared" si="43"/>
        <v>37319.163438998381</v>
      </c>
      <c r="K179" s="10">
        <f t="shared" si="43"/>
        <v>40310.341933081043</v>
      </c>
      <c r="M179" s="65"/>
    </row>
    <row r="180" spans="1:13" s="17" customFormat="1">
      <c r="A180" s="56"/>
      <c r="E180" s="6" t="s">
        <v>22</v>
      </c>
      <c r="F180" s="82"/>
      <c r="G180" s="82"/>
      <c r="H180" s="10">
        <f t="shared" si="43"/>
        <v>2225.929438719108</v>
      </c>
      <c r="I180" s="10">
        <f t="shared" si="43"/>
        <v>1475.4557969297946</v>
      </c>
      <c r="J180" s="10">
        <f t="shared" si="43"/>
        <v>746.64260471193688</v>
      </c>
      <c r="K180" s="10">
        <f t="shared" si="43"/>
        <v>41.494836991906631</v>
      </c>
      <c r="M180" s="65"/>
    </row>
    <row r="181" spans="1:13" s="17" customFormat="1">
      <c r="A181" s="56"/>
      <c r="E181" s="6" t="s">
        <v>42</v>
      </c>
      <c r="F181" s="82"/>
      <c r="G181" s="82"/>
      <c r="H181" s="10">
        <f t="shared" si="43"/>
        <v>1564.6300283841915</v>
      </c>
      <c r="I181" s="10">
        <f t="shared" si="43"/>
        <v>3188.6130489563552</v>
      </c>
      <c r="J181" s="10">
        <f t="shared" si="43"/>
        <v>6376.3028084335792</v>
      </c>
      <c r="K181" s="10">
        <f t="shared" si="43"/>
        <v>6231.6755614666381</v>
      </c>
      <c r="M181" s="65"/>
    </row>
    <row r="182" spans="1:13" s="17" customFormat="1">
      <c r="A182" s="56"/>
      <c r="E182" s="6" t="s">
        <v>25</v>
      </c>
      <c r="F182" s="82"/>
      <c r="G182" s="82"/>
      <c r="H182" s="10">
        <f t="shared" si="43"/>
        <v>15011.817094396018</v>
      </c>
      <c r="I182" s="10">
        <f t="shared" si="43"/>
        <v>16376.567569449335</v>
      </c>
      <c r="J182" s="10">
        <f t="shared" si="43"/>
        <v>25424.680531119502</v>
      </c>
      <c r="K182" s="10">
        <f t="shared" si="43"/>
        <v>27446.989076326994</v>
      </c>
      <c r="M182" s="65"/>
    </row>
    <row r="183" spans="1:13" s="17" customFormat="1">
      <c r="A183" s="56"/>
      <c r="E183" s="6" t="s">
        <v>26</v>
      </c>
      <c r="F183" s="82"/>
      <c r="G183" s="82"/>
      <c r="H183" s="10">
        <f t="shared" si="43"/>
        <v>2182.6196140397569</v>
      </c>
      <c r="I183" s="10">
        <f t="shared" si="43"/>
        <v>25712.480478398658</v>
      </c>
      <c r="J183" s="10">
        <f t="shared" si="43"/>
        <v>54775.364791896791</v>
      </c>
      <c r="K183" s="10">
        <f t="shared" si="43"/>
        <v>74134.750857342835</v>
      </c>
      <c r="M183" s="65"/>
    </row>
    <row r="184" spans="1:13" s="17" customFormat="1">
      <c r="A184" s="56"/>
      <c r="E184" s="7" t="s">
        <v>17</v>
      </c>
      <c r="F184" s="82"/>
      <c r="G184" s="82"/>
      <c r="H184" s="10">
        <f>SUM(H177:H183)</f>
        <v>167106.71056882737</v>
      </c>
      <c r="I184" s="10">
        <f t="shared" ref="I184:K184" si="44">SUM(I177:I183)</f>
        <v>164691.469098225</v>
      </c>
      <c r="J184" s="10">
        <f t="shared" si="44"/>
        <v>161969.0641658245</v>
      </c>
      <c r="K184" s="10">
        <f t="shared" si="44"/>
        <v>155791.88903666596</v>
      </c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1">
    <mergeCell ref="M59:M65"/>
    <mergeCell ref="F68:K68"/>
    <mergeCell ref="F75:K75"/>
    <mergeCell ref="F161:K161"/>
    <mergeCell ref="F85:G85"/>
    <mergeCell ref="M87:M93"/>
    <mergeCell ref="F95:K95"/>
    <mergeCell ref="F105:K105"/>
    <mergeCell ref="F116:K116"/>
    <mergeCell ref="F127:K127"/>
    <mergeCell ref="E138:M138"/>
    <mergeCell ref="F140:K140"/>
    <mergeCell ref="M142:M149"/>
    <mergeCell ref="F151:K151"/>
    <mergeCell ref="M153:M159"/>
    <mergeCell ref="E174:M174"/>
    <mergeCell ref="C27:O27"/>
    <mergeCell ref="C1:O1"/>
    <mergeCell ref="C3:O3"/>
    <mergeCell ref="F5:K5"/>
    <mergeCell ref="F11:K11"/>
    <mergeCell ref="F22:K22"/>
    <mergeCell ref="M77:M83"/>
    <mergeCell ref="D29:N29"/>
    <mergeCell ref="F32:K32"/>
    <mergeCell ref="D39:N39"/>
    <mergeCell ref="E41:M41"/>
    <mergeCell ref="F43:K43"/>
    <mergeCell ref="F54:K54"/>
    <mergeCell ref="F57:K57"/>
    <mergeCell ref="M45:M52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  <pageSetUpPr fitToPage="1"/>
  </sheetPr>
  <dimension ref="A1:GB1589"/>
  <sheetViews>
    <sheetView showGridLines="0" topLeftCell="A31" zoomScale="115" zoomScaleNormal="115" workbookViewId="0">
      <selection activeCell="B41" sqref="B41:M41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252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256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226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 t="shared" ref="H7:K8" si="0">H34</f>
        <v>179200.208348585</v>
      </c>
      <c r="I7" s="10">
        <f t="shared" si="0"/>
        <v>191341.56894861159</v>
      </c>
      <c r="J7" s="10">
        <f t="shared" si="0"/>
        <v>203371.30121087577</v>
      </c>
      <c r="K7" s="10">
        <f t="shared" si="0"/>
        <v>210956.99797155659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16775.217201482246</v>
      </c>
      <c r="J8" s="76">
        <f t="shared" si="0"/>
        <v>16977.546779760014</v>
      </c>
      <c r="K8" s="76">
        <f t="shared" si="0"/>
        <v>12844.582647852752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1">H36</f>
        <v>179200.208348585</v>
      </c>
      <c r="I9" s="96">
        <f t="shared" si="1"/>
        <v>174566.35174712935</v>
      </c>
      <c r="J9" s="96">
        <f t="shared" si="1"/>
        <v>186393.75443111575</v>
      </c>
      <c r="K9" s="96">
        <f t="shared" si="1"/>
        <v>198112.41532370384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228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3798.9226175206595</v>
      </c>
      <c r="I13" s="86">
        <f t="shared" ref="I13:K13" si="2">I129+I163</f>
        <v>422.41286626783085</v>
      </c>
      <c r="J13" s="86">
        <f t="shared" si="2"/>
        <v>0</v>
      </c>
      <c r="K13" s="86">
        <f t="shared" si="2"/>
        <v>0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9" si="3">H130+H164</f>
        <v>10538.568728925251</v>
      </c>
      <c r="I14" s="86">
        <f t="shared" si="3"/>
        <v>7334.8069744858485</v>
      </c>
      <c r="J14" s="86">
        <f t="shared" si="3"/>
        <v>3372.1413057784066</v>
      </c>
      <c r="K14" s="86">
        <f t="shared" si="3"/>
        <v>776.73681528685586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si="3"/>
        <v>1734.6803254387553</v>
      </c>
      <c r="I15" s="86">
        <f t="shared" si="3"/>
        <v>3703.9062480660655</v>
      </c>
      <c r="J15" s="86">
        <f t="shared" si="3"/>
        <v>4148.0838262955949</v>
      </c>
      <c r="K15" s="86">
        <f t="shared" si="3"/>
        <v>4225.8542197571342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si="3"/>
        <v>269.58029172631677</v>
      </c>
      <c r="I16" s="86">
        <f t="shared" si="3"/>
        <v>182.772757961434</v>
      </c>
      <c r="J16" s="86">
        <f t="shared" si="3"/>
        <v>111.83439615211662</v>
      </c>
      <c r="K16" s="86">
        <f t="shared" si="3"/>
        <v>31.744594081632862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si="3"/>
        <v>299.35529695699108</v>
      </c>
      <c r="I17" s="86">
        <f t="shared" si="3"/>
        <v>318.17044869255272</v>
      </c>
      <c r="J17" s="86">
        <f t="shared" si="3"/>
        <v>379.39922906594853</v>
      </c>
      <c r="K17" s="86">
        <f t="shared" si="3"/>
        <v>422.33743551889211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si="3"/>
        <v>2347.0702575775676</v>
      </c>
      <c r="I18" s="86">
        <f t="shared" si="3"/>
        <v>1849.2818520532287</v>
      </c>
      <c r="J18" s="86">
        <f t="shared" si="3"/>
        <v>1872.3280465246858</v>
      </c>
      <c r="K18" s="86">
        <f t="shared" si="3"/>
        <v>1486.1722699666871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si="3"/>
        <v>257.17690632747849</v>
      </c>
      <c r="I19" s="86">
        <f t="shared" si="3"/>
        <v>1272.4184787749793</v>
      </c>
      <c r="J19" s="86">
        <f t="shared" si="3"/>
        <v>2814.0008446023403</v>
      </c>
      <c r="K19" s="86">
        <f t="shared" si="3"/>
        <v>3789.8922513267557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19245.354424473018</v>
      </c>
      <c r="I20" s="13">
        <f t="shared" ref="I20:K20" si="4">SUM(I13:I19)</f>
        <v>15083.769626301941</v>
      </c>
      <c r="J20" s="13">
        <f t="shared" si="4"/>
        <v>12697.787648419093</v>
      </c>
      <c r="K20" s="13">
        <f t="shared" si="4"/>
        <v>10732.737585937959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-0.38302117545527781</v>
      </c>
      <c r="J23" s="188">
        <f t="shared" ref="J23:K23" si="5">J114/$G114-1</f>
        <v>-0.48832542024807724</v>
      </c>
      <c r="K23" s="188">
        <f t="shared" si="5"/>
        <v>-0.56492496365544553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-0.29312620495291164</v>
      </c>
      <c r="J24" s="188">
        <f t="shared" ref="J24:K24" si="6">J125/$G125-1</f>
        <v>-0.40052002979570756</v>
      </c>
      <c r="K24" s="188">
        <f t="shared" si="6"/>
        <v>-0.47337315633386812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257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258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179200.208348585</v>
      </c>
      <c r="H34" s="126">
        <f>'Init. parc'!C23</f>
        <v>179200.208348585</v>
      </c>
      <c r="I34" s="126">
        <f>'Init. parc'!D23</f>
        <v>191341.56894861159</v>
      </c>
      <c r="J34" s="126">
        <f>'Init. parc'!E23</f>
        <v>203371.30121087577</v>
      </c>
      <c r="K34" s="126">
        <f>'Init. parc'!F23</f>
        <v>210956.99797155659</v>
      </c>
      <c r="L34" s="65"/>
      <c r="M34" s="65"/>
      <c r="N34" s="65"/>
      <c r="O34" s="42"/>
    </row>
    <row r="35" spans="1:17" s="17" customFormat="1" ht="21">
      <c r="A35" s="56"/>
      <c r="C35" s="40"/>
      <c r="D35" s="32"/>
      <c r="E35" s="83" t="s">
        <v>29</v>
      </c>
      <c r="F35" s="55"/>
      <c r="G35" s="195"/>
      <c r="H35" s="126">
        <v>0</v>
      </c>
      <c r="I35" s="126">
        <f>'Init. parc'!N23</f>
        <v>16775.217201482246</v>
      </c>
      <c r="J35" s="126">
        <f>'Init. parc'!O23</f>
        <v>16977.546779760014</v>
      </c>
      <c r="K35" s="126">
        <f>'Init. parc'!P23</f>
        <v>12844.582647852752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30</v>
      </c>
      <c r="F36" s="55"/>
      <c r="G36" s="195">
        <f>G34-G35</f>
        <v>179200.208348585</v>
      </c>
      <c r="H36" s="126">
        <f>H34-H35</f>
        <v>179200.208348585</v>
      </c>
      <c r="I36" s="126">
        <f>I34-I35</f>
        <v>174566.35174712935</v>
      </c>
      <c r="J36" s="126">
        <f>J34-J35</f>
        <v>186393.75443111575</v>
      </c>
      <c r="K36" s="126">
        <f>K34-K35</f>
        <v>198112.41532370384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0.15758395350413734</v>
      </c>
      <c r="H45" s="55">
        <f>'Init. énergie'!B48</f>
        <v>0.15758395350413734</v>
      </c>
      <c r="I45" s="47">
        <v>0.02</v>
      </c>
      <c r="J45" s="47">
        <v>0</v>
      </c>
      <c r="K45" s="47">
        <v>0</v>
      </c>
      <c r="L45" s="64"/>
      <c r="M45" s="339" t="s">
        <v>283</v>
      </c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7">H46</f>
        <v>0.52707670990322253</v>
      </c>
      <c r="H46" s="55">
        <f>'Init. énergie'!B49</f>
        <v>0.52707670990322253</v>
      </c>
      <c r="I46" s="47">
        <f>H46*0.86</f>
        <v>0.45328597051677139</v>
      </c>
      <c r="J46" s="47">
        <f>H46*0.4</f>
        <v>0.21083068396128901</v>
      </c>
      <c r="K46" s="47">
        <v>0.05</v>
      </c>
      <c r="L46" s="64"/>
      <c r="M46" s="339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7"/>
        <v>8.5504311043289719E-2</v>
      </c>
      <c r="H47" s="55">
        <f>'Init. énergie'!B50</f>
        <v>8.5504311043289719E-2</v>
      </c>
      <c r="I47" s="47">
        <v>0.2</v>
      </c>
      <c r="J47" s="47">
        <v>0.23</v>
      </c>
      <c r="K47" s="47">
        <v>0.25</v>
      </c>
      <c r="L47" s="64"/>
      <c r="M47" s="339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7"/>
        <v>1.5048165554765945E-2</v>
      </c>
      <c r="H48" s="55">
        <f>'Init. énergie'!B51</f>
        <v>1.5048165554765945E-2</v>
      </c>
      <c r="I48" s="47">
        <f t="shared" ref="I48:I49" si="8">H48+((K48-H48)/3)</f>
        <v>1.0032110369843965E-2</v>
      </c>
      <c r="J48" s="47">
        <f t="shared" ref="J48:J49" si="9">H48+((K48-H48)/3*2)</f>
        <v>5.0160551849219824E-3</v>
      </c>
      <c r="K48" s="47">
        <v>0</v>
      </c>
      <c r="L48" s="64"/>
      <c r="M48" s="339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7"/>
        <v>1.3459722901950799E-2</v>
      </c>
      <c r="H49" s="55">
        <f>'Init. énergie'!B52</f>
        <v>1.3459722901950799E-2</v>
      </c>
      <c r="I49" s="47">
        <f t="shared" si="8"/>
        <v>1.5639815267967198E-2</v>
      </c>
      <c r="J49" s="47">
        <f t="shared" si="9"/>
        <v>1.7819907633983601E-2</v>
      </c>
      <c r="K49" s="47">
        <v>0.02</v>
      </c>
      <c r="L49" s="64"/>
      <c r="M49" s="339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7"/>
        <v>0.16942946687247459</v>
      </c>
      <c r="H50" s="55">
        <f>'Init. énergie'!B53</f>
        <v>0.16942946687247459</v>
      </c>
      <c r="I50" s="47">
        <f>1-I45-I46-I47-I48-I49-I51</f>
        <v>0.15104210384541747</v>
      </c>
      <c r="J50" s="47">
        <f t="shared" ref="J50" si="10">1-J45-J46-J47-J48-J49-J51</f>
        <v>0.15633335321980546</v>
      </c>
      <c r="K50" s="47">
        <f>1-K45-K46-K47-K48-K49-K51</f>
        <v>0.12999999999999989</v>
      </c>
      <c r="L50" s="64"/>
      <c r="M50" s="339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7"/>
        <v>3.1897670220158943E-2</v>
      </c>
      <c r="H51" s="55">
        <f>'Init. énergie'!B54</f>
        <v>3.1897670220158943E-2</v>
      </c>
      <c r="I51" s="47">
        <v>0.15</v>
      </c>
      <c r="J51" s="47">
        <v>0.38</v>
      </c>
      <c r="K51" s="124">
        <v>0.55000000000000004</v>
      </c>
      <c r="L51" s="64"/>
      <c r="M51" s="339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J52" si="11">SUM(G45:G51)</f>
        <v>0.99999999999999989</v>
      </c>
      <c r="H52" s="159">
        <f t="shared" si="11"/>
        <v>0.99999999999999989</v>
      </c>
      <c r="I52" s="165">
        <f t="shared" si="11"/>
        <v>1</v>
      </c>
      <c r="J52" s="165">
        <f t="shared" si="11"/>
        <v>1</v>
      </c>
      <c r="K52" s="165">
        <f>SUM(K45:K51)</f>
        <v>1</v>
      </c>
      <c r="L52" s="63"/>
      <c r="M52" s="339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K55" si="12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-9.4215546147615528E-2</v>
      </c>
      <c r="J55" s="152">
        <f t="shared" si="12"/>
        <v>-0.15999246591261029</v>
      </c>
      <c r="K55" s="152">
        <f t="shared" si="12"/>
        <v>-0.12294577496659768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>
        <v>2006</v>
      </c>
      <c r="G58" s="4">
        <v>2015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0.15758395350413734</v>
      </c>
      <c r="H59" s="55">
        <f>H45</f>
        <v>0.15758395350413734</v>
      </c>
      <c r="I59" s="47">
        <f>I45</f>
        <v>0.02</v>
      </c>
      <c r="J59" s="47">
        <f>J45</f>
        <v>0</v>
      </c>
      <c r="K59" s="47">
        <f>K45</f>
        <v>0</v>
      </c>
      <c r="L59" s="64"/>
      <c r="M59" s="334"/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3">H60</f>
        <v>0.52707670990322253</v>
      </c>
      <c r="H60" s="55">
        <f t="shared" ref="H60:K65" si="14">H46</f>
        <v>0.52707670990322253</v>
      </c>
      <c r="I60" s="47">
        <f t="shared" si="14"/>
        <v>0.45328597051677139</v>
      </c>
      <c r="J60" s="47">
        <f t="shared" si="14"/>
        <v>0.21083068396128901</v>
      </c>
      <c r="K60" s="47">
        <f t="shared" si="14"/>
        <v>0.05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3"/>
        <v>8.5504311043289719E-2</v>
      </c>
      <c r="H61" s="55">
        <f t="shared" si="14"/>
        <v>8.5504311043289719E-2</v>
      </c>
      <c r="I61" s="47">
        <f t="shared" si="14"/>
        <v>0.2</v>
      </c>
      <c r="J61" s="47">
        <f t="shared" si="14"/>
        <v>0.23</v>
      </c>
      <c r="K61" s="47">
        <f t="shared" si="14"/>
        <v>0.25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3"/>
        <v>1.5048165554765945E-2</v>
      </c>
      <c r="H62" s="55">
        <f t="shared" si="14"/>
        <v>1.5048165554765945E-2</v>
      </c>
      <c r="I62" s="47">
        <f t="shared" si="14"/>
        <v>1.0032110369843965E-2</v>
      </c>
      <c r="J62" s="47">
        <f t="shared" si="14"/>
        <v>5.0160551849219824E-3</v>
      </c>
      <c r="K62" s="47">
        <f t="shared" si="14"/>
        <v>0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3"/>
        <v>1.3459722901950799E-2</v>
      </c>
      <c r="H63" s="55">
        <f t="shared" si="14"/>
        <v>1.3459722901950799E-2</v>
      </c>
      <c r="I63" s="47">
        <f t="shared" si="14"/>
        <v>1.5639815267967198E-2</v>
      </c>
      <c r="J63" s="47">
        <f t="shared" si="14"/>
        <v>1.7819907633983601E-2</v>
      </c>
      <c r="K63" s="47">
        <f t="shared" si="14"/>
        <v>0.02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3"/>
        <v>0.16942946687247459</v>
      </c>
      <c r="H64" s="55">
        <f t="shared" si="14"/>
        <v>0.16942946687247459</v>
      </c>
      <c r="I64" s="47">
        <f t="shared" si="14"/>
        <v>0.15104210384541747</v>
      </c>
      <c r="J64" s="47">
        <f t="shared" si="14"/>
        <v>0.15633335321980546</v>
      </c>
      <c r="K64" s="47">
        <f t="shared" si="14"/>
        <v>0.12999999999999989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3"/>
        <v>3.1897670220158943E-2</v>
      </c>
      <c r="H65" s="55">
        <f t="shared" si="14"/>
        <v>3.1897670220158943E-2</v>
      </c>
      <c r="I65" s="47">
        <f t="shared" si="14"/>
        <v>0.15</v>
      </c>
      <c r="J65" s="47">
        <f t="shared" si="14"/>
        <v>0.38</v>
      </c>
      <c r="K65" s="47">
        <f t="shared" si="14"/>
        <v>0.55000000000000004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15">SUM(G59:G65)</f>
        <v>0.99999999999999989</v>
      </c>
      <c r="H66" s="159">
        <v>1</v>
      </c>
      <c r="I66" s="47">
        <f t="shared" ref="I66:J66" si="16">SUM(I59:I65)</f>
        <v>1</v>
      </c>
      <c r="J66" s="47">
        <f t="shared" si="16"/>
        <v>1</v>
      </c>
      <c r="K66" s="47">
        <f>SUM(K59:K65)</f>
        <v>1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-9.4215546147615528E-2</v>
      </c>
      <c r="J69" s="152">
        <f>(I$97*(J59-I59)+I$98*(J60-I60)+I$99*(J61-I61)+I$100*(J62-I62)+I$101*(J63-I63)+I$102*(J64-I64)+I$103*(J65-I65))/(I$97*I59+I$98*I60+I$99*I61+I$100*I62+I$101*I63+I$102*I64+I$103*I65)</f>
        <v>-0.16344760195914729</v>
      </c>
      <c r="K69" s="152">
        <f>(J$97*(K59-J59)+J$98*(K60-J60)+J$99*(K61-J61)+J$100*(K62-J62)+J$101*(K63-J63)+J$102*(K64-J64)+J$103*(K65-J65))/(J$97*J59+J$98*J60+J$99*J61+J$100*J62+J$101*J63+J$102*J64+J$103*J65)</f>
        <v>-0.12856278767268245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93" t="s">
        <v>92</v>
      </c>
      <c r="G72" s="194" t="s">
        <v>91</v>
      </c>
      <c r="H72" s="194" t="s">
        <v>35</v>
      </c>
      <c r="J72" s="296" t="s">
        <v>293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bord'!J12</f>
        <v>0.93</v>
      </c>
      <c r="G73" s="92">
        <f>'Tableau de bord'!J25</f>
        <v>0.96399999999999997</v>
      </c>
      <c r="H73" s="92">
        <f>'Tableau de bord'!J28</f>
        <v>0.96399999999999997</v>
      </c>
      <c r="J73" s="92">
        <f>'Tableau de bord'!F37</f>
        <v>0.35625000000000001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324" t="s">
        <v>311</v>
      </c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325">
        <f>'Init. énergie'!K78</f>
        <v>0.97683808360784841</v>
      </c>
      <c r="G77" s="81">
        <f>H77/F77^10</f>
        <v>170.05292860885422</v>
      </c>
      <c r="H77" s="54">
        <f>'Init. énergie'!D48</f>
        <v>134.52715105091531</v>
      </c>
      <c r="I77" s="81">
        <f>G77*(1-J$73)/(1+I$55)</f>
        <v>120.85830390040064</v>
      </c>
      <c r="J77" s="81">
        <f>G77*50%/(1+I$55)/(1+J$55)</f>
        <v>111.74962544028359</v>
      </c>
      <c r="K77" s="81">
        <f>G77*40%/(1+I$55)/(1+J$55)/(1+K$55)</f>
        <v>101.93178232374642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325">
        <f>'Init. énergie'!K77</f>
        <v>0.98504576820130418</v>
      </c>
      <c r="G78" s="81">
        <f t="shared" ref="G78:G83" si="17">H78/F78^10</f>
        <v>129.71948015674073</v>
      </c>
      <c r="H78" s="54">
        <f>'Init. énergie'!D49</f>
        <v>111.57561660808248</v>
      </c>
      <c r="I78" s="81">
        <f t="shared" ref="I78:I83" si="18">G78*(1-J$73)/(1+I$55)</f>
        <v>92.192921832273967</v>
      </c>
      <c r="J78" s="81">
        <f t="shared" ref="J78:J83" si="19">G78*50%/(1+I$55)/(1+J$55)</f>
        <v>85.244655522323654</v>
      </c>
      <c r="K78" s="81">
        <f t="shared" ref="K78:K83" si="20">G78*40%/(1+I$55)/(1+J$55)/(1+K$55)</f>
        <v>77.755425458741399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325">
        <f>'Init. énergie'!K$79</f>
        <v>0.9880584769094648</v>
      </c>
      <c r="G79" s="81">
        <f t="shared" si="17"/>
        <v>127.66341149936</v>
      </c>
      <c r="H79" s="54">
        <f>'Init. énergie'!D50</f>
        <v>113.21212196009803</v>
      </c>
      <c r="I79" s="81">
        <f t="shared" si="18"/>
        <v>90.73165343386033</v>
      </c>
      <c r="J79" s="81">
        <f t="shared" si="19"/>
        <v>83.893517942856889</v>
      </c>
      <c r="K79" s="81">
        <f t="shared" si="20"/>
        <v>76.522993035840472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325">
        <f>'Init. énergie'!K$79</f>
        <v>0.9880584769094648</v>
      </c>
      <c r="G80" s="81">
        <f t="shared" si="17"/>
        <v>112.73001981502152</v>
      </c>
      <c r="H80" s="54">
        <f>'Init. énergie'!D51</f>
        <v>99.969165808532892</v>
      </c>
      <c r="I80" s="81">
        <f t="shared" si="18"/>
        <v>80.118343770720998</v>
      </c>
      <c r="J80" s="81">
        <f t="shared" si="19"/>
        <v>74.080097257134099</v>
      </c>
      <c r="K80" s="81">
        <f t="shared" si="20"/>
        <v>67.571737429861003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325">
        <f>'Init. énergie'!K$79</f>
        <v>0.9880584769094648</v>
      </c>
      <c r="G81" s="81">
        <f t="shared" si="17"/>
        <v>139.9541667901475</v>
      </c>
      <c r="H81" s="54">
        <f>'Init. énergie'!D52</f>
        <v>124.11158383895697</v>
      </c>
      <c r="I81" s="81">
        <f t="shared" si="18"/>
        <v>99.466815187623325</v>
      </c>
      <c r="J81" s="81">
        <f t="shared" si="19"/>
        <v>91.970340326097954</v>
      </c>
      <c r="K81" s="81">
        <f t="shared" si="20"/>
        <v>83.890220422889158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325">
        <f>'Init. énergie'!K80</f>
        <v>0.98034249346915125</v>
      </c>
      <c r="G82" s="81">
        <f t="shared" si="17"/>
        <v>94.280170176583511</v>
      </c>
      <c r="H82" s="54">
        <f>'Init. énergie'!D53</f>
        <v>77.303407078620509</v>
      </c>
      <c r="I82" s="81">
        <f t="shared" si="18"/>
        <v>67.00585254366348</v>
      </c>
      <c r="J82" s="81">
        <f t="shared" si="19"/>
        <v>61.955849804346343</v>
      </c>
      <c r="K82" s="81">
        <f t="shared" si="20"/>
        <v>56.512674392041632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325">
        <f>'Init. énergie'!K80</f>
        <v>0.98034249346915125</v>
      </c>
      <c r="G83" s="81">
        <f t="shared" si="17"/>
        <v>54.872685590346059</v>
      </c>
      <c r="H83" s="54">
        <f>'Init. énergie'!D54</f>
        <v>44.991916579518737</v>
      </c>
      <c r="I83" s="81">
        <f t="shared" si="18"/>
        <v>38.998562183914537</v>
      </c>
      <c r="J83" s="81">
        <f t="shared" si="19"/>
        <v>36.059373465587825</v>
      </c>
      <c r="K83" s="81">
        <f t="shared" si="20"/>
        <v>32.891351468458652</v>
      </c>
      <c r="M83" s="339"/>
      <c r="N83" s="33"/>
      <c r="O83" s="42"/>
      <c r="Q83" s="52"/>
      <c r="R83" s="52"/>
      <c r="V83" s="101"/>
    </row>
    <row r="84" spans="1:184" s="17" customFormat="1">
      <c r="A84" s="56"/>
      <c r="C84" s="40"/>
      <c r="D84" s="32"/>
      <c r="E84" s="128"/>
      <c r="F84" s="89"/>
      <c r="G84" s="89"/>
      <c r="H84" s="89"/>
      <c r="I84" s="89"/>
      <c r="J84" s="89"/>
      <c r="K84" s="89"/>
      <c r="M84" s="322"/>
      <c r="N84" s="33"/>
      <c r="O84" s="42"/>
      <c r="Q84" s="52"/>
      <c r="R84" s="52"/>
      <c r="V84" s="101"/>
    </row>
    <row r="85" spans="1:184" s="17" customFormat="1" ht="69" customHeight="1">
      <c r="A85" s="56"/>
      <c r="C85" s="40"/>
      <c r="D85" s="32"/>
      <c r="F85" s="333" t="s">
        <v>259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21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21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21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21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21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21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260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 t="shared" ref="G97:H103" si="22">G77</f>
        <v>170.05292860885422</v>
      </c>
      <c r="H97" s="54">
        <f t="shared" si="22"/>
        <v>134.52715105091531</v>
      </c>
      <c r="I97" s="81">
        <f>$H97*(1+$G87)^(I$96-$H$96)</f>
        <v>124.49431758104016</v>
      </c>
      <c r="J97" s="81">
        <f>$H97*(1+$G87)^(J$96-$H$96)</f>
        <v>115.20971780709863</v>
      </c>
      <c r="K97" s="81">
        <f>$H97*(1+$G87)^(K$96-$H$96)</f>
        <v>106.61754958053405</v>
      </c>
      <c r="L97" s="67"/>
      <c r="M97" s="79">
        <f>(K97-G97)/H97</f>
        <v>-0.47154331696440516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si="22"/>
        <v>129.71948015674073</v>
      </c>
      <c r="H98" s="54">
        <f t="shared" si="22"/>
        <v>111.57561660808248</v>
      </c>
      <c r="I98" s="81">
        <f t="shared" ref="I98:K103" si="23">$H98*(1+$G88)^(I$96-$H$96)</f>
        <v>106.13697159272134</v>
      </c>
      <c r="J98" s="81">
        <f t="shared" si="23"/>
        <v>100.96342804399167</v>
      </c>
      <c r="K98" s="81">
        <f t="shared" si="23"/>
        <v>96.042063848497264</v>
      </c>
      <c r="L98" s="67"/>
      <c r="M98" s="79">
        <f t="shared" ref="M98:M103" si="24">(K98-G98)/H98</f>
        <v>-0.30183491099617094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22"/>
        <v>127.66341149936</v>
      </c>
      <c r="H99" s="54">
        <f t="shared" si="22"/>
        <v>113.21212196009803</v>
      </c>
      <c r="I99" s="81">
        <f t="shared" si="23"/>
        <v>108.78557407992352</v>
      </c>
      <c r="J99" s="81">
        <f t="shared" si="23"/>
        <v>104.5321024198236</v>
      </c>
      <c r="K99" s="81">
        <f t="shared" si="23"/>
        <v>100.4449397700524</v>
      </c>
      <c r="L99" s="67"/>
      <c r="M99" s="79">
        <f t="shared" si="24"/>
        <v>-0.24042011807623243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22"/>
        <v>112.73001981502152</v>
      </c>
      <c r="H100" s="54">
        <f t="shared" si="22"/>
        <v>99.969165808532892</v>
      </c>
      <c r="I100" s="81">
        <f t="shared" si="23"/>
        <v>96.060412122699304</v>
      </c>
      <c r="J100" s="81">
        <f t="shared" si="23"/>
        <v>92.304489114734707</v>
      </c>
      <c r="K100" s="81">
        <f t="shared" si="23"/>
        <v>88.695421167351583</v>
      </c>
      <c r="L100" s="67"/>
      <c r="M100" s="79">
        <f t="shared" si="24"/>
        <v>-0.24042011807623245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22"/>
        <v>139.9541667901475</v>
      </c>
      <c r="H101" s="54">
        <f t="shared" si="22"/>
        <v>124.11158383895697</v>
      </c>
      <c r="I101" s="81">
        <f t="shared" si="23"/>
        <v>119.25887143647176</v>
      </c>
      <c r="J101" s="81">
        <f>$H101*(1+$G91)^(J$96-$H$96)</f>
        <v>114.59589811339262</v>
      </c>
      <c r="K101" s="81">
        <f>$H101*(1+$G91)^(K$96-$H$96)</f>
        <v>110.11524514895726</v>
      </c>
      <c r="L101" s="67"/>
      <c r="M101" s="79">
        <f t="shared" si="24"/>
        <v>-0.24042011807623229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22"/>
        <v>94.280170176583511</v>
      </c>
      <c r="H102" s="54">
        <f t="shared" si="22"/>
        <v>77.303407078620509</v>
      </c>
      <c r="I102" s="81">
        <f t="shared" si="23"/>
        <v>72.384876544643433</v>
      </c>
      <c r="J102" s="81">
        <f t="shared" si="23"/>
        <v>67.779293958601698</v>
      </c>
      <c r="K102" s="81">
        <f t="shared" si="23"/>
        <v>63.466747597381996</v>
      </c>
      <c r="L102" s="67"/>
      <c r="M102" s="79">
        <f t="shared" si="24"/>
        <v>-0.39860368053199896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22"/>
        <v>54.872685590346059</v>
      </c>
      <c r="H103" s="54">
        <f t="shared" si="22"/>
        <v>44.991916579518737</v>
      </c>
      <c r="I103" s="81">
        <f t="shared" si="23"/>
        <v>42.129246952894803</v>
      </c>
      <c r="J103" s="81">
        <f t="shared" si="23"/>
        <v>39.448718431033804</v>
      </c>
      <c r="K103" s="81">
        <f t="shared" si="23"/>
        <v>36.938742047561234</v>
      </c>
      <c r="L103" s="67"/>
      <c r="M103" s="79">
        <f t="shared" si="24"/>
        <v>-0.39860368053199874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261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 t="shared" ref="G107:K113" si="25">G$36*G45*$H$73*G77/1000</f>
        <v>4629.2608354729909</v>
      </c>
      <c r="H107" s="54">
        <f t="shared" si="25"/>
        <v>3662.1614032899156</v>
      </c>
      <c r="I107" s="126">
        <f t="shared" si="25"/>
        <v>406.76545270780395</v>
      </c>
      <c r="J107" s="126">
        <f t="shared" si="25"/>
        <v>0</v>
      </c>
      <c r="K107" s="126">
        <f t="shared" si="25"/>
        <v>0</v>
      </c>
      <c r="L107" s="46"/>
      <c r="M107" s="79">
        <f>(K107-G107)/H107</f>
        <v>-1.2640788664623788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si="25"/>
        <v>11811.214865029584</v>
      </c>
      <c r="H108" s="54">
        <f t="shared" si="25"/>
        <v>10159.180254683941</v>
      </c>
      <c r="I108" s="126">
        <f t="shared" si="25"/>
        <v>7032.4625210516333</v>
      </c>
      <c r="J108" s="126">
        <f t="shared" si="25"/>
        <v>3229.3072518636704</v>
      </c>
      <c r="K108" s="126">
        <f t="shared" si="25"/>
        <v>742.48798985179735</v>
      </c>
      <c r="L108" s="46"/>
      <c r="M108" s="79">
        <f t="shared" ref="M108:M114" si="26">(K108-G108)/H108</f>
        <v>-1.0895295287308733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25"/>
        <v>1885.6887143776557</v>
      </c>
      <c r="H109" s="54">
        <f t="shared" si="25"/>
        <v>1672.2318337229601</v>
      </c>
      <c r="I109" s="126">
        <f t="shared" si="25"/>
        <v>3053.7001507456553</v>
      </c>
      <c r="J109" s="126">
        <f t="shared" si="25"/>
        <v>3467.0861437814206</v>
      </c>
      <c r="K109" s="126">
        <f t="shared" si="25"/>
        <v>3653.597349729167</v>
      </c>
      <c r="L109" s="46"/>
      <c r="M109" s="79">
        <f t="shared" si="26"/>
        <v>1.0572150342429147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25"/>
        <v>293.0479502604465</v>
      </c>
      <c r="H110" s="54">
        <f t="shared" si="25"/>
        <v>259.87540122416937</v>
      </c>
      <c r="I110" s="126">
        <f t="shared" si="25"/>
        <v>135.25764885569427</v>
      </c>
      <c r="J110" s="126">
        <f t="shared" si="25"/>
        <v>66.768595337424827</v>
      </c>
      <c r="K110" s="126">
        <f t="shared" si="25"/>
        <v>0</v>
      </c>
      <c r="L110" s="46"/>
      <c r="M110" s="79">
        <f t="shared" si="26"/>
        <v>-1.1276478992625485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25"/>
        <v>325.41494636378735</v>
      </c>
      <c r="H111" s="54">
        <f t="shared" si="25"/>
        <v>288.57850626653942</v>
      </c>
      <c r="I111" s="126">
        <f t="shared" si="25"/>
        <v>261.78659308065431</v>
      </c>
      <c r="J111" s="126">
        <f t="shared" si="25"/>
        <v>294.48395167042906</v>
      </c>
      <c r="K111" s="126">
        <f t="shared" si="25"/>
        <v>320.42770398351769</v>
      </c>
      <c r="L111" s="46"/>
      <c r="M111" s="79">
        <f t="shared" si="26"/>
        <v>-1.7282099227664941E-2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25"/>
        <v>2759.4647217170004</v>
      </c>
      <c r="H112" s="54">
        <f t="shared" si="25"/>
        <v>2262.5757283047751</v>
      </c>
      <c r="I112" s="126">
        <f t="shared" si="25"/>
        <v>1703.1320947882959</v>
      </c>
      <c r="J112" s="126">
        <f t="shared" si="25"/>
        <v>1740.3730582150536</v>
      </c>
      <c r="K112" s="126">
        <f t="shared" si="25"/>
        <v>1403.06547850064</v>
      </c>
      <c r="L112" s="46"/>
      <c r="M112" s="79">
        <f t="shared" si="26"/>
        <v>-0.59949341197637462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25"/>
        <v>302.36444689280501</v>
      </c>
      <c r="H113" s="54">
        <f t="shared" si="25"/>
        <v>247.91853769968927</v>
      </c>
      <c r="I113" s="126">
        <f t="shared" si="25"/>
        <v>984.41319026574877</v>
      </c>
      <c r="J113" s="126">
        <f t="shared" si="25"/>
        <v>2462.1253704234473</v>
      </c>
      <c r="K113" s="126">
        <f t="shared" si="25"/>
        <v>3454.8813308354497</v>
      </c>
      <c r="L113" s="46"/>
      <c r="M113" s="79">
        <f t="shared" si="26"/>
        <v>12.715938522360023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22006.45648011427</v>
      </c>
      <c r="H114" s="156">
        <f>SUM(H107:H113)</f>
        <v>18552.521665191991</v>
      </c>
      <c r="I114" s="154">
        <f t="shared" ref="I114:J114" si="27">SUM(I107:I113)</f>
        <v>13577.517651495486</v>
      </c>
      <c r="J114" s="154">
        <f t="shared" si="27"/>
        <v>11260.144371291446</v>
      </c>
      <c r="K114" s="154">
        <f>SUM(K107:K113)</f>
        <v>9574.4598529005725</v>
      </c>
      <c r="L114" s="21"/>
      <c r="M114" s="79">
        <f t="shared" si="26"/>
        <v>-0.67009740517044936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262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 t="shared" ref="G118:K124" si="28">G$36*G45*(1-$H$73)*G97/1000</f>
        <v>172.87696066081725</v>
      </c>
      <c r="H118" s="157">
        <f t="shared" si="28"/>
        <v>136.76121423074386</v>
      </c>
      <c r="I118" s="153">
        <f t="shared" si="28"/>
        <v>15.647413560026909</v>
      </c>
      <c r="J118" s="153">
        <f t="shared" si="28"/>
        <v>0</v>
      </c>
      <c r="K118" s="153">
        <f t="shared" si="28"/>
        <v>0</v>
      </c>
      <c r="L118" s="46"/>
      <c r="M118" s="79">
        <f>(K118-G118)/H118</f>
        <v>-1.2640788664623788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si="28"/>
        <v>441.08271280193514</v>
      </c>
      <c r="H119" s="157">
        <f t="shared" si="28"/>
        <v>379.38847424130932</v>
      </c>
      <c r="I119" s="153">
        <f t="shared" si="28"/>
        <v>302.34445343421555</v>
      </c>
      <c r="J119" s="153">
        <f t="shared" si="28"/>
        <v>142.83405391473627</v>
      </c>
      <c r="K119" s="153">
        <f t="shared" si="28"/>
        <v>34.248825435058542</v>
      </c>
      <c r="L119" s="46"/>
      <c r="M119" s="79">
        <f t="shared" ref="M119:M125" si="29">(K119-G119)/H119</f>
        <v>-1.0723411884887959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28"/>
        <v>70.419910495431196</v>
      </c>
      <c r="H120" s="157">
        <f t="shared" si="28"/>
        <v>62.448491715795257</v>
      </c>
      <c r="I120" s="153">
        <f t="shared" si="28"/>
        <v>136.73016568691526</v>
      </c>
      <c r="J120" s="153">
        <f t="shared" si="28"/>
        <v>161.32860491688137</v>
      </c>
      <c r="K120" s="153">
        <f t="shared" si="28"/>
        <v>179.09450662400153</v>
      </c>
      <c r="L120" s="46"/>
      <c r="M120" s="79">
        <f t="shared" si="29"/>
        <v>1.7402277163578475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28"/>
        <v>10.943699387319592</v>
      </c>
      <c r="H121" s="157">
        <f t="shared" si="28"/>
        <v>9.7048905021474123</v>
      </c>
      <c r="I121" s="153">
        <f t="shared" si="28"/>
        <v>6.0561940680213322</v>
      </c>
      <c r="J121" s="153">
        <f t="shared" si="28"/>
        <v>3.1068406988867778</v>
      </c>
      <c r="K121" s="153">
        <f t="shared" si="28"/>
        <v>0</v>
      </c>
      <c r="L121" s="46"/>
      <c r="M121" s="79">
        <f t="shared" si="29"/>
        <v>-1.1276478992625487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28"/>
        <v>12.152425382880038</v>
      </c>
      <c r="H122" s="157">
        <f t="shared" si="28"/>
        <v>10.776790690451689</v>
      </c>
      <c r="I122" s="153">
        <f t="shared" si="28"/>
        <v>11.721558266875251</v>
      </c>
      <c r="J122" s="153">
        <f t="shared" si="28"/>
        <v>13.702770315820501</v>
      </c>
      <c r="K122" s="153">
        <f t="shared" si="28"/>
        <v>15.706941969903628</v>
      </c>
      <c r="L122" s="46"/>
      <c r="M122" s="79">
        <f t="shared" si="29"/>
        <v>0.32983071575964784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28"/>
        <v>103.05054977366402</v>
      </c>
      <c r="H123" s="157">
        <f t="shared" si="28"/>
        <v>84.494529272792491</v>
      </c>
      <c r="I123" s="153">
        <f t="shared" si="28"/>
        <v>68.708252141897802</v>
      </c>
      <c r="J123" s="153">
        <f t="shared" si="28"/>
        <v>71.102118494997271</v>
      </c>
      <c r="K123" s="153">
        <f t="shared" si="28"/>
        <v>58.844217085323812</v>
      </c>
      <c r="L123" s="46"/>
      <c r="M123" s="79">
        <f t="shared" si="29"/>
        <v>-0.52318573839992721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28"/>
        <v>11.291618348693973</v>
      </c>
      <c r="H124" s="157">
        <f t="shared" si="28"/>
        <v>9.2583686277892348</v>
      </c>
      <c r="I124" s="153">
        <f t="shared" si="28"/>
        <v>39.713484289071879</v>
      </c>
      <c r="J124" s="153">
        <f t="shared" si="28"/>
        <v>100.58896798651487</v>
      </c>
      <c r="K124" s="153">
        <f t="shared" si="28"/>
        <v>144.8968634400201</v>
      </c>
      <c r="L124" s="46"/>
      <c r="M124" s="79">
        <f t="shared" si="29"/>
        <v>14.430754538149033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821.81787685074107</v>
      </c>
      <c r="H125" s="158">
        <f>SUM(H118:H124)</f>
        <v>692.83275928102933</v>
      </c>
      <c r="I125" s="155">
        <f t="shared" ref="I125:K125" si="30">SUM(I118:I124)</f>
        <v>580.92152144702402</v>
      </c>
      <c r="J125" s="155">
        <f t="shared" si="30"/>
        <v>492.66335632783711</v>
      </c>
      <c r="K125" s="155">
        <f t="shared" si="30"/>
        <v>432.79135455430765</v>
      </c>
      <c r="L125" s="21"/>
      <c r="M125" s="79">
        <f t="shared" si="29"/>
        <v>-0.56150133937104307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263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3798.9226175206595</v>
      </c>
      <c r="I129" s="153">
        <f t="shared" ref="I129:K129" si="31">I107+I118</f>
        <v>422.41286626783085</v>
      </c>
      <c r="J129" s="153">
        <f t="shared" si="31"/>
        <v>0</v>
      </c>
      <c r="K129" s="153">
        <f t="shared" si="31"/>
        <v>0</v>
      </c>
      <c r="L129" s="46"/>
      <c r="M129" s="79">
        <f>(K129-G129)/H129</f>
        <v>0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5" si="32">H108+H119</f>
        <v>10538.568728925251</v>
      </c>
      <c r="I130" s="153">
        <f t="shared" si="32"/>
        <v>7334.8069744858485</v>
      </c>
      <c r="J130" s="153">
        <f t="shared" si="32"/>
        <v>3372.1413057784066</v>
      </c>
      <c r="K130" s="153">
        <f t="shared" si="32"/>
        <v>776.73681528685586</v>
      </c>
      <c r="L130" s="46"/>
      <c r="M130" s="79">
        <f t="shared" ref="M130:M136" si="33">(K130-G130)/H130</f>
        <v>7.3704203603563667E-2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si="32"/>
        <v>1734.6803254387553</v>
      </c>
      <c r="I131" s="153">
        <f t="shared" si="32"/>
        <v>3190.4303164325706</v>
      </c>
      <c r="J131" s="153">
        <f t="shared" si="32"/>
        <v>3628.414748698302</v>
      </c>
      <c r="K131" s="153">
        <f t="shared" si="32"/>
        <v>3832.6918563531685</v>
      </c>
      <c r="L131" s="46"/>
      <c r="M131" s="79">
        <f t="shared" si="33"/>
        <v>2.2094513900616013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si="32"/>
        <v>269.58029172631677</v>
      </c>
      <c r="I132" s="153">
        <f t="shared" si="32"/>
        <v>141.31384292371561</v>
      </c>
      <c r="J132" s="153">
        <f t="shared" si="32"/>
        <v>69.875436036311612</v>
      </c>
      <c r="K132" s="153">
        <f t="shared" si="32"/>
        <v>0</v>
      </c>
      <c r="L132" s="46"/>
      <c r="M132" s="79">
        <f t="shared" si="33"/>
        <v>0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si="32"/>
        <v>299.35529695699108</v>
      </c>
      <c r="I133" s="153">
        <f t="shared" si="32"/>
        <v>273.50815134752958</v>
      </c>
      <c r="J133" s="153">
        <f t="shared" si="32"/>
        <v>308.18672198624955</v>
      </c>
      <c r="K133" s="153">
        <f t="shared" si="32"/>
        <v>336.13464595342134</v>
      </c>
      <c r="L133" s="46"/>
      <c r="M133" s="79">
        <f t="shared" si="33"/>
        <v>1.122861861374427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si="32"/>
        <v>2347.0702575775676</v>
      </c>
      <c r="I134" s="153">
        <f t="shared" si="32"/>
        <v>1771.8403469301938</v>
      </c>
      <c r="J134" s="153">
        <f t="shared" si="32"/>
        <v>1811.4751767100508</v>
      </c>
      <c r="K134" s="153">
        <f t="shared" si="32"/>
        <v>1461.9096955859638</v>
      </c>
      <c r="L134" s="46"/>
      <c r="M134" s="79">
        <f t="shared" si="33"/>
        <v>0.62286575822183265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si="32"/>
        <v>257.17690632747849</v>
      </c>
      <c r="I135" s="153">
        <f t="shared" si="32"/>
        <v>1024.1266745548207</v>
      </c>
      <c r="J135" s="153">
        <f t="shared" si="32"/>
        <v>2562.7143384099622</v>
      </c>
      <c r="K135" s="153">
        <f t="shared" si="32"/>
        <v>3599.77819427547</v>
      </c>
      <c r="L135" s="46"/>
      <c r="M135" s="79">
        <f t="shared" si="33"/>
        <v>13.997283992877886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19245.354424473018</v>
      </c>
      <c r="I136" s="155">
        <f t="shared" ref="I136:K136" si="34">SUM(I129:I135)</f>
        <v>14158.439172942508</v>
      </c>
      <c r="J136" s="155">
        <f t="shared" si="34"/>
        <v>11752.807727619283</v>
      </c>
      <c r="K136" s="155">
        <f t="shared" si="34"/>
        <v>10007.251207454879</v>
      </c>
      <c r="L136" s="21"/>
      <c r="M136" s="79">
        <f t="shared" si="33"/>
        <v>0.51998269227660121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264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énergie'!C48</f>
        <v>1.1068404808735261E-2</v>
      </c>
      <c r="I142" s="47">
        <v>0</v>
      </c>
      <c r="J142" s="47">
        <v>0</v>
      </c>
      <c r="K142" s="47">
        <v>0</v>
      </c>
      <c r="M142" s="334" t="s">
        <v>41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énergie'!C49</f>
        <v>0.44151844048973238</v>
      </c>
      <c r="I143" s="47">
        <v>0</v>
      </c>
      <c r="J143" s="47">
        <v>0</v>
      </c>
      <c r="K143" s="47">
        <v>0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énergie'!C50</f>
        <v>0.19276276753541544</v>
      </c>
      <c r="I144" s="47">
        <v>0.4</v>
      </c>
      <c r="J144" s="47">
        <v>0.4</v>
      </c>
      <c r="K144" s="47">
        <v>0.4</v>
      </c>
      <c r="M144" s="335"/>
      <c r="N144" s="33"/>
      <c r="O144" s="42"/>
    </row>
    <row r="145" spans="1:15" s="17" customFormat="1">
      <c r="A145" s="56"/>
      <c r="C145" s="40"/>
      <c r="D145" s="32"/>
      <c r="E145" s="6" t="s">
        <v>22</v>
      </c>
      <c r="F145" s="55"/>
      <c r="G145" s="55"/>
      <c r="H145" s="55">
        <f>'Init. énergie'!C51</f>
        <v>3.6575030316210601E-2</v>
      </c>
      <c r="I145" s="47">
        <f t="shared" ref="I145:K146" si="35">H145</f>
        <v>3.6575030316210601E-2</v>
      </c>
      <c r="J145" s="47">
        <f t="shared" si="35"/>
        <v>3.6575030316210601E-2</v>
      </c>
      <c r="K145" s="47">
        <f t="shared" si="35"/>
        <v>3.6575030316210601E-2</v>
      </c>
      <c r="M145" s="335"/>
      <c r="N145" s="33"/>
      <c r="O145" s="42"/>
    </row>
    <row r="146" spans="1:15" s="17" customFormat="1">
      <c r="A146" s="56"/>
      <c r="C146" s="40"/>
      <c r="D146" s="32"/>
      <c r="E146" s="6" t="s">
        <v>42</v>
      </c>
      <c r="F146" s="55"/>
      <c r="G146" s="55"/>
      <c r="H146" s="55">
        <f>'Init. énergie'!C52</f>
        <v>3.1736685713051743E-2</v>
      </c>
      <c r="I146" s="47">
        <f t="shared" si="35"/>
        <v>3.1736685713051743E-2</v>
      </c>
      <c r="J146" s="47">
        <v>0.05</v>
      </c>
      <c r="K146" s="47">
        <v>0.08</v>
      </c>
      <c r="M146" s="335"/>
      <c r="N146" s="33"/>
      <c r="O146" s="42"/>
    </row>
    <row r="147" spans="1:15" s="17" customFormat="1">
      <c r="A147" s="56"/>
      <c r="C147" s="40"/>
      <c r="D147" s="32"/>
      <c r="E147" s="6" t="s">
        <v>25</v>
      </c>
      <c r="F147" s="55"/>
      <c r="G147" s="85"/>
      <c r="H147" s="55">
        <f>'Init. énergie'!C53</f>
        <v>8.5410409228175652E-2</v>
      </c>
      <c r="I147" s="47">
        <f>1-I142-I143-I144-I145-I146-I148</f>
        <v>8.168828397073763E-2</v>
      </c>
      <c r="J147" s="47">
        <f t="shared" ref="J147:K147" si="36">1-J142-J143-J144-J145-J146-J148</f>
        <v>6.3424969683789356E-2</v>
      </c>
      <c r="K147" s="47">
        <f t="shared" si="36"/>
        <v>3.3424969683789385E-2</v>
      </c>
      <c r="M147" s="335"/>
      <c r="N147" s="33"/>
      <c r="O147" s="42"/>
    </row>
    <row r="148" spans="1:15" s="17" customFormat="1">
      <c r="A148" s="56"/>
      <c r="C148" s="40"/>
      <c r="D148" s="32"/>
      <c r="E148" s="6" t="s">
        <v>26</v>
      </c>
      <c r="F148" s="55"/>
      <c r="G148" s="85"/>
      <c r="H148" s="55">
        <f>'Init. énergie'!C54</f>
        <v>0.20092826190867891</v>
      </c>
      <c r="I148" s="47">
        <v>0.45</v>
      </c>
      <c r="J148" s="47">
        <v>0.45</v>
      </c>
      <c r="K148" s="47">
        <v>0.45</v>
      </c>
      <c r="M148" s="335"/>
      <c r="N148" s="33"/>
      <c r="O148" s="42"/>
    </row>
    <row r="149" spans="1:15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1</v>
      </c>
      <c r="I149" s="15">
        <f t="shared" ref="I149:K149" si="37">SUM(I142:I148)</f>
        <v>1</v>
      </c>
      <c r="J149" s="15">
        <f t="shared" si="37"/>
        <v>1</v>
      </c>
      <c r="K149" s="15">
        <f t="shared" si="37"/>
        <v>1</v>
      </c>
      <c r="M149" s="336"/>
      <c r="N149" s="33"/>
      <c r="O149" s="42"/>
    </row>
    <row r="150" spans="1:15" s="17" customFormat="1">
      <c r="A150" s="56"/>
      <c r="C150" s="40"/>
      <c r="D150" s="32"/>
      <c r="M150" s="65"/>
      <c r="N150" s="33"/>
      <c r="O150" s="42"/>
    </row>
    <row r="151" spans="1:15" s="17" customFormat="1" ht="30.75" customHeight="1">
      <c r="A151" s="56"/>
      <c r="C151" s="40"/>
      <c r="D151" s="32"/>
      <c r="F151" s="333" t="s">
        <v>265</v>
      </c>
      <c r="G151" s="333"/>
      <c r="H151" s="333"/>
      <c r="I151" s="333"/>
      <c r="J151" s="333"/>
      <c r="K151" s="333"/>
      <c r="M151" s="65"/>
      <c r="N151" s="33"/>
      <c r="O151" s="42"/>
    </row>
    <row r="152" spans="1:15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5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101.93178232374642</v>
      </c>
      <c r="J153" s="45">
        <f>K153</f>
        <v>101.93178232374642</v>
      </c>
      <c r="K153" s="45">
        <f t="shared" ref="K153:K159" si="38">K77</f>
        <v>101.93178232374642</v>
      </c>
      <c r="M153" s="334" t="s">
        <v>38</v>
      </c>
      <c r="N153" s="33"/>
      <c r="O153" s="42"/>
    </row>
    <row r="154" spans="1:15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J159" si="39">J154</f>
        <v>77.755425458741399</v>
      </c>
      <c r="J154" s="45">
        <f t="shared" si="39"/>
        <v>77.755425458741399</v>
      </c>
      <c r="K154" s="45">
        <f t="shared" si="38"/>
        <v>77.755425458741399</v>
      </c>
      <c r="M154" s="335"/>
      <c r="N154" s="33"/>
      <c r="O154" s="42"/>
    </row>
    <row r="155" spans="1:15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39"/>
        <v>76.522993035840472</v>
      </c>
      <c r="J155" s="45">
        <f t="shared" si="39"/>
        <v>76.522993035840472</v>
      </c>
      <c r="K155" s="45">
        <f t="shared" si="38"/>
        <v>76.522993035840472</v>
      </c>
      <c r="M155" s="335"/>
      <c r="N155" s="33"/>
      <c r="O155" s="42"/>
    </row>
    <row r="156" spans="1:15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39"/>
        <v>67.571737429861003</v>
      </c>
      <c r="J156" s="45">
        <f t="shared" si="39"/>
        <v>67.571737429861003</v>
      </c>
      <c r="K156" s="45">
        <f t="shared" si="38"/>
        <v>67.571737429861003</v>
      </c>
      <c r="M156" s="335"/>
      <c r="N156" s="33"/>
      <c r="O156" s="42"/>
    </row>
    <row r="157" spans="1:15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39"/>
        <v>83.890220422889158</v>
      </c>
      <c r="J157" s="45">
        <f t="shared" si="39"/>
        <v>83.890220422889158</v>
      </c>
      <c r="K157" s="45">
        <f t="shared" si="38"/>
        <v>83.890220422889158</v>
      </c>
      <c r="M157" s="335"/>
      <c r="N157" s="33"/>
      <c r="O157" s="42"/>
    </row>
    <row r="158" spans="1:15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39"/>
        <v>56.512674392041632</v>
      </c>
      <c r="J158" s="45">
        <f t="shared" si="39"/>
        <v>56.512674392041632</v>
      </c>
      <c r="K158" s="45">
        <f t="shared" si="38"/>
        <v>56.512674392041632</v>
      </c>
      <c r="M158" s="335"/>
      <c r="N158" s="33"/>
      <c r="O158" s="42"/>
    </row>
    <row r="159" spans="1:15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39"/>
        <v>32.891351468458652</v>
      </c>
      <c r="J159" s="45">
        <f t="shared" si="39"/>
        <v>32.891351468458652</v>
      </c>
      <c r="K159" s="45">
        <f t="shared" si="38"/>
        <v>32.891351468458652</v>
      </c>
      <c r="M159" s="336"/>
      <c r="N159" s="33"/>
      <c r="O159" s="42"/>
    </row>
    <row r="160" spans="1:15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266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40">I$35*I142*I153/1000</f>
        <v>0</v>
      </c>
      <c r="J163" s="10">
        <f t="shared" si="40"/>
        <v>0</v>
      </c>
      <c r="K163" s="10">
        <f t="shared" si="40"/>
        <v>0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9" si="41">H$35*H143*H154/1000</f>
        <v>0</v>
      </c>
      <c r="I164" s="10">
        <f t="shared" si="41"/>
        <v>0</v>
      </c>
      <c r="J164" s="10">
        <f t="shared" si="41"/>
        <v>0</v>
      </c>
      <c r="K164" s="10">
        <f t="shared" si="41"/>
        <v>0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si="41"/>
        <v>0</v>
      </c>
      <c r="I165" s="10">
        <f t="shared" si="41"/>
        <v>513.47593163349495</v>
      </c>
      <c r="J165" s="10">
        <f t="shared" si="41"/>
        <v>519.66907759729258</v>
      </c>
      <c r="K165" s="10">
        <f t="shared" si="41"/>
        <v>393.1623634039654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si="41"/>
        <v>0</v>
      </c>
      <c r="I166" s="10">
        <f t="shared" si="41"/>
        <v>41.458915037718384</v>
      </c>
      <c r="J166" s="10">
        <f t="shared" si="41"/>
        <v>41.958960115805013</v>
      </c>
      <c r="K166" s="10">
        <f t="shared" si="41"/>
        <v>31.744594081632862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si="41"/>
        <v>0</v>
      </c>
      <c r="I167" s="10">
        <f t="shared" si="41"/>
        <v>44.662297345023127</v>
      </c>
      <c r="J167" s="10">
        <f t="shared" si="41"/>
        <v>71.21250707969898</v>
      </c>
      <c r="K167" s="10">
        <f t="shared" si="41"/>
        <v>86.202789565470766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si="41"/>
        <v>0</v>
      </c>
      <c r="I168" s="10">
        <f t="shared" si="41"/>
        <v>77.441505123034915</v>
      </c>
      <c r="J168" s="10">
        <f t="shared" si="41"/>
        <v>60.85286981463485</v>
      </c>
      <c r="K168" s="10">
        <f t="shared" si="41"/>
        <v>24.262574380723319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si="41"/>
        <v>0</v>
      </c>
      <c r="I169" s="10">
        <f t="shared" si="41"/>
        <v>248.29180422015867</v>
      </c>
      <c r="J169" s="10">
        <f t="shared" si="41"/>
        <v>251.28650619237823</v>
      </c>
      <c r="K169" s="10">
        <f t="shared" si="41"/>
        <v>190.11405705128558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42">SUM(I163:I169)</f>
        <v>925.33045335943007</v>
      </c>
      <c r="J170" s="11">
        <f t="shared" si="42"/>
        <v>944.97992079980963</v>
      </c>
      <c r="K170" s="11">
        <f t="shared" si="42"/>
        <v>725.48637848307794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E174" s="337" t="s">
        <v>238</v>
      </c>
      <c r="F174" s="337"/>
      <c r="G174" s="337"/>
      <c r="H174" s="337"/>
      <c r="I174" s="337"/>
      <c r="J174" s="337"/>
      <c r="K174" s="337"/>
      <c r="L174" s="337"/>
      <c r="M174" s="337"/>
    </row>
    <row r="175" spans="1:15" s="17" customFormat="1">
      <c r="A175" s="56"/>
      <c r="M175" s="65"/>
    </row>
    <row r="176" spans="1:15" s="17" customFormat="1">
      <c r="A176" s="56"/>
      <c r="E176" s="5" t="s">
        <v>20</v>
      </c>
      <c r="F176" s="4"/>
      <c r="G176" s="4"/>
      <c r="H176" s="4">
        <v>2020</v>
      </c>
      <c r="I176" s="4">
        <v>2030</v>
      </c>
      <c r="J176" s="4">
        <v>2040</v>
      </c>
      <c r="K176" s="4">
        <v>2050</v>
      </c>
      <c r="M176" s="65"/>
    </row>
    <row r="177" spans="1:13" s="17" customFormat="1">
      <c r="A177" s="56"/>
      <c r="E177" s="6" t="s">
        <v>15</v>
      </c>
      <c r="F177" s="82"/>
      <c r="G177" s="82"/>
      <c r="H177" s="10">
        <f t="shared" ref="H177:K183" si="43">H$36*($H$73*H45+(1-$H$73)*H59)+H$35*H142</f>
        <v>28239.077300335142</v>
      </c>
      <c r="I177" s="10">
        <f t="shared" si="43"/>
        <v>3491.327034942587</v>
      </c>
      <c r="J177" s="10">
        <f t="shared" si="43"/>
        <v>0</v>
      </c>
      <c r="K177" s="10">
        <f t="shared" si="43"/>
        <v>0</v>
      </c>
      <c r="M177" s="65"/>
    </row>
    <row r="178" spans="1:13" s="17" customFormat="1">
      <c r="A178" s="56"/>
      <c r="E178" s="6" t="s">
        <v>16</v>
      </c>
      <c r="F178" s="82"/>
      <c r="G178" s="82"/>
      <c r="H178" s="10">
        <f t="shared" si="43"/>
        <v>94452.256230344166</v>
      </c>
      <c r="I178" s="10">
        <f t="shared" si="43"/>
        <v>79128.478171269613</v>
      </c>
      <c r="J178" s="10">
        <f t="shared" si="43"/>
        <v>39297.522732824676</v>
      </c>
      <c r="K178" s="10">
        <f t="shared" si="43"/>
        <v>9905.6207661851931</v>
      </c>
      <c r="M178" s="65"/>
    </row>
    <row r="179" spans="1:13" s="17" customFormat="1">
      <c r="A179" s="56"/>
      <c r="E179" s="6" t="s">
        <v>75</v>
      </c>
      <c r="F179" s="82"/>
      <c r="G179" s="82"/>
      <c r="H179" s="10">
        <f t="shared" si="43"/>
        <v>15322.390353659735</v>
      </c>
      <c r="I179" s="10">
        <f t="shared" si="43"/>
        <v>41623.357230018766</v>
      </c>
      <c r="J179" s="10">
        <f t="shared" si="43"/>
        <v>49661.582231060631</v>
      </c>
      <c r="K179" s="10">
        <f t="shared" si="43"/>
        <v>54665.93689006706</v>
      </c>
      <c r="M179" s="65"/>
    </row>
    <row r="180" spans="1:13" s="17" customFormat="1">
      <c r="A180" s="56"/>
      <c r="E180" s="6" t="s">
        <v>22</v>
      </c>
      <c r="F180" s="82"/>
      <c r="G180" s="82"/>
      <c r="H180" s="10">
        <f t="shared" si="43"/>
        <v>2696.6344026780575</v>
      </c>
      <c r="I180" s="10">
        <f t="shared" si="43"/>
        <v>2364.822985293436</v>
      </c>
      <c r="J180" s="10">
        <f t="shared" si="43"/>
        <v>1555.915646515879</v>
      </c>
      <c r="K180" s="10">
        <f t="shared" si="43"/>
        <v>469.79099974428703</v>
      </c>
      <c r="M180" s="65"/>
    </row>
    <row r="181" spans="1:13" s="17" customFormat="1">
      <c r="A181" s="56"/>
      <c r="E181" s="6" t="s">
        <v>42</v>
      </c>
      <c r="F181" s="82"/>
      <c r="G181" s="82"/>
      <c r="H181" s="10">
        <f t="shared" si="43"/>
        <v>2411.9851483438042</v>
      </c>
      <c r="I181" s="10">
        <f t="shared" si="43"/>
        <v>3262.5752894197076</v>
      </c>
      <c r="J181" s="10">
        <f t="shared" si="43"/>
        <v>4170.3968265019048</v>
      </c>
      <c r="K181" s="10">
        <f t="shared" si="43"/>
        <v>4989.814918302297</v>
      </c>
      <c r="M181" s="65"/>
    </row>
    <row r="182" spans="1:13" s="17" customFormat="1">
      <c r="A182" s="56"/>
      <c r="E182" s="6" t="s">
        <v>25</v>
      </c>
      <c r="F182" s="82"/>
      <c r="G182" s="82"/>
      <c r="H182" s="10">
        <f t="shared" si="43"/>
        <v>30361.795763937127</v>
      </c>
      <c r="I182" s="10">
        <f t="shared" si="43"/>
        <v>27737.207734931071</v>
      </c>
      <c r="J182" s="10">
        <f t="shared" si="43"/>
        <v>30216.361039256692</v>
      </c>
      <c r="K182" s="10">
        <f t="shared" si="43"/>
        <v>26183.943777686884</v>
      </c>
      <c r="M182" s="65"/>
    </row>
    <row r="183" spans="1:13" s="17" customFormat="1">
      <c r="A183" s="56"/>
      <c r="E183" s="6" t="s">
        <v>26</v>
      </c>
      <c r="F183" s="82"/>
      <c r="G183" s="82"/>
      <c r="H183" s="10">
        <f t="shared" si="43"/>
        <v>5716.0691492869373</v>
      </c>
      <c r="I183" s="10">
        <f t="shared" si="43"/>
        <v>33733.800502736412</v>
      </c>
      <c r="J183" s="10">
        <f t="shared" si="43"/>
        <v>78469.522734715982</v>
      </c>
      <c r="K183" s="10">
        <f t="shared" si="43"/>
        <v>114741.89061957086</v>
      </c>
      <c r="M183" s="65"/>
    </row>
    <row r="184" spans="1:13" s="17" customFormat="1">
      <c r="A184" s="56"/>
      <c r="E184" s="7" t="s">
        <v>17</v>
      </c>
      <c r="F184" s="82"/>
      <c r="G184" s="82"/>
      <c r="H184" s="10">
        <f>SUM(H177:H183)</f>
        <v>179200.20834858494</v>
      </c>
      <c r="I184" s="10">
        <f t="shared" ref="I184:K184" si="44">SUM(I177:I183)</f>
        <v>191341.56894861159</v>
      </c>
      <c r="J184" s="10">
        <f t="shared" si="44"/>
        <v>203371.30121087574</v>
      </c>
      <c r="K184" s="10">
        <f t="shared" si="44"/>
        <v>210956.99797155656</v>
      </c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1">
    <mergeCell ref="M59:M65"/>
    <mergeCell ref="F68:K68"/>
    <mergeCell ref="F75:K75"/>
    <mergeCell ref="F161:K161"/>
    <mergeCell ref="F85:G85"/>
    <mergeCell ref="M87:M93"/>
    <mergeCell ref="F95:K95"/>
    <mergeCell ref="F105:K105"/>
    <mergeCell ref="F116:K116"/>
    <mergeCell ref="F127:K127"/>
    <mergeCell ref="E138:M138"/>
    <mergeCell ref="F140:K140"/>
    <mergeCell ref="M142:M149"/>
    <mergeCell ref="F151:K151"/>
    <mergeCell ref="M153:M159"/>
    <mergeCell ref="E174:M174"/>
    <mergeCell ref="C27:O27"/>
    <mergeCell ref="C1:O1"/>
    <mergeCell ref="C3:O3"/>
    <mergeCell ref="F5:K5"/>
    <mergeCell ref="F11:K11"/>
    <mergeCell ref="F22:K22"/>
    <mergeCell ref="M77:M83"/>
    <mergeCell ref="D29:N29"/>
    <mergeCell ref="F32:K32"/>
    <mergeCell ref="D39:N39"/>
    <mergeCell ref="E41:M41"/>
    <mergeCell ref="F43:K43"/>
    <mergeCell ref="F54:K54"/>
    <mergeCell ref="F57:K57"/>
    <mergeCell ref="M45:M52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50"/>
    <pageSetUpPr fitToPage="1"/>
  </sheetPr>
  <dimension ref="A1:GB1589"/>
  <sheetViews>
    <sheetView showGridLines="0" topLeftCell="A25" zoomScaleNormal="100" workbookViewId="0">
      <selection activeCell="B41" sqref="B41:M41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253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256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226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 t="shared" ref="H7:K8" si="0">H34</f>
        <v>56508.434021496716</v>
      </c>
      <c r="I7" s="10">
        <f t="shared" si="0"/>
        <v>57014.156186263011</v>
      </c>
      <c r="J7" s="10">
        <f t="shared" si="0"/>
        <v>57435.55761967256</v>
      </c>
      <c r="K7" s="10">
        <f t="shared" si="0"/>
        <v>56622.338824758699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1642.7890950831008</v>
      </c>
      <c r="J8" s="76">
        <f t="shared" si="0"/>
        <v>1568.644542901045</v>
      </c>
      <c r="K8" s="76">
        <f t="shared" si="0"/>
        <v>1155.7225806114329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1">H36</f>
        <v>56508.434021496716</v>
      </c>
      <c r="I9" s="96">
        <f t="shared" si="1"/>
        <v>55371.367091179913</v>
      </c>
      <c r="J9" s="96">
        <f t="shared" si="1"/>
        <v>55866.913076771518</v>
      </c>
      <c r="K9" s="96">
        <f t="shared" si="1"/>
        <v>55466.61624414727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228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777.44474922696963</v>
      </c>
      <c r="I13" s="86">
        <f t="shared" ref="I13:K13" si="2">I129+I163</f>
        <v>125.40858953838998</v>
      </c>
      <c r="J13" s="86">
        <f t="shared" si="2"/>
        <v>0</v>
      </c>
      <c r="K13" s="86">
        <f t="shared" si="2"/>
        <v>0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9" si="3">H130+H164</f>
        <v>4659.6020399884055</v>
      </c>
      <c r="I14" s="86">
        <f t="shared" si="3"/>
        <v>3544.4768378264766</v>
      </c>
      <c r="J14" s="86">
        <f t="shared" si="3"/>
        <v>1731.9194998135022</v>
      </c>
      <c r="K14" s="86">
        <f t="shared" si="3"/>
        <v>466.14951188989255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si="3"/>
        <v>197.24017631445162</v>
      </c>
      <c r="I15" s="86">
        <f t="shared" si="3"/>
        <v>541.78748493396483</v>
      </c>
      <c r="J15" s="86">
        <f t="shared" si="3"/>
        <v>592.34518137612667</v>
      </c>
      <c r="K15" s="86">
        <f t="shared" si="3"/>
        <v>725.44478314507069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si="3"/>
        <v>21.916159417502385</v>
      </c>
      <c r="I16" s="86">
        <f t="shared" si="3"/>
        <v>13.243523913793505</v>
      </c>
      <c r="J16" s="86">
        <f t="shared" si="3"/>
        <v>6.6808897175691326</v>
      </c>
      <c r="K16" s="86">
        <f t="shared" si="3"/>
        <v>0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si="3"/>
        <v>20.784899477038984</v>
      </c>
      <c r="I17" s="86">
        <f t="shared" si="3"/>
        <v>46.604670007818498</v>
      </c>
      <c r="J17" s="86">
        <f t="shared" si="3"/>
        <v>76.187675405076547</v>
      </c>
      <c r="K17" s="86">
        <f t="shared" si="3"/>
        <v>104.67935983055362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si="3"/>
        <v>1088.2670833717302</v>
      </c>
      <c r="I18" s="86">
        <f t="shared" si="3"/>
        <v>593.84359339920718</v>
      </c>
      <c r="J18" s="86">
        <f t="shared" si="3"/>
        <v>572.63846690038054</v>
      </c>
      <c r="K18" s="86">
        <f t="shared" si="3"/>
        <v>497.15882502609657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si="3"/>
        <v>163.87191043983145</v>
      </c>
      <c r="I19" s="86">
        <f t="shared" si="3"/>
        <v>440.81272885753651</v>
      </c>
      <c r="J19" s="86">
        <f t="shared" si="3"/>
        <v>1024.9203740937899</v>
      </c>
      <c r="K19" s="86">
        <f t="shared" si="3"/>
        <v>1280.3177109805572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6929.1270182359303</v>
      </c>
      <c r="I20" s="13">
        <f t="shared" ref="I20:K20" si="4">SUM(I13:I19)</f>
        <v>5306.1774284771873</v>
      </c>
      <c r="J20" s="13">
        <f t="shared" si="4"/>
        <v>4004.6920873064446</v>
      </c>
      <c r="K20" s="13">
        <f t="shared" si="4"/>
        <v>3073.7501908721706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-0.37546629436107815</v>
      </c>
      <c r="J23" s="188">
        <f t="shared" ref="J23:K23" si="5">J114/$G114-1</f>
        <v>-0.51058410150405575</v>
      </c>
      <c r="K23" s="188">
        <f t="shared" si="5"/>
        <v>-0.61127268602286888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-0.33338107517635995</v>
      </c>
      <c r="J24" s="188">
        <f t="shared" ref="J24:K24" si="6">J125/$G125-1</f>
        <v>-0.54618631470478229</v>
      </c>
      <c r="K24" s="188">
        <f t="shared" si="6"/>
        <v>-0.68087179487042992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257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258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56508.434021496716</v>
      </c>
      <c r="H34" s="126">
        <f>'Init. parc'!C24</f>
        <v>56508.434021496716</v>
      </c>
      <c r="I34" s="126">
        <f>'Init. parc'!D24</f>
        <v>57014.156186263011</v>
      </c>
      <c r="J34" s="126">
        <f>'Init. parc'!E24</f>
        <v>57435.55761967256</v>
      </c>
      <c r="K34" s="126">
        <f>'Init. parc'!F24</f>
        <v>56622.338824758699</v>
      </c>
      <c r="L34" s="65"/>
      <c r="M34" s="65"/>
      <c r="N34" s="65"/>
      <c r="O34" s="42"/>
    </row>
    <row r="35" spans="1:17" s="17" customFormat="1" ht="21">
      <c r="A35" s="56"/>
      <c r="C35" s="40"/>
      <c r="D35" s="32"/>
      <c r="E35" s="83" t="s">
        <v>29</v>
      </c>
      <c r="F35" s="55"/>
      <c r="G35" s="195"/>
      <c r="H35" s="126">
        <v>0</v>
      </c>
      <c r="I35" s="126">
        <f>'Init. parc'!N24</f>
        <v>1642.7890950831008</v>
      </c>
      <c r="J35" s="126">
        <f>'Init. parc'!O24</f>
        <v>1568.644542901045</v>
      </c>
      <c r="K35" s="126">
        <f>'Init. parc'!P24</f>
        <v>1155.7225806114329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30</v>
      </c>
      <c r="F36" s="55"/>
      <c r="G36" s="195">
        <f>G34-G35</f>
        <v>56508.434021496716</v>
      </c>
      <c r="H36" s="126">
        <f>H34-H35</f>
        <v>56508.434021496716</v>
      </c>
      <c r="I36" s="126">
        <f>I34-I35</f>
        <v>55371.367091179913</v>
      </c>
      <c r="J36" s="126">
        <f>J34-J35</f>
        <v>55866.913076771518</v>
      </c>
      <c r="K36" s="126">
        <f>K34-K35</f>
        <v>55466.61624414727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0.11535851755011599</v>
      </c>
      <c r="H45" s="55">
        <f>'Init. énergie'!B57</f>
        <v>0.11535851755011599</v>
      </c>
      <c r="I45" s="47">
        <v>0.02</v>
      </c>
      <c r="J45" s="47">
        <v>0</v>
      </c>
      <c r="K45" s="47">
        <v>0</v>
      </c>
      <c r="L45" s="64"/>
      <c r="M45" s="339" t="s">
        <v>283</v>
      </c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7">H46</f>
        <v>0.47397594912324764</v>
      </c>
      <c r="H46" s="55">
        <f>'Init. énergie'!B58</f>
        <v>0.47397594912324764</v>
      </c>
      <c r="I46" s="47">
        <f>H46*0.86</f>
        <v>0.40761931624599296</v>
      </c>
      <c r="J46" s="47">
        <f>H46*0.4</f>
        <v>0.18959037964929906</v>
      </c>
      <c r="K46" s="47">
        <v>0.05</v>
      </c>
      <c r="L46" s="64"/>
      <c r="M46" s="339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7"/>
        <v>7.5347621054706812E-2</v>
      </c>
      <c r="H47" s="55">
        <f>'Init. énergie'!B59</f>
        <v>7.5347621054706812E-2</v>
      </c>
      <c r="I47" s="47">
        <v>0.23</v>
      </c>
      <c r="J47" s="47">
        <v>0.24</v>
      </c>
      <c r="K47" s="47">
        <v>0.28999999999999998</v>
      </c>
      <c r="L47" s="64"/>
      <c r="M47" s="339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7"/>
        <v>8.5578093947910449E-3</v>
      </c>
      <c r="H48" s="55">
        <f>'Init. énergie'!B60</f>
        <v>8.5578093947910449E-3</v>
      </c>
      <c r="I48" s="47">
        <f t="shared" ref="I48:I49" si="8">H48+((K48-H48)/3)</f>
        <v>5.7052062631940299E-3</v>
      </c>
      <c r="J48" s="47">
        <f t="shared" ref="J48:J49" si="9">H48+((K48-H48)/3*2)</f>
        <v>2.852603131597015E-3</v>
      </c>
      <c r="K48" s="47">
        <v>0</v>
      </c>
      <c r="L48" s="64"/>
      <c r="M48" s="339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7"/>
        <v>7.8229288904559831E-3</v>
      </c>
      <c r="H49" s="55">
        <f>'Init. énergie'!B61</f>
        <v>7.8229288904559831E-3</v>
      </c>
      <c r="I49" s="47">
        <f t="shared" si="8"/>
        <v>1.8548619260303989E-2</v>
      </c>
      <c r="J49" s="47">
        <f t="shared" si="9"/>
        <v>2.9274309630151991E-2</v>
      </c>
      <c r="K49" s="47">
        <v>0.04</v>
      </c>
      <c r="L49" s="64"/>
      <c r="M49" s="339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7"/>
        <v>0.25511815548729244</v>
      </c>
      <c r="H50" s="55">
        <f>'Init. énergie'!B62</f>
        <v>0.25511815548729244</v>
      </c>
      <c r="I50" s="47">
        <f t="shared" ref="I50:J50" si="10">1-I45-I46-I47-I48-I49-I51</f>
        <v>0.14812685823050906</v>
      </c>
      <c r="J50" s="47">
        <f t="shared" si="10"/>
        <v>0.138282707588952</v>
      </c>
      <c r="K50" s="47">
        <f>1-K45-K46-K47-K48-K49-K51</f>
        <v>0.11999999999999988</v>
      </c>
      <c r="L50" s="64"/>
      <c r="M50" s="339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7"/>
        <v>6.3819018499390159E-2</v>
      </c>
      <c r="H51" s="55">
        <f>'Init. énergie'!B63</f>
        <v>6.3819018499390159E-2</v>
      </c>
      <c r="I51" s="47">
        <v>0.17</v>
      </c>
      <c r="J51" s="47">
        <v>0.4</v>
      </c>
      <c r="K51" s="124">
        <v>0.5</v>
      </c>
      <c r="L51" s="64"/>
      <c r="M51" s="339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J52" si="11">SUM(G45:G51)</f>
        <v>1</v>
      </c>
      <c r="H52" s="159">
        <f t="shared" si="11"/>
        <v>1</v>
      </c>
      <c r="I52" s="165">
        <f t="shared" si="11"/>
        <v>1</v>
      </c>
      <c r="J52" s="165">
        <f t="shared" si="11"/>
        <v>1</v>
      </c>
      <c r="K52" s="165">
        <v>1</v>
      </c>
      <c r="L52" s="63"/>
      <c r="M52" s="339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K55" si="12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-0.15192678347740071</v>
      </c>
      <c r="J55" s="152">
        <f t="shared" si="12"/>
        <v>-0.2818226735845728</v>
      </c>
      <c r="K55" s="152">
        <f t="shared" si="12"/>
        <v>-0.24394275132168011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>
        <v>2006</v>
      </c>
      <c r="G58" s="4">
        <v>2015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0.11535851755011599</v>
      </c>
      <c r="H59" s="55">
        <f>H45</f>
        <v>0.11535851755011599</v>
      </c>
      <c r="I59" s="47">
        <f>I45</f>
        <v>0.02</v>
      </c>
      <c r="J59" s="47">
        <f>J45</f>
        <v>0</v>
      </c>
      <c r="K59" s="47">
        <f>K45</f>
        <v>0</v>
      </c>
      <c r="L59" s="64"/>
      <c r="M59" s="334"/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3">H60</f>
        <v>0.47397594912324764</v>
      </c>
      <c r="H60" s="55">
        <f t="shared" ref="H60:K65" si="14">H46</f>
        <v>0.47397594912324764</v>
      </c>
      <c r="I60" s="47">
        <f t="shared" si="14"/>
        <v>0.40761931624599296</v>
      </c>
      <c r="J60" s="47">
        <f t="shared" si="14"/>
        <v>0.18959037964929906</v>
      </c>
      <c r="K60" s="47">
        <f t="shared" si="14"/>
        <v>0.05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3"/>
        <v>7.5347621054706812E-2</v>
      </c>
      <c r="H61" s="55">
        <f t="shared" si="14"/>
        <v>7.5347621054706812E-2</v>
      </c>
      <c r="I61" s="47">
        <f t="shared" si="14"/>
        <v>0.23</v>
      </c>
      <c r="J61" s="47">
        <f t="shared" si="14"/>
        <v>0.24</v>
      </c>
      <c r="K61" s="47">
        <f t="shared" si="14"/>
        <v>0.28999999999999998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3"/>
        <v>8.5578093947910449E-3</v>
      </c>
      <c r="H62" s="55">
        <f t="shared" si="14"/>
        <v>8.5578093947910449E-3</v>
      </c>
      <c r="I62" s="47">
        <f t="shared" si="14"/>
        <v>5.7052062631940299E-3</v>
      </c>
      <c r="J62" s="47">
        <f t="shared" si="14"/>
        <v>2.852603131597015E-3</v>
      </c>
      <c r="K62" s="47">
        <f t="shared" si="14"/>
        <v>0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3"/>
        <v>7.8229288904559831E-3</v>
      </c>
      <c r="H63" s="55">
        <f t="shared" si="14"/>
        <v>7.8229288904559831E-3</v>
      </c>
      <c r="I63" s="47">
        <f t="shared" si="14"/>
        <v>1.8548619260303989E-2</v>
      </c>
      <c r="J63" s="47">
        <f t="shared" si="14"/>
        <v>2.9274309630151991E-2</v>
      </c>
      <c r="K63" s="47">
        <f t="shared" si="14"/>
        <v>0.04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3"/>
        <v>0.25511815548729244</v>
      </c>
      <c r="H64" s="55">
        <f t="shared" si="14"/>
        <v>0.25511815548729244</v>
      </c>
      <c r="I64" s="47">
        <f t="shared" si="14"/>
        <v>0.14812685823050906</v>
      </c>
      <c r="J64" s="47">
        <f t="shared" si="14"/>
        <v>0.138282707588952</v>
      </c>
      <c r="K64" s="47">
        <f t="shared" si="14"/>
        <v>0.11999999999999988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3"/>
        <v>6.3819018499390159E-2</v>
      </c>
      <c r="H65" s="55">
        <f t="shared" si="14"/>
        <v>6.3819018499390159E-2</v>
      </c>
      <c r="I65" s="47">
        <f t="shared" si="14"/>
        <v>0.17</v>
      </c>
      <c r="J65" s="47">
        <f t="shared" si="14"/>
        <v>0.4</v>
      </c>
      <c r="K65" s="47">
        <f t="shared" si="14"/>
        <v>0.5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15">SUM(G59:G65)</f>
        <v>1</v>
      </c>
      <c r="H66" s="159">
        <v>1</v>
      </c>
      <c r="I66" s="47">
        <f t="shared" ref="I66:J66" si="16">SUM(I59:I65)</f>
        <v>1</v>
      </c>
      <c r="J66" s="47">
        <f t="shared" si="16"/>
        <v>1</v>
      </c>
      <c r="K66" s="47">
        <f>SUM(K59:K65)</f>
        <v>0.99999999999999978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-0.15192678347740071</v>
      </c>
      <c r="J69" s="152">
        <f>(I$97*(J59-I59)+I$98*(J60-I60)+I$99*(J61-I61)+I$100*(J62-I62)+I$101*(J63-I63)+I$102*(J64-I64)+I$103*(J65-I65))/(I$97*I59+I$98*I60+I$99*I61+I$100*I62+I$101*I63+I$102*I64+I$103*I65)</f>
        <v>-0.28769351519053432</v>
      </c>
      <c r="K69" s="152">
        <f>(J$97*(K59-J59)+J$98*(K60-J60)+J$99*(K61-J61)+J$100*(K62-J62)+J$101*(K63-J63)+J$102*(K64-J64)+J$103*(K65-J65))/(J$97*J59+J$98*J60+J$99*J61+J$100*J62+J$101*J63+J$102*J64+J$103*J65)</f>
        <v>-0.25102358399238511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93" t="s">
        <v>92</v>
      </c>
      <c r="G72" s="194" t="s">
        <v>91</v>
      </c>
      <c r="H72" s="194" t="s">
        <v>35</v>
      </c>
      <c r="J72" s="296" t="s">
        <v>293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bord'!K12</f>
        <v>0.56999999999999995</v>
      </c>
      <c r="G73" s="92">
        <f>'Tableau de bord'!K25</f>
        <v>0.9484999999999999</v>
      </c>
      <c r="H73" s="92">
        <f>'Tableau de bord'!K28</f>
        <v>0.70663249999999977</v>
      </c>
      <c r="J73" s="92">
        <f>'Tableau de bord'!F37</f>
        <v>0.35625000000000001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324" t="s">
        <v>311</v>
      </c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325">
        <f>'Init. énergie'!K78</f>
        <v>0.97683808360784841</v>
      </c>
      <c r="G77" s="81">
        <f>H77/F77^10</f>
        <v>150.75813867019173</v>
      </c>
      <c r="H77" s="54">
        <f>'Init. énergie'!D57</f>
        <v>119.26323797509556</v>
      </c>
      <c r="I77" s="81">
        <f>G77*(1-J$73)/(1+I$55)</f>
        <v>114.43652491099482</v>
      </c>
      <c r="J77" s="81">
        <f>G77*50%/(1+I$55)/(1+J$55)</f>
        <v>123.76154819392545</v>
      </c>
      <c r="K77" s="81">
        <f>G77*40%/(1+I$55)/(1+J$55)/(1+K$55)</f>
        <v>130.95468461974349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325">
        <f>'Init. énergie'!K77</f>
        <v>0.98504576820130418</v>
      </c>
      <c r="G78" s="81">
        <f t="shared" ref="G78:G83" si="17">H78/F78^10</f>
        <v>202.26239882835662</v>
      </c>
      <c r="H78" s="54">
        <f>'Init. énergie'!D58</f>
        <v>173.97195732387533</v>
      </c>
      <c r="I78" s="81">
        <f t="shared" ref="I78:I83" si="18">G78*(1-J$73)/(1+I$55)</f>
        <v>153.53204972047936</v>
      </c>
      <c r="J78" s="81">
        <f t="shared" ref="J78:J83" si="19">G78*50%/(1+I$55)/(1+J$55)</f>
        <v>166.04282754629207</v>
      </c>
      <c r="K78" s="81">
        <f t="shared" ref="K78:K83" si="20">G78*40%/(1+I$55)/(1+J$55)/(1+K$55)</f>
        <v>175.69339129972514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325">
        <f>'Init. énergie'!K$79</f>
        <v>0.9880584769094648</v>
      </c>
      <c r="G79" s="81">
        <f t="shared" si="17"/>
        <v>52.237944564335905</v>
      </c>
      <c r="H79" s="54">
        <f>'Init. énergie'!D59</f>
        <v>46.324694613006521</v>
      </c>
      <c r="I79" s="81">
        <f t="shared" si="18"/>
        <v>39.652445281998979</v>
      </c>
      <c r="J79" s="81">
        <f t="shared" si="19"/>
        <v>42.883581283090955</v>
      </c>
      <c r="K79" s="81">
        <f t="shared" si="20"/>
        <v>45.376014959773677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325">
        <f>'Init. énergie'!K$79</f>
        <v>0.9880584769094648</v>
      </c>
      <c r="G80" s="81">
        <f t="shared" si="17"/>
        <v>51.104846065370573</v>
      </c>
      <c r="H80" s="54">
        <f>'Init. énergie'!D60</f>
        <v>45.319861012282082</v>
      </c>
      <c r="I80" s="81">
        <f t="shared" si="18"/>
        <v>38.792340111245139</v>
      </c>
      <c r="J80" s="81">
        <f t="shared" si="19"/>
        <v>41.953389217009878</v>
      </c>
      <c r="K80" s="81">
        <f t="shared" si="20"/>
        <v>44.391759264631887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325">
        <f>'Init. énergie'!K$79</f>
        <v>0.9880584769094648</v>
      </c>
      <c r="G81" s="81">
        <f t="shared" si="17"/>
        <v>53.019885912248391</v>
      </c>
      <c r="H81" s="54">
        <f>'Init. énergie'!D61</f>
        <v>47.018121478275241</v>
      </c>
      <c r="I81" s="81">
        <f t="shared" si="18"/>
        <v>40.245996325601887</v>
      </c>
      <c r="J81" s="81">
        <f t="shared" si="19"/>
        <v>43.525498679180622</v>
      </c>
      <c r="K81" s="81">
        <f t="shared" si="20"/>
        <v>46.055241192667339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325">
        <f>'Init. énergie'!K80</f>
        <v>0.98034249346915125</v>
      </c>
      <c r="G82" s="81">
        <f t="shared" si="17"/>
        <v>92.066700085891071</v>
      </c>
      <c r="H82" s="54">
        <f>'Init. énergie'!D62</f>
        <v>75.488510275224129</v>
      </c>
      <c r="I82" s="81">
        <f t="shared" si="18"/>
        <v>69.885402611005603</v>
      </c>
      <c r="J82" s="81">
        <f t="shared" si="19"/>
        <v>75.580114216338501</v>
      </c>
      <c r="K82" s="81">
        <f t="shared" si="20"/>
        <v>79.972900833593471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325">
        <f>'Init. énergie'!K80</f>
        <v>0.98034249346915125</v>
      </c>
      <c r="G83" s="81">
        <f t="shared" si="17"/>
        <v>55.419531007459589</v>
      </c>
      <c r="H83" s="54">
        <f>'Init. énergie'!D63</f>
        <v>45.44029309187578</v>
      </c>
      <c r="I83" s="81">
        <f t="shared" si="18"/>
        <v>42.067503596373065</v>
      </c>
      <c r="J83" s="81">
        <f t="shared" si="19"/>
        <v>45.495434065216386</v>
      </c>
      <c r="K83" s="81">
        <f t="shared" si="20"/>
        <v>48.139671057712036</v>
      </c>
      <c r="M83" s="339"/>
      <c r="N83" s="33"/>
      <c r="O83" s="42"/>
      <c r="Q83" s="52"/>
      <c r="R83" s="52"/>
      <c r="V83" s="101"/>
    </row>
    <row r="84" spans="1:184" s="17" customFormat="1">
      <c r="A84" s="56"/>
      <c r="C84" s="40"/>
      <c r="D84" s="32"/>
      <c r="E84" s="128"/>
      <c r="F84" s="89"/>
      <c r="G84" s="89"/>
      <c r="H84" s="89"/>
      <c r="I84" s="89"/>
      <c r="J84" s="89"/>
      <c r="K84" s="89"/>
      <c r="M84" s="322"/>
      <c r="N84" s="33"/>
      <c r="O84" s="42"/>
      <c r="Q84" s="52"/>
      <c r="R84" s="52"/>
      <c r="V84" s="101"/>
    </row>
    <row r="85" spans="1:184" s="17" customFormat="1" ht="69" customHeight="1">
      <c r="A85" s="56"/>
      <c r="C85" s="40"/>
      <c r="D85" s="32"/>
      <c r="F85" s="333" t="s">
        <v>259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21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21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21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21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21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21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260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 t="shared" ref="G97:H103" si="22">G77</f>
        <v>150.75813867019173</v>
      </c>
      <c r="H97" s="54">
        <f t="shared" si="22"/>
        <v>119.26323797509556</v>
      </c>
      <c r="I97" s="81">
        <f>$H97*(1+$G87)^(I$96-$H$96)</f>
        <v>110.36876428458116</v>
      </c>
      <c r="J97" s="81">
        <f>$H97*(1+$G87)^(J$96-$H$96)</f>
        <v>102.13762712235867</v>
      </c>
      <c r="K97" s="81">
        <f>$H97*(1+$G87)^(K$96-$H$96)</f>
        <v>94.520355843499942</v>
      </c>
      <c r="L97" s="67"/>
      <c r="M97" s="79">
        <f>(K97-G97)/H97</f>
        <v>-0.47154331696440527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si="22"/>
        <v>202.26239882835662</v>
      </c>
      <c r="H98" s="54">
        <f t="shared" si="22"/>
        <v>173.97195732387533</v>
      </c>
      <c r="I98" s="81">
        <f t="shared" ref="I98:K103" si="23">$H98*(1+$G88)^(I$96-$H$96)</f>
        <v>165.49186330982553</v>
      </c>
      <c r="J98" s="81">
        <f t="shared" si="23"/>
        <v>157.42512323852208</v>
      </c>
      <c r="K98" s="81">
        <f t="shared" si="23"/>
        <v>149.75158857367506</v>
      </c>
      <c r="L98" s="67"/>
      <c r="M98" s="79">
        <f t="shared" ref="M98:M103" si="24">(K98-G98)/H98</f>
        <v>-0.30183491099617094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22"/>
        <v>52.237944564335905</v>
      </c>
      <c r="H99" s="54">
        <f t="shared" si="22"/>
        <v>46.324694613006521</v>
      </c>
      <c r="I99" s="81">
        <f t="shared" si="23"/>
        <v>44.513417912343591</v>
      </c>
      <c r="J99" s="81">
        <f t="shared" si="23"/>
        <v>42.772961393308869</v>
      </c>
      <c r="K99" s="81">
        <f t="shared" si="23"/>
        <v>41.100556015631469</v>
      </c>
      <c r="L99" s="67"/>
      <c r="M99" s="79">
        <f t="shared" si="24"/>
        <v>-0.24042011807623243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22"/>
        <v>51.104846065370573</v>
      </c>
      <c r="H100" s="54">
        <f t="shared" si="22"/>
        <v>45.319861012282082</v>
      </c>
      <c r="I100" s="81">
        <f t="shared" si="23"/>
        <v>43.547872896341403</v>
      </c>
      <c r="J100" s="81">
        <f t="shared" si="23"/>
        <v>41.845168794360603</v>
      </c>
      <c r="K100" s="81">
        <f t="shared" si="23"/>
        <v>40.209039729599269</v>
      </c>
      <c r="L100" s="67"/>
      <c r="M100" s="79">
        <f t="shared" si="24"/>
        <v>-0.24042011807623251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22"/>
        <v>53.019885912248391</v>
      </c>
      <c r="H101" s="54">
        <f t="shared" si="22"/>
        <v>47.018121478275241</v>
      </c>
      <c r="I101" s="81">
        <f t="shared" si="23"/>
        <v>45.179732069473218</v>
      </c>
      <c r="J101" s="81">
        <f>$H101*(1+$G91)^(J$96-$H$96)</f>
        <v>43.413222938150106</v>
      </c>
      <c r="K101" s="81">
        <f>$H101*(1+$G91)^(K$96-$H$96)</f>
        <v>41.715783594718815</v>
      </c>
      <c r="L101" s="67"/>
      <c r="M101" s="79">
        <f t="shared" si="24"/>
        <v>-0.24042011807623248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22"/>
        <v>92.066700085891071</v>
      </c>
      <c r="H102" s="54">
        <f t="shared" si="22"/>
        <v>75.488510275224129</v>
      </c>
      <c r="I102" s="81">
        <f t="shared" si="23"/>
        <v>70.685454927669866</v>
      </c>
      <c r="J102" s="81">
        <f t="shared" si="23"/>
        <v>66.188000268055546</v>
      </c>
      <c r="K102" s="81">
        <f t="shared" si="23"/>
        <v>61.976702052309122</v>
      </c>
      <c r="L102" s="67"/>
      <c r="M102" s="79">
        <f t="shared" si="24"/>
        <v>-0.39860368053199879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22"/>
        <v>55.419531007459589</v>
      </c>
      <c r="H103" s="54">
        <f t="shared" si="22"/>
        <v>45.44029309187578</v>
      </c>
      <c r="I103" s="81">
        <f t="shared" si="23"/>
        <v>42.549094922331314</v>
      </c>
      <c r="J103" s="81">
        <f t="shared" si="23"/>
        <v>39.841853023462214</v>
      </c>
      <c r="K103" s="81">
        <f t="shared" si="23"/>
        <v>37.306862936585141</v>
      </c>
      <c r="L103" s="67"/>
      <c r="M103" s="79">
        <f t="shared" si="24"/>
        <v>-0.39860368053199885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261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 t="shared" ref="G107:K113" si="25">G$36*G45*$H$73*G77/1000</f>
        <v>694.4441333114263</v>
      </c>
      <c r="H107" s="54">
        <f t="shared" si="25"/>
        <v>549.36772675812642</v>
      </c>
      <c r="I107" s="126">
        <f t="shared" si="25"/>
        <v>89.551633243730322</v>
      </c>
      <c r="J107" s="126">
        <f t="shared" si="25"/>
        <v>0</v>
      </c>
      <c r="K107" s="126">
        <f t="shared" si="25"/>
        <v>0</v>
      </c>
      <c r="L107" s="46"/>
      <c r="M107" s="79">
        <f>(K107-G107)/H107</f>
        <v>-1.2640788664623788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si="25"/>
        <v>3828.0564965355697</v>
      </c>
      <c r="H108" s="54">
        <f t="shared" si="25"/>
        <v>3292.6262385221057</v>
      </c>
      <c r="I108" s="126">
        <f t="shared" si="25"/>
        <v>2448.6835193305797</v>
      </c>
      <c r="J108" s="126">
        <f t="shared" si="25"/>
        <v>1242.7526551639596</v>
      </c>
      <c r="K108" s="126">
        <f t="shared" si="25"/>
        <v>344.31085164243171</v>
      </c>
      <c r="L108" s="46"/>
      <c r="M108" s="79">
        <f t="shared" ref="M108:M114" si="26">(K108-G108)/H108</f>
        <v>-1.0580446708876425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25"/>
        <v>157.16741320271618</v>
      </c>
      <c r="H109" s="54">
        <f t="shared" si="25"/>
        <v>139.37631888952168</v>
      </c>
      <c r="I109" s="126">
        <f t="shared" si="25"/>
        <v>356.84257503042323</v>
      </c>
      <c r="J109" s="126">
        <f t="shared" si="25"/>
        <v>406.30350768941776</v>
      </c>
      <c r="K109" s="126">
        <f t="shared" si="25"/>
        <v>515.76234363910442</v>
      </c>
      <c r="L109" s="46"/>
      <c r="M109" s="79">
        <f t="shared" si="26"/>
        <v>2.5728540780348266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25"/>
        <v>17.46351147798493</v>
      </c>
      <c r="H110" s="54">
        <f t="shared" si="25"/>
        <v>15.486670519588248</v>
      </c>
      <c r="I110" s="126">
        <f t="shared" si="25"/>
        <v>8.6595671291771996</v>
      </c>
      <c r="J110" s="126">
        <f t="shared" si="25"/>
        <v>4.7245090899680058</v>
      </c>
      <c r="K110" s="126">
        <f t="shared" si="25"/>
        <v>0</v>
      </c>
      <c r="L110" s="46"/>
      <c r="M110" s="79">
        <f t="shared" si="26"/>
        <v>-1.1276478992625487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25"/>
        <v>16.562086617062899</v>
      </c>
      <c r="H111" s="54">
        <f t="shared" si="25"/>
        <v>14.687285479708743</v>
      </c>
      <c r="I111" s="126">
        <f t="shared" si="25"/>
        <v>29.208760256549557</v>
      </c>
      <c r="J111" s="126">
        <f t="shared" si="25"/>
        <v>50.301241098468111</v>
      </c>
      <c r="K111" s="126">
        <f t="shared" si="25"/>
        <v>72.204511281101105</v>
      </c>
      <c r="L111" s="46"/>
      <c r="M111" s="79">
        <f t="shared" si="26"/>
        <v>3.7884757357587375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25"/>
        <v>937.8876638949738</v>
      </c>
      <c r="H112" s="54">
        <f t="shared" si="25"/>
        <v>769.00488979067381</v>
      </c>
      <c r="I112" s="126">
        <f t="shared" si="25"/>
        <v>405.04114042424658</v>
      </c>
      <c r="J112" s="126">
        <f t="shared" si="25"/>
        <v>412.59475369414156</v>
      </c>
      <c r="K112" s="126">
        <f t="shared" si="25"/>
        <v>376.13987491227886</v>
      </c>
      <c r="L112" s="46"/>
      <c r="M112" s="79">
        <f t="shared" si="26"/>
        <v>-0.73048662816123955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25"/>
        <v>141.22768721832352</v>
      </c>
      <c r="H113" s="54">
        <f t="shared" si="25"/>
        <v>115.79721775387416</v>
      </c>
      <c r="I113" s="126">
        <f t="shared" si="25"/>
        <v>279.81727057868721</v>
      </c>
      <c r="J113" s="126">
        <f t="shared" si="25"/>
        <v>718.41615102540754</v>
      </c>
      <c r="K113" s="126">
        <f t="shared" si="25"/>
        <v>943.40549846813053</v>
      </c>
      <c r="L113" s="46"/>
      <c r="M113" s="79">
        <f t="shared" si="26"/>
        <v>6.927435967890248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5792.8089922580584</v>
      </c>
      <c r="H114" s="156">
        <f>SUM(H107:H113)</f>
        <v>4896.3463477135992</v>
      </c>
      <c r="I114" s="154">
        <f t="shared" ref="I114:J114" si="27">SUM(I107:I113)</f>
        <v>3617.8044659933939</v>
      </c>
      <c r="J114" s="154">
        <f t="shared" si="27"/>
        <v>2835.0928177613628</v>
      </c>
      <c r="K114" s="154">
        <f>SUM(K107:K113)</f>
        <v>2251.8230799430467</v>
      </c>
      <c r="L114" s="21"/>
      <c r="M114" s="79">
        <f t="shared" si="26"/>
        <v>-0.72318942755520399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262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 t="shared" ref="G118:K124" si="28">G$36*G45*(1-$H$73)*G97/1000</f>
        <v>288.30734402852977</v>
      </c>
      <c r="H118" s="157">
        <f t="shared" si="28"/>
        <v>228.07702246884318</v>
      </c>
      <c r="I118" s="153">
        <f t="shared" si="28"/>
        <v>35.856956294659646</v>
      </c>
      <c r="J118" s="153">
        <f t="shared" si="28"/>
        <v>0</v>
      </c>
      <c r="K118" s="153">
        <f t="shared" si="28"/>
        <v>0</v>
      </c>
      <c r="L118" s="46"/>
      <c r="M118" s="79">
        <f>(K118-G118)/H118</f>
        <v>-1.2640788664623788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si="28"/>
        <v>1589.2665059240835</v>
      </c>
      <c r="H119" s="157">
        <f t="shared" si="28"/>
        <v>1366.9758014662998</v>
      </c>
      <c r="I119" s="153">
        <f t="shared" si="28"/>
        <v>1095.793318495897</v>
      </c>
      <c r="J119" s="153">
        <f t="shared" si="28"/>
        <v>489.1668446495425</v>
      </c>
      <c r="K119" s="153">
        <f t="shared" si="28"/>
        <v>121.83866024746082</v>
      </c>
      <c r="L119" s="46"/>
      <c r="M119" s="79">
        <f t="shared" ref="M119:M125" si="29">(K119-G119)/H119</f>
        <v>-1.0734848737648259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28"/>
        <v>65.250057268449851</v>
      </c>
      <c r="H120" s="157">
        <f t="shared" si="28"/>
        <v>57.863857424929925</v>
      </c>
      <c r="I120" s="153">
        <f t="shared" si="28"/>
        <v>166.30910426498062</v>
      </c>
      <c r="J120" s="153">
        <f t="shared" si="28"/>
        <v>168.24696412539771</v>
      </c>
      <c r="K120" s="153">
        <f t="shared" si="28"/>
        <v>193.94981397381443</v>
      </c>
      <c r="L120" s="46"/>
      <c r="M120" s="79">
        <f t="shared" si="29"/>
        <v>2.2241821135470285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28"/>
        <v>7.2501996490647542</v>
      </c>
      <c r="H121" s="157">
        <f t="shared" si="28"/>
        <v>6.4294888979141351</v>
      </c>
      <c r="I121" s="153">
        <f t="shared" si="28"/>
        <v>4.0358548933045508</v>
      </c>
      <c r="J121" s="153">
        <f t="shared" si="28"/>
        <v>1.9563806276011271</v>
      </c>
      <c r="K121" s="153">
        <f t="shared" si="28"/>
        <v>0</v>
      </c>
      <c r="L121" s="46"/>
      <c r="M121" s="79">
        <f t="shared" si="29"/>
        <v>-1.1276478992625487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28"/>
        <v>6.8759616146033551</v>
      </c>
      <c r="H122" s="157">
        <f t="shared" si="28"/>
        <v>6.0976139973302388</v>
      </c>
      <c r="I122" s="153">
        <f t="shared" si="28"/>
        <v>13.612957351132142</v>
      </c>
      <c r="J122" s="153">
        <f t="shared" si="28"/>
        <v>20.829333112787612</v>
      </c>
      <c r="K122" s="153">
        <f t="shared" si="28"/>
        <v>27.152140329265361</v>
      </c>
      <c r="L122" s="46"/>
      <c r="M122" s="79">
        <f t="shared" si="29"/>
        <v>3.325264394161334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28"/>
        <v>389.37603243228841</v>
      </c>
      <c r="H123" s="157">
        <f t="shared" si="28"/>
        <v>319.26219358105629</v>
      </c>
      <c r="I123" s="153">
        <f t="shared" si="28"/>
        <v>170.08308127940089</v>
      </c>
      <c r="J123" s="153">
        <f t="shared" si="28"/>
        <v>150.00778884843243</v>
      </c>
      <c r="K123" s="153">
        <f t="shared" si="28"/>
        <v>121.01895011381772</v>
      </c>
      <c r="L123" s="46"/>
      <c r="M123" s="79">
        <f t="shared" si="29"/>
        <v>-0.84055390119450057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28"/>
        <v>58.632476612696941</v>
      </c>
      <c r="H124" s="157">
        <f t="shared" si="28"/>
        <v>48.074692685957295</v>
      </c>
      <c r="I124" s="153">
        <f t="shared" si="28"/>
        <v>117.49962861887597</v>
      </c>
      <c r="J124" s="153">
        <f t="shared" si="28"/>
        <v>261.19580368734353</v>
      </c>
      <c r="K124" s="153">
        <f t="shared" si="28"/>
        <v>303.53054959366403</v>
      </c>
      <c r="L124" s="46"/>
      <c r="M124" s="79">
        <f t="shared" si="29"/>
        <v>5.0941162449178226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2404.9585775297164</v>
      </c>
      <c r="H125" s="158">
        <f>SUM(H118:H124)</f>
        <v>2032.7806705223304</v>
      </c>
      <c r="I125" s="155">
        <f t="shared" ref="I125:K125" si="30">SUM(I118:I124)</f>
        <v>1603.1909011982505</v>
      </c>
      <c r="J125" s="155">
        <f t="shared" si="30"/>
        <v>1091.403115051105</v>
      </c>
      <c r="K125" s="155">
        <f t="shared" si="30"/>
        <v>767.49011425802234</v>
      </c>
      <c r="L125" s="21"/>
      <c r="M125" s="79">
        <f t="shared" si="29"/>
        <v>-0.80553130350798763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263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777.44474922696963</v>
      </c>
      <c r="I129" s="153">
        <f t="shared" ref="I129:K129" si="31">I107+I118</f>
        <v>125.40858953838998</v>
      </c>
      <c r="J129" s="153">
        <f t="shared" si="31"/>
        <v>0</v>
      </c>
      <c r="K129" s="153">
        <f t="shared" si="31"/>
        <v>0</v>
      </c>
      <c r="L129" s="46"/>
      <c r="M129" s="79">
        <f>(K129-G129)/H129</f>
        <v>0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5" si="32">H108+H119</f>
        <v>4659.6020399884055</v>
      </c>
      <c r="I130" s="153">
        <f t="shared" si="32"/>
        <v>3544.4768378264766</v>
      </c>
      <c r="J130" s="153">
        <f t="shared" si="32"/>
        <v>1731.9194998135022</v>
      </c>
      <c r="K130" s="153">
        <f t="shared" si="32"/>
        <v>466.14951188989255</v>
      </c>
      <c r="L130" s="46"/>
      <c r="M130" s="79">
        <f t="shared" ref="M130:M136" si="33">(K130-G130)/H130</f>
        <v>0.10004062748050743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si="32"/>
        <v>197.24017631445162</v>
      </c>
      <c r="I131" s="153">
        <f t="shared" si="32"/>
        <v>523.15167929540382</v>
      </c>
      <c r="J131" s="153">
        <f t="shared" si="32"/>
        <v>574.55047181481541</v>
      </c>
      <c r="K131" s="153">
        <f t="shared" si="32"/>
        <v>709.71215761291887</v>
      </c>
      <c r="L131" s="46"/>
      <c r="M131" s="79">
        <f t="shared" si="33"/>
        <v>3.5982129547555006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si="32"/>
        <v>21.916159417502385</v>
      </c>
      <c r="I132" s="153">
        <f t="shared" si="32"/>
        <v>12.69542202248175</v>
      </c>
      <c r="J132" s="153">
        <f t="shared" si="32"/>
        <v>6.6808897175691326</v>
      </c>
      <c r="K132" s="153">
        <f t="shared" si="32"/>
        <v>0</v>
      </c>
      <c r="L132" s="46"/>
      <c r="M132" s="79">
        <f t="shared" si="33"/>
        <v>0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si="32"/>
        <v>20.784899477038984</v>
      </c>
      <c r="I133" s="153">
        <f t="shared" si="32"/>
        <v>42.821717607681698</v>
      </c>
      <c r="J133" s="153">
        <f t="shared" si="32"/>
        <v>71.13057421125572</v>
      </c>
      <c r="K133" s="153">
        <f t="shared" si="32"/>
        <v>99.35665161036647</v>
      </c>
      <c r="L133" s="46"/>
      <c r="M133" s="79">
        <f t="shared" si="33"/>
        <v>4.7802324817652098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si="32"/>
        <v>1088.2670833717302</v>
      </c>
      <c r="I134" s="153">
        <f t="shared" si="32"/>
        <v>575.12422170364744</v>
      </c>
      <c r="J134" s="153">
        <f t="shared" si="32"/>
        <v>562.60254254257393</v>
      </c>
      <c r="K134" s="153">
        <f t="shared" si="32"/>
        <v>497.15882502609657</v>
      </c>
      <c r="L134" s="46"/>
      <c r="M134" s="79">
        <f t="shared" si="33"/>
        <v>0.4568353050666305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si="32"/>
        <v>163.87191043983145</v>
      </c>
      <c r="I135" s="153">
        <f t="shared" si="32"/>
        <v>397.3168991975632</v>
      </c>
      <c r="J135" s="153">
        <f t="shared" si="32"/>
        <v>979.61195471275107</v>
      </c>
      <c r="K135" s="153">
        <f t="shared" si="32"/>
        <v>1246.9360480617945</v>
      </c>
      <c r="L135" s="46"/>
      <c r="M135" s="79">
        <f t="shared" si="33"/>
        <v>7.6092116380105894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6929.1270182359303</v>
      </c>
      <c r="I136" s="155">
        <f t="shared" ref="I136:K136" si="34">SUM(I129:I135)</f>
        <v>5220.9953671916446</v>
      </c>
      <c r="J136" s="155">
        <f t="shared" si="34"/>
        <v>3926.4959328124678</v>
      </c>
      <c r="K136" s="155">
        <f t="shared" si="34"/>
        <v>3019.3131942010687</v>
      </c>
      <c r="L136" s="21"/>
      <c r="M136" s="79">
        <f t="shared" si="33"/>
        <v>0.4357422206657352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264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énergie'!C57</f>
        <v>1.9344819899405983E-2</v>
      </c>
      <c r="I142" s="47">
        <v>0</v>
      </c>
      <c r="J142" s="47">
        <v>0</v>
      </c>
      <c r="K142" s="47">
        <v>0</v>
      </c>
      <c r="M142" s="334" t="s">
        <v>41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énergie'!C58</f>
        <v>0.52399466367463399</v>
      </c>
      <c r="I143" s="47">
        <v>0</v>
      </c>
      <c r="J143" s="47">
        <v>0</v>
      </c>
      <c r="K143" s="47">
        <v>0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énergie'!C59</f>
        <v>6.7035227617333368E-2</v>
      </c>
      <c r="I144" s="47">
        <v>0.25</v>
      </c>
      <c r="J144" s="47">
        <v>0.25</v>
      </c>
      <c r="K144" s="47">
        <v>0.3</v>
      </c>
      <c r="M144" s="335"/>
      <c r="N144" s="33"/>
      <c r="O144" s="42"/>
    </row>
    <row r="145" spans="1:15" s="17" customFormat="1">
      <c r="A145" s="56"/>
      <c r="C145" s="40"/>
      <c r="D145" s="32"/>
      <c r="E145" s="6" t="s">
        <v>22</v>
      </c>
      <c r="F145" s="55"/>
      <c r="G145" s="55"/>
      <c r="H145" s="55">
        <f>'Init. énergie'!C60</f>
        <v>7.5158331919586794E-3</v>
      </c>
      <c r="I145" s="47">
        <f t="shared" ref="I145" si="35">H145</f>
        <v>7.5158331919586794E-3</v>
      </c>
      <c r="J145" s="47">
        <v>0</v>
      </c>
      <c r="K145" s="47">
        <v>0</v>
      </c>
      <c r="M145" s="335"/>
      <c r="N145" s="33"/>
      <c r="O145" s="42"/>
    </row>
    <row r="146" spans="1:15" s="17" customFormat="1">
      <c r="A146" s="56"/>
      <c r="C146" s="40"/>
      <c r="D146" s="32"/>
      <c r="E146" s="6" t="s">
        <v>42</v>
      </c>
      <c r="F146" s="55"/>
      <c r="G146" s="55"/>
      <c r="H146" s="55">
        <f>'Init. énergie'!C61</f>
        <v>6.8921199229294077E-3</v>
      </c>
      <c r="I146" s="47">
        <v>0.05</v>
      </c>
      <c r="J146" s="47">
        <v>7.0000000000000007E-2</v>
      </c>
      <c r="K146" s="47">
        <v>0.1</v>
      </c>
      <c r="M146" s="335"/>
      <c r="N146" s="33"/>
      <c r="O146" s="42"/>
    </row>
    <row r="147" spans="1:15" s="17" customFormat="1">
      <c r="A147" s="56"/>
      <c r="C147" s="40"/>
      <c r="D147" s="32"/>
      <c r="E147" s="6" t="s">
        <v>25</v>
      </c>
      <c r="F147" s="55"/>
      <c r="G147" s="85"/>
      <c r="H147" s="55">
        <f>'Init. énergie'!C62</f>
        <v>0.16762986130287999</v>
      </c>
      <c r="I147" s="47">
        <f>1-I142-I143-I144-I145-I146-I148</f>
        <v>0.14248416680804121</v>
      </c>
      <c r="J147" s="47">
        <f t="shared" ref="J147:K147" si="36">1-J142-J143-J144-J145-J146-J148</f>
        <v>7.999999999999996E-2</v>
      </c>
      <c r="K147" s="47">
        <f t="shared" si="36"/>
        <v>0</v>
      </c>
      <c r="M147" s="335"/>
      <c r="N147" s="33"/>
      <c r="O147" s="42"/>
    </row>
    <row r="148" spans="1:15" s="17" customFormat="1">
      <c r="A148" s="56"/>
      <c r="C148" s="40"/>
      <c r="D148" s="32"/>
      <c r="E148" s="6" t="s">
        <v>26</v>
      </c>
      <c r="F148" s="55"/>
      <c r="G148" s="85"/>
      <c r="H148" s="55">
        <f>'Init. énergie'!C63</f>
        <v>0.20758747439085867</v>
      </c>
      <c r="I148" s="47">
        <v>0.55000000000000004</v>
      </c>
      <c r="J148" s="47">
        <v>0.6</v>
      </c>
      <c r="K148" s="47">
        <v>0.6</v>
      </c>
      <c r="M148" s="335"/>
      <c r="N148" s="33"/>
      <c r="O148" s="42"/>
    </row>
    <row r="149" spans="1:15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1</v>
      </c>
      <c r="I149" s="15">
        <f t="shared" ref="I149:K149" si="37">SUM(I142:I148)</f>
        <v>1</v>
      </c>
      <c r="J149" s="15">
        <f t="shared" si="37"/>
        <v>1</v>
      </c>
      <c r="K149" s="15">
        <f t="shared" si="37"/>
        <v>1</v>
      </c>
      <c r="M149" s="336"/>
      <c r="N149" s="33"/>
      <c r="O149" s="42"/>
    </row>
    <row r="150" spans="1:15" s="17" customFormat="1">
      <c r="A150" s="56"/>
      <c r="C150" s="40"/>
      <c r="D150" s="32"/>
      <c r="M150" s="65"/>
      <c r="N150" s="33"/>
      <c r="O150" s="42"/>
    </row>
    <row r="151" spans="1:15" s="17" customFormat="1" ht="30.75" customHeight="1">
      <c r="A151" s="56"/>
      <c r="C151" s="40"/>
      <c r="D151" s="32"/>
      <c r="F151" s="333" t="s">
        <v>265</v>
      </c>
      <c r="G151" s="333"/>
      <c r="H151" s="333"/>
      <c r="I151" s="333"/>
      <c r="J151" s="333"/>
      <c r="K151" s="333"/>
      <c r="M151" s="65"/>
      <c r="N151" s="33"/>
      <c r="O151" s="42"/>
    </row>
    <row r="152" spans="1:15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5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130.95468461974349</v>
      </c>
      <c r="J153" s="45">
        <f>K153</f>
        <v>130.95468461974349</v>
      </c>
      <c r="K153" s="45">
        <f t="shared" ref="K153:K159" si="38">K77</f>
        <v>130.95468461974349</v>
      </c>
      <c r="M153" s="334" t="s">
        <v>38</v>
      </c>
      <c r="N153" s="33"/>
      <c r="O153" s="42"/>
    </row>
    <row r="154" spans="1:15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J159" si="39">J154</f>
        <v>175.69339129972514</v>
      </c>
      <c r="J154" s="45">
        <f t="shared" si="39"/>
        <v>175.69339129972514</v>
      </c>
      <c r="K154" s="45">
        <f t="shared" si="38"/>
        <v>175.69339129972514</v>
      </c>
      <c r="M154" s="335"/>
      <c r="N154" s="33"/>
      <c r="O154" s="42"/>
    </row>
    <row r="155" spans="1:15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39"/>
        <v>45.376014959773677</v>
      </c>
      <c r="J155" s="45">
        <f t="shared" si="39"/>
        <v>45.376014959773677</v>
      </c>
      <c r="K155" s="45">
        <f t="shared" si="38"/>
        <v>45.376014959773677</v>
      </c>
      <c r="M155" s="335"/>
      <c r="N155" s="33"/>
      <c r="O155" s="42"/>
    </row>
    <row r="156" spans="1:15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39"/>
        <v>44.391759264631887</v>
      </c>
      <c r="J156" s="45">
        <f t="shared" si="39"/>
        <v>44.391759264631887</v>
      </c>
      <c r="K156" s="45">
        <f t="shared" si="38"/>
        <v>44.391759264631887</v>
      </c>
      <c r="M156" s="335"/>
      <c r="N156" s="33"/>
      <c r="O156" s="42"/>
    </row>
    <row r="157" spans="1:15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39"/>
        <v>46.055241192667339</v>
      </c>
      <c r="J157" s="45">
        <f t="shared" si="39"/>
        <v>46.055241192667339</v>
      </c>
      <c r="K157" s="45">
        <f t="shared" si="38"/>
        <v>46.055241192667339</v>
      </c>
      <c r="M157" s="335"/>
      <c r="N157" s="33"/>
      <c r="O157" s="42"/>
    </row>
    <row r="158" spans="1:15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39"/>
        <v>79.972900833593471</v>
      </c>
      <c r="J158" s="45">
        <f t="shared" si="39"/>
        <v>79.972900833593471</v>
      </c>
      <c r="K158" s="45">
        <f t="shared" si="38"/>
        <v>79.972900833593471</v>
      </c>
      <c r="M158" s="335"/>
      <c r="N158" s="33"/>
      <c r="O158" s="42"/>
    </row>
    <row r="159" spans="1:15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39"/>
        <v>48.139671057712036</v>
      </c>
      <c r="J159" s="45">
        <f t="shared" si="39"/>
        <v>48.139671057712036</v>
      </c>
      <c r="K159" s="45">
        <f t="shared" si="38"/>
        <v>48.139671057712036</v>
      </c>
      <c r="M159" s="336"/>
      <c r="N159" s="33"/>
      <c r="O159" s="42"/>
    </row>
    <row r="160" spans="1:15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266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40">I$35*I142*I153/1000</f>
        <v>0</v>
      </c>
      <c r="J163" s="10">
        <f t="shared" si="40"/>
        <v>0</v>
      </c>
      <c r="K163" s="10">
        <f t="shared" si="40"/>
        <v>0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9" si="41">H$35*H143*H154/1000</f>
        <v>0</v>
      </c>
      <c r="I164" s="10">
        <f t="shared" si="41"/>
        <v>0</v>
      </c>
      <c r="J164" s="10">
        <f t="shared" si="41"/>
        <v>0</v>
      </c>
      <c r="K164" s="10">
        <f t="shared" si="41"/>
        <v>0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si="41"/>
        <v>0</v>
      </c>
      <c r="I165" s="10">
        <f t="shared" si="41"/>
        <v>18.63580563856096</v>
      </c>
      <c r="J165" s="10">
        <f t="shared" si="41"/>
        <v>17.79470956131129</v>
      </c>
      <c r="K165" s="10">
        <f t="shared" si="41"/>
        <v>15.732625532151788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si="41"/>
        <v>0</v>
      </c>
      <c r="I166" s="10">
        <f t="shared" si="41"/>
        <v>0.54810189131175457</v>
      </c>
      <c r="J166" s="10">
        <f t="shared" si="41"/>
        <v>0</v>
      </c>
      <c r="K166" s="10">
        <f t="shared" si="41"/>
        <v>0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si="41"/>
        <v>0</v>
      </c>
      <c r="I167" s="10">
        <f t="shared" si="41"/>
        <v>3.7829524001367969</v>
      </c>
      <c r="J167" s="10">
        <f t="shared" si="41"/>
        <v>5.0571011938208335</v>
      </c>
      <c r="K167" s="10">
        <f t="shared" si="41"/>
        <v>5.3227082201871472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si="41"/>
        <v>0</v>
      </c>
      <c r="I168" s="10">
        <f t="shared" si="41"/>
        <v>18.71937169555974</v>
      </c>
      <c r="J168" s="10">
        <f t="shared" si="41"/>
        <v>10.035924357806621</v>
      </c>
      <c r="K168" s="10">
        <f t="shared" si="41"/>
        <v>0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si="41"/>
        <v>0</v>
      </c>
      <c r="I169" s="10">
        <f t="shared" si="41"/>
        <v>43.495829659973303</v>
      </c>
      <c r="J169" s="10">
        <f t="shared" si="41"/>
        <v>45.308419381038817</v>
      </c>
      <c r="K169" s="10">
        <f t="shared" si="41"/>
        <v>33.381662918762679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42">SUM(I163:I169)</f>
        <v>85.182061285542545</v>
      </c>
      <c r="J170" s="11">
        <f t="shared" si="42"/>
        <v>78.196154493977559</v>
      </c>
      <c r="K170" s="11">
        <f t="shared" si="42"/>
        <v>54.43699667110161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E174" s="337" t="s">
        <v>238</v>
      </c>
      <c r="F174" s="337"/>
      <c r="G174" s="337"/>
      <c r="H174" s="337"/>
      <c r="I174" s="337"/>
      <c r="J174" s="337"/>
      <c r="K174" s="337"/>
      <c r="L174" s="337"/>
      <c r="M174" s="337"/>
    </row>
    <row r="175" spans="1:15" s="17" customFormat="1">
      <c r="A175" s="56"/>
      <c r="M175" s="65"/>
    </row>
    <row r="176" spans="1:15" s="17" customFormat="1">
      <c r="A176" s="56"/>
      <c r="E176" s="5" t="s">
        <v>20</v>
      </c>
      <c r="F176" s="4"/>
      <c r="G176" s="4"/>
      <c r="H176" s="4">
        <v>2020</v>
      </c>
      <c r="I176" s="4">
        <v>2030</v>
      </c>
      <c r="J176" s="4">
        <v>2040</v>
      </c>
      <c r="K176" s="4">
        <v>2050</v>
      </c>
      <c r="M176" s="65"/>
    </row>
    <row r="177" spans="1:13" s="17" customFormat="1">
      <c r="A177" s="56"/>
      <c r="E177" s="6" t="s">
        <v>15</v>
      </c>
      <c r="F177" s="82"/>
      <c r="G177" s="82"/>
      <c r="H177" s="10">
        <f t="shared" ref="H177:K183" si="43">H$36*($H$73*H45+(1-$H$73)*H59)+H$35*H142</f>
        <v>6518.7291777983992</v>
      </c>
      <c r="I177" s="10">
        <f t="shared" si="43"/>
        <v>1107.4273418235982</v>
      </c>
      <c r="J177" s="10">
        <f t="shared" si="43"/>
        <v>0</v>
      </c>
      <c r="K177" s="10">
        <f t="shared" si="43"/>
        <v>0</v>
      </c>
      <c r="M177" s="65"/>
    </row>
    <row r="178" spans="1:13" s="17" customFormat="1">
      <c r="A178" s="56"/>
      <c r="E178" s="6" t="s">
        <v>16</v>
      </c>
      <c r="F178" s="82"/>
      <c r="G178" s="82"/>
      <c r="H178" s="10">
        <f t="shared" si="43"/>
        <v>26783.638648807322</v>
      </c>
      <c r="I178" s="10">
        <f t="shared" si="43"/>
        <v>22570.438793312631</v>
      </c>
      <c r="J178" s="10">
        <f t="shared" si="43"/>
        <v>10591.829260059503</v>
      </c>
      <c r="K178" s="10">
        <f t="shared" si="43"/>
        <v>2773.3308122073636</v>
      </c>
      <c r="M178" s="65"/>
    </row>
    <row r="179" spans="1:13" s="17" customFormat="1">
      <c r="A179" s="56"/>
      <c r="E179" s="6" t="s">
        <v>75</v>
      </c>
      <c r="F179" s="82"/>
      <c r="G179" s="82"/>
      <c r="H179" s="10">
        <f t="shared" si="43"/>
        <v>4257.7760730466371</v>
      </c>
      <c r="I179" s="10">
        <f t="shared" si="43"/>
        <v>13146.111704742154</v>
      </c>
      <c r="J179" s="10">
        <f t="shared" si="43"/>
        <v>13800.220274150424</v>
      </c>
      <c r="K179" s="10">
        <f t="shared" si="43"/>
        <v>16432.035484986136</v>
      </c>
      <c r="M179" s="65"/>
    </row>
    <row r="180" spans="1:13" s="17" customFormat="1">
      <c r="A180" s="56"/>
      <c r="E180" s="6" t="s">
        <v>22</v>
      </c>
      <c r="F180" s="82"/>
      <c r="G180" s="82"/>
      <c r="H180" s="10">
        <f t="shared" si="43"/>
        <v>483.58840755409449</v>
      </c>
      <c r="I180" s="10">
        <f t="shared" si="43"/>
        <v>328.25199913842874</v>
      </c>
      <c r="J180" s="10">
        <f t="shared" si="43"/>
        <v>159.36613119545666</v>
      </c>
      <c r="K180" s="10">
        <f t="shared" si="43"/>
        <v>0</v>
      </c>
      <c r="M180" s="65"/>
    </row>
    <row r="181" spans="1:13" s="17" customFormat="1">
      <c r="A181" s="56"/>
      <c r="E181" s="6" t="s">
        <v>42</v>
      </c>
      <c r="F181" s="82"/>
      <c r="G181" s="82"/>
      <c r="H181" s="10">
        <f t="shared" si="43"/>
        <v>442.0614610611924</v>
      </c>
      <c r="I181" s="10">
        <f t="shared" si="43"/>
        <v>1109.201860850977</v>
      </c>
      <c r="J181" s="10">
        <f t="shared" si="43"/>
        <v>1745.2704294932698</v>
      </c>
      <c r="K181" s="10">
        <f t="shared" si="43"/>
        <v>2334.236907827034</v>
      </c>
      <c r="M181" s="65"/>
    </row>
    <row r="182" spans="1:13" s="17" customFormat="1">
      <c r="A182" s="56"/>
      <c r="E182" s="6" t="s">
        <v>25</v>
      </c>
      <c r="F182" s="82"/>
      <c r="G182" s="82"/>
      <c r="H182" s="10">
        <f t="shared" si="43"/>
        <v>14416.327457039606</v>
      </c>
      <c r="I182" s="10">
        <f t="shared" si="43"/>
        <v>8436.0580785989332</v>
      </c>
      <c r="J182" s="10">
        <f t="shared" si="43"/>
        <v>7850.919568324678</v>
      </c>
      <c r="K182" s="10">
        <f t="shared" si="43"/>
        <v>6655.9939492976664</v>
      </c>
      <c r="M182" s="65"/>
    </row>
    <row r="183" spans="1:13" s="17" customFormat="1">
      <c r="A183" s="56"/>
      <c r="E183" s="6" t="s">
        <v>26</v>
      </c>
      <c r="F183" s="82"/>
      <c r="G183" s="82"/>
      <c r="H183" s="10">
        <f t="shared" si="43"/>
        <v>3606.312796189467</v>
      </c>
      <c r="I183" s="10">
        <f t="shared" si="43"/>
        <v>10316.666407796292</v>
      </c>
      <c r="J183" s="10">
        <f t="shared" si="43"/>
        <v>23287.951956449237</v>
      </c>
      <c r="K183" s="10">
        <f t="shared" si="43"/>
        <v>28426.741670440493</v>
      </c>
      <c r="M183" s="65"/>
    </row>
    <row r="184" spans="1:13" s="17" customFormat="1">
      <c r="A184" s="56"/>
      <c r="E184" s="7" t="s">
        <v>17</v>
      </c>
      <c r="F184" s="82"/>
      <c r="G184" s="82"/>
      <c r="H184" s="10">
        <f>SUM(H177:H183)</f>
        <v>56508.434021496723</v>
      </c>
      <c r="I184" s="10">
        <f t="shared" ref="I184:K184" si="44">SUM(I177:I183)</f>
        <v>57014.156186263004</v>
      </c>
      <c r="J184" s="10">
        <f t="shared" si="44"/>
        <v>57435.557619672567</v>
      </c>
      <c r="K184" s="10">
        <f t="shared" si="44"/>
        <v>56622.338824758699</v>
      </c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1">
    <mergeCell ref="M59:M65"/>
    <mergeCell ref="F68:K68"/>
    <mergeCell ref="F75:K75"/>
    <mergeCell ref="F161:K161"/>
    <mergeCell ref="F85:G85"/>
    <mergeCell ref="M87:M93"/>
    <mergeCell ref="F95:K95"/>
    <mergeCell ref="F105:K105"/>
    <mergeCell ref="F116:K116"/>
    <mergeCell ref="F127:K127"/>
    <mergeCell ref="E138:M138"/>
    <mergeCell ref="F140:K140"/>
    <mergeCell ref="M142:M149"/>
    <mergeCell ref="F151:K151"/>
    <mergeCell ref="M153:M159"/>
    <mergeCell ref="E174:M174"/>
    <mergeCell ref="C27:O27"/>
    <mergeCell ref="C1:O1"/>
    <mergeCell ref="C3:O3"/>
    <mergeCell ref="F5:K5"/>
    <mergeCell ref="F11:K11"/>
    <mergeCell ref="F22:K22"/>
    <mergeCell ref="M77:M83"/>
    <mergeCell ref="D29:N29"/>
    <mergeCell ref="F32:K32"/>
    <mergeCell ref="D39:N39"/>
    <mergeCell ref="E41:M41"/>
    <mergeCell ref="F43:K43"/>
    <mergeCell ref="F54:K54"/>
    <mergeCell ref="F57:K57"/>
    <mergeCell ref="M45:M52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  <pageSetUpPr fitToPage="1"/>
  </sheetPr>
  <dimension ref="A1:GB1589"/>
  <sheetViews>
    <sheetView showGridLines="0" topLeftCell="A31" zoomScale="115" zoomScaleNormal="115" workbookViewId="0">
      <selection activeCell="B41" sqref="B41:M41"/>
    </sheetView>
  </sheetViews>
  <sheetFormatPr baseColWidth="10" defaultColWidth="11.453125" defaultRowHeight="10.5"/>
  <cols>
    <col min="1" max="1" width="2.81640625" style="56" customWidth="1"/>
    <col min="2" max="4" width="2.81640625" style="17" customWidth="1"/>
    <col min="5" max="5" width="21.453125" style="1" customWidth="1"/>
    <col min="6" max="6" width="11.81640625" style="1" customWidth="1"/>
    <col min="7" max="7" width="12.81640625" style="1" customWidth="1"/>
    <col min="8" max="11" width="11.81640625" style="1" customWidth="1"/>
    <col min="12" max="12" width="2.1796875" style="17" customWidth="1"/>
    <col min="13" max="13" width="35" style="72" customWidth="1"/>
    <col min="14" max="15" width="2.81640625" style="17" customWidth="1"/>
    <col min="16" max="16" width="11.453125" style="17"/>
    <col min="17" max="27" width="7.1796875" style="17" customWidth="1"/>
    <col min="28" max="184" width="11.453125" style="17"/>
    <col min="185" max="16384" width="11.453125" style="1"/>
  </cols>
  <sheetData>
    <row r="1" spans="1:15" s="56" customFormat="1" ht="18.5">
      <c r="C1" s="340" t="s">
        <v>254</v>
      </c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</row>
    <row r="2" spans="1:15" s="17" customFormat="1" ht="11" thickBot="1">
      <c r="A2" s="56"/>
      <c r="M2" s="65"/>
    </row>
    <row r="3" spans="1:15" ht="15.5">
      <c r="C3" s="341" t="s">
        <v>256</v>
      </c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3"/>
    </row>
    <row r="4" spans="1:15" s="17" customFormat="1" ht="13">
      <c r="A4" s="56"/>
      <c r="C4" s="22"/>
      <c r="E4" s="28"/>
      <c r="F4" s="28"/>
      <c r="G4" s="103"/>
      <c r="H4" s="28"/>
      <c r="I4" s="28"/>
      <c r="J4" s="28"/>
      <c r="K4" s="28"/>
      <c r="L4" s="28"/>
      <c r="M4" s="65"/>
      <c r="O4" s="23"/>
    </row>
    <row r="5" spans="1:15">
      <c r="C5" s="22"/>
      <c r="E5" s="58"/>
      <c r="F5" s="344" t="s">
        <v>226</v>
      </c>
      <c r="G5" s="344"/>
      <c r="H5" s="344"/>
      <c r="I5" s="344"/>
      <c r="J5" s="344"/>
      <c r="K5" s="344"/>
      <c r="L5" s="62"/>
      <c r="M5" s="65"/>
      <c r="O5" s="23"/>
    </row>
    <row r="6" spans="1:15">
      <c r="C6" s="22"/>
      <c r="E6" s="8" t="s">
        <v>27</v>
      </c>
      <c r="F6" s="9"/>
      <c r="G6" s="9">
        <v>2010</v>
      </c>
      <c r="H6" s="9">
        <v>2020</v>
      </c>
      <c r="I6" s="9">
        <v>2030</v>
      </c>
      <c r="J6" s="9">
        <v>2040</v>
      </c>
      <c r="K6" s="9">
        <v>2050</v>
      </c>
      <c r="L6" s="29"/>
      <c r="M6" s="65"/>
      <c r="O6" s="23"/>
    </row>
    <row r="7" spans="1:15">
      <c r="C7" s="22"/>
      <c r="E7" s="3" t="s">
        <v>28</v>
      </c>
      <c r="F7" s="10"/>
      <c r="G7" s="10"/>
      <c r="H7" s="10">
        <f t="shared" ref="H7:K8" si="0">H34</f>
        <v>41814.604215450461</v>
      </c>
      <c r="I7" s="10">
        <f t="shared" si="0"/>
        <v>42188.823967401804</v>
      </c>
      <c r="J7" s="10">
        <f t="shared" si="0"/>
        <v>42500.648820788112</v>
      </c>
      <c r="K7" s="10">
        <f t="shared" si="0"/>
        <v>41898.890470221319</v>
      </c>
      <c r="L7" s="46"/>
      <c r="M7" s="98"/>
      <c r="O7" s="23"/>
    </row>
    <row r="8" spans="1:15" s="17" customFormat="1" ht="21">
      <c r="A8" s="56"/>
      <c r="C8" s="22"/>
      <c r="E8" s="83" t="s">
        <v>29</v>
      </c>
      <c r="F8" s="94"/>
      <c r="G8" s="94"/>
      <c r="H8" s="76">
        <f>H35</f>
        <v>0</v>
      </c>
      <c r="I8" s="76">
        <f>I35</f>
        <v>1461.3994615530548</v>
      </c>
      <c r="J8" s="76">
        <f t="shared" si="0"/>
        <v>1408.7342765387548</v>
      </c>
      <c r="K8" s="76">
        <f t="shared" si="0"/>
        <v>1105.016869340491</v>
      </c>
      <c r="M8" s="99"/>
      <c r="O8" s="23"/>
    </row>
    <row r="9" spans="1:15" s="17" customFormat="1">
      <c r="A9" s="56"/>
      <c r="C9" s="22"/>
      <c r="E9" s="83" t="s">
        <v>30</v>
      </c>
      <c r="F9" s="95"/>
      <c r="G9" s="96"/>
      <c r="H9" s="96">
        <f t="shared" ref="H9:K9" si="1">H36</f>
        <v>41814.604215450461</v>
      </c>
      <c r="I9" s="96">
        <f t="shared" si="1"/>
        <v>40727.42450584875</v>
      </c>
      <c r="J9" s="96">
        <f t="shared" si="1"/>
        <v>41091.914544249361</v>
      </c>
      <c r="K9" s="96">
        <f t="shared" si="1"/>
        <v>40793.873600880826</v>
      </c>
      <c r="M9" s="100"/>
      <c r="O9" s="23"/>
    </row>
    <row r="10" spans="1:15" s="17" customFormat="1">
      <c r="A10" s="56"/>
      <c r="C10" s="22"/>
      <c r="M10" s="65"/>
      <c r="O10" s="23"/>
    </row>
    <row r="11" spans="1:15">
      <c r="C11" s="22"/>
      <c r="F11" s="345" t="s">
        <v>228</v>
      </c>
      <c r="G11" s="346"/>
      <c r="H11" s="346"/>
      <c r="I11" s="346"/>
      <c r="J11" s="346"/>
      <c r="K11" s="347"/>
      <c r="L11" s="62"/>
      <c r="M11" s="65"/>
      <c r="O11" s="23"/>
    </row>
    <row r="12" spans="1:15">
      <c r="C12" s="22"/>
      <c r="E12" s="8" t="s">
        <v>20</v>
      </c>
      <c r="F12" s="9"/>
      <c r="G12" s="9">
        <v>2010</v>
      </c>
      <c r="H12" s="9">
        <v>2020</v>
      </c>
      <c r="I12" s="9">
        <v>2030</v>
      </c>
      <c r="J12" s="9">
        <v>2040</v>
      </c>
      <c r="K12" s="9">
        <v>2050</v>
      </c>
      <c r="L12" s="29"/>
      <c r="M12" s="65"/>
      <c r="O12" s="23"/>
    </row>
    <row r="13" spans="1:15">
      <c r="C13" s="22"/>
      <c r="E13" s="125" t="s">
        <v>15</v>
      </c>
      <c r="F13" s="86"/>
      <c r="G13" s="86"/>
      <c r="H13" s="86">
        <f>H129+H163</f>
        <v>1184.6022208624877</v>
      </c>
      <c r="I13" s="86">
        <f t="shared" ref="I13:K13" si="2">I129+I163</f>
        <v>107.93842425384921</v>
      </c>
      <c r="J13" s="86">
        <f t="shared" si="2"/>
        <v>0</v>
      </c>
      <c r="K13" s="86">
        <f t="shared" si="2"/>
        <v>0</v>
      </c>
      <c r="L13" s="21"/>
      <c r="M13" s="65"/>
      <c r="O13" s="23"/>
    </row>
    <row r="14" spans="1:15">
      <c r="C14" s="22"/>
      <c r="E14" s="125" t="s">
        <v>16</v>
      </c>
      <c r="F14" s="86"/>
      <c r="G14" s="86"/>
      <c r="H14" s="86">
        <f t="shared" ref="H14:K19" si="3">H130+H164</f>
        <v>2571.1662444862582</v>
      </c>
      <c r="I14" s="86">
        <f t="shared" si="3"/>
        <v>1853.0749999119782</v>
      </c>
      <c r="J14" s="86">
        <f t="shared" si="3"/>
        <v>816.42123920571453</v>
      </c>
      <c r="K14" s="86">
        <f t="shared" si="3"/>
        <v>236.31351183249456</v>
      </c>
      <c r="L14" s="21"/>
      <c r="M14" s="65"/>
      <c r="O14" s="23"/>
    </row>
    <row r="15" spans="1:15">
      <c r="C15" s="22"/>
      <c r="E15" s="125" t="s">
        <v>21</v>
      </c>
      <c r="F15" s="86"/>
      <c r="G15" s="86"/>
      <c r="H15" s="86">
        <f t="shared" si="3"/>
        <v>322.79006470064922</v>
      </c>
      <c r="I15" s="86">
        <f t="shared" si="3"/>
        <v>870.18599525932484</v>
      </c>
      <c r="J15" s="86">
        <f t="shared" si="3"/>
        <v>1015.1618968826906</v>
      </c>
      <c r="K15" s="86">
        <f t="shared" si="3"/>
        <v>936.20580050675017</v>
      </c>
      <c r="L15" s="46"/>
      <c r="M15" s="65"/>
      <c r="O15" s="23"/>
    </row>
    <row r="16" spans="1:15">
      <c r="C16" s="22"/>
      <c r="E16" s="125" t="s">
        <v>22</v>
      </c>
      <c r="F16" s="10"/>
      <c r="G16" s="10"/>
      <c r="H16" s="86">
        <f t="shared" si="3"/>
        <v>88.777400481906028</v>
      </c>
      <c r="I16" s="86">
        <f t="shared" si="3"/>
        <v>50.499088514207003</v>
      </c>
      <c r="J16" s="86">
        <f t="shared" si="3"/>
        <v>79.64035321444014</v>
      </c>
      <c r="K16" s="86">
        <f t="shared" si="3"/>
        <v>0</v>
      </c>
      <c r="L16" s="46"/>
      <c r="M16" s="65"/>
      <c r="O16" s="23"/>
    </row>
    <row r="17" spans="1:15">
      <c r="C17" s="22"/>
      <c r="E17" s="125" t="s">
        <v>42</v>
      </c>
      <c r="F17" s="10"/>
      <c r="G17" s="10"/>
      <c r="H17" s="86">
        <f t="shared" si="3"/>
        <v>74.467362697590815</v>
      </c>
      <c r="I17" s="86">
        <f t="shared" si="3"/>
        <v>57.137614939490383</v>
      </c>
      <c r="J17" s="86">
        <f t="shared" si="3"/>
        <v>48.391540690102289</v>
      </c>
      <c r="K17" s="86">
        <f t="shared" si="3"/>
        <v>39.400651157907255</v>
      </c>
      <c r="L17" s="46"/>
      <c r="M17" s="65"/>
      <c r="O17" s="23"/>
    </row>
    <row r="18" spans="1:15">
      <c r="C18" s="22"/>
      <c r="E18" s="125" t="s">
        <v>48</v>
      </c>
      <c r="F18" s="10"/>
      <c r="G18" s="86"/>
      <c r="H18" s="86">
        <f t="shared" si="3"/>
        <v>730.54536473556641</v>
      </c>
      <c r="I18" s="86">
        <f t="shared" si="3"/>
        <v>555.46233726344622</v>
      </c>
      <c r="J18" s="86">
        <f t="shared" si="3"/>
        <v>447.18135272598073</v>
      </c>
      <c r="K18" s="86">
        <f t="shared" si="3"/>
        <v>445.9803872378223</v>
      </c>
      <c r="L18" s="46"/>
      <c r="M18" s="65"/>
      <c r="O18" s="23"/>
    </row>
    <row r="19" spans="1:15">
      <c r="C19" s="22"/>
      <c r="E19" s="125" t="s">
        <v>49</v>
      </c>
      <c r="F19" s="10"/>
      <c r="G19" s="86"/>
      <c r="H19" s="86">
        <f t="shared" si="3"/>
        <v>130.96454462136228</v>
      </c>
      <c r="I19" s="86">
        <f t="shared" si="3"/>
        <v>373.75942588301922</v>
      </c>
      <c r="J19" s="86">
        <f t="shared" si="3"/>
        <v>644.03704540838419</v>
      </c>
      <c r="K19" s="86">
        <f t="shared" si="3"/>
        <v>767.22437671734735</v>
      </c>
      <c r="L19" s="46"/>
      <c r="M19" s="65"/>
      <c r="O19" s="23"/>
    </row>
    <row r="20" spans="1:15">
      <c r="C20" s="22"/>
      <c r="E20" s="12" t="s">
        <v>17</v>
      </c>
      <c r="F20" s="13"/>
      <c r="G20" s="13"/>
      <c r="H20" s="13">
        <f>SUM(H13:H19)</f>
        <v>5103.3132025858204</v>
      </c>
      <c r="I20" s="13">
        <f t="shared" ref="I20:K20" si="4">SUM(I13:I19)</f>
        <v>3868.0578860253149</v>
      </c>
      <c r="J20" s="13">
        <f t="shared" si="4"/>
        <v>3050.8334281273123</v>
      </c>
      <c r="K20" s="13">
        <f t="shared" si="4"/>
        <v>2425.1247274523216</v>
      </c>
      <c r="L20" s="21"/>
      <c r="M20" s="65"/>
      <c r="O20" s="23"/>
    </row>
    <row r="21" spans="1:15">
      <c r="C21" s="22"/>
      <c r="E21" s="65"/>
      <c r="F21" s="65"/>
      <c r="G21" s="65"/>
      <c r="H21" s="65"/>
      <c r="I21" s="65"/>
      <c r="J21" s="65"/>
      <c r="K21" s="65"/>
      <c r="L21" s="65"/>
      <c r="M21" s="65"/>
      <c r="O21" s="23"/>
    </row>
    <row r="22" spans="1:15">
      <c r="C22" s="22"/>
      <c r="E22" s="65"/>
      <c r="F22" s="345" t="s">
        <v>106</v>
      </c>
      <c r="G22" s="346"/>
      <c r="H22" s="346"/>
      <c r="I22" s="346"/>
      <c r="J22" s="346"/>
      <c r="K22" s="347"/>
      <c r="L22" s="65"/>
      <c r="M22" s="65"/>
      <c r="O22" s="23"/>
    </row>
    <row r="23" spans="1:15" ht="21">
      <c r="C23" s="22"/>
      <c r="E23" s="187" t="s">
        <v>107</v>
      </c>
      <c r="F23" s="65"/>
      <c r="G23" s="65"/>
      <c r="H23" s="65"/>
      <c r="I23" s="188">
        <f>I114/$G114-1</f>
        <v>-0.38521778870925272</v>
      </c>
      <c r="J23" s="188">
        <f t="shared" ref="J23:K23" si="5">J114/$G114-1</f>
        <v>-0.51822586098796952</v>
      </c>
      <c r="K23" s="188">
        <f t="shared" si="5"/>
        <v>-0.61737614712760336</v>
      </c>
      <c r="L23" s="65"/>
      <c r="M23" s="65"/>
      <c r="O23" s="23"/>
    </row>
    <row r="24" spans="1:15" ht="21">
      <c r="C24" s="22"/>
      <c r="E24" s="187" t="s">
        <v>108</v>
      </c>
      <c r="F24" s="65"/>
      <c r="G24" s="65"/>
      <c r="H24" s="65"/>
      <c r="I24" s="188">
        <f>I125/$G125-1</f>
        <v>-0.31064550986608153</v>
      </c>
      <c r="J24" s="188">
        <f t="shared" ref="J24:K24" si="6">J125/$G125-1</f>
        <v>-0.44625199387530412</v>
      </c>
      <c r="K24" s="188">
        <f t="shared" si="6"/>
        <v>-0.55433485752941458</v>
      </c>
      <c r="L24" s="65"/>
      <c r="M24" s="65"/>
      <c r="O24" s="23"/>
    </row>
    <row r="25" spans="1:15" s="17" customFormat="1" ht="11" thickBot="1">
      <c r="A25" s="56"/>
      <c r="C25" s="24"/>
      <c r="D25" s="44"/>
      <c r="E25" s="25"/>
      <c r="F25" s="26"/>
      <c r="G25" s="26"/>
      <c r="H25" s="26"/>
      <c r="I25" s="26"/>
      <c r="J25" s="26"/>
      <c r="K25" s="26"/>
      <c r="L25" s="26"/>
      <c r="M25" s="70"/>
      <c r="N25" s="44"/>
      <c r="O25" s="27"/>
    </row>
    <row r="26" spans="1:15" s="17" customFormat="1" ht="11" thickBot="1">
      <c r="A26" s="56"/>
      <c r="M26" s="65"/>
    </row>
    <row r="27" spans="1:15" ht="15.5">
      <c r="C27" s="348" t="s">
        <v>257</v>
      </c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50"/>
    </row>
    <row r="28" spans="1:15" s="17" customFormat="1" ht="13.5" thickBot="1">
      <c r="A28" s="56"/>
      <c r="C28" s="40"/>
      <c r="E28" s="41"/>
      <c r="F28" s="41"/>
      <c r="G28" s="41"/>
      <c r="H28" s="41"/>
      <c r="I28" s="41"/>
      <c r="J28" s="41"/>
      <c r="K28" s="41"/>
      <c r="L28" s="41"/>
      <c r="M28" s="65"/>
      <c r="O28" s="42"/>
    </row>
    <row r="29" spans="1:15" ht="15" customHeight="1">
      <c r="C29" s="40"/>
      <c r="D29" s="351" t="s">
        <v>31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3"/>
      <c r="O29" s="42"/>
    </row>
    <row r="30" spans="1:15" s="17" customFormat="1">
      <c r="A30" s="56"/>
      <c r="C30" s="40"/>
      <c r="D30" s="32"/>
      <c r="E30" s="37"/>
      <c r="M30" s="65"/>
      <c r="N30" s="33"/>
      <c r="O30" s="42"/>
    </row>
    <row r="31" spans="1:15" s="17" customFormat="1">
      <c r="A31" s="56"/>
      <c r="C31" s="40"/>
      <c r="D31" s="32"/>
      <c r="E31" s="37"/>
      <c r="M31" s="65"/>
      <c r="N31" s="33"/>
      <c r="O31" s="42"/>
    </row>
    <row r="32" spans="1:15" s="17" customFormat="1">
      <c r="A32" s="56"/>
      <c r="C32" s="40"/>
      <c r="D32" s="32"/>
      <c r="E32" s="58"/>
      <c r="F32" s="354" t="s">
        <v>258</v>
      </c>
      <c r="G32" s="355"/>
      <c r="H32" s="355"/>
      <c r="I32" s="355"/>
      <c r="J32" s="355"/>
      <c r="K32" s="356"/>
      <c r="M32" s="65"/>
      <c r="N32" s="33"/>
      <c r="O32" s="42"/>
    </row>
    <row r="33" spans="1:17" s="17" customFormat="1">
      <c r="A33" s="56"/>
      <c r="C33" s="40"/>
      <c r="D33" s="32"/>
      <c r="E33" s="5" t="s">
        <v>33</v>
      </c>
      <c r="F33" s="4"/>
      <c r="G33" s="4">
        <v>2010</v>
      </c>
      <c r="H33" s="4">
        <v>2020</v>
      </c>
      <c r="I33" s="4">
        <v>2030</v>
      </c>
      <c r="J33" s="4">
        <v>2040</v>
      </c>
      <c r="K33" s="4">
        <v>2050</v>
      </c>
      <c r="L33" s="65"/>
      <c r="M33" s="65"/>
      <c r="N33" s="65"/>
      <c r="O33" s="42"/>
    </row>
    <row r="34" spans="1:17" s="17" customFormat="1">
      <c r="A34" s="56"/>
      <c r="C34" s="40"/>
      <c r="D34" s="32"/>
      <c r="E34" s="60" t="s">
        <v>34</v>
      </c>
      <c r="F34" s="55"/>
      <c r="G34" s="195">
        <f>H34</f>
        <v>41814.604215450461</v>
      </c>
      <c r="H34" s="126">
        <f>'Init. parc'!C25</f>
        <v>41814.604215450461</v>
      </c>
      <c r="I34" s="126">
        <f>'Init. parc'!D25</f>
        <v>42188.823967401804</v>
      </c>
      <c r="J34" s="126">
        <f>'Init. parc'!E25</f>
        <v>42500.648820788112</v>
      </c>
      <c r="K34" s="126">
        <f>'Init. parc'!F25</f>
        <v>41898.890470221319</v>
      </c>
      <c r="L34" s="126"/>
      <c r="M34" s="65"/>
      <c r="N34" s="65"/>
      <c r="O34" s="42"/>
    </row>
    <row r="35" spans="1:17" s="17" customFormat="1" ht="21">
      <c r="A35" s="56"/>
      <c r="C35" s="40"/>
      <c r="D35" s="32"/>
      <c r="E35" s="83" t="s">
        <v>29</v>
      </c>
      <c r="F35" s="55"/>
      <c r="G35" s="195"/>
      <c r="H35" s="126">
        <v>0</v>
      </c>
      <c r="I35" s="126">
        <f>'Init. parc'!N25</f>
        <v>1461.3994615530548</v>
      </c>
      <c r="J35" s="126">
        <f>'Init. parc'!O25</f>
        <v>1408.7342765387548</v>
      </c>
      <c r="K35" s="126">
        <f>'Init. parc'!P25</f>
        <v>1105.016869340491</v>
      </c>
      <c r="L35" s="65"/>
      <c r="M35" s="65"/>
      <c r="N35" s="65"/>
      <c r="O35" s="42"/>
    </row>
    <row r="36" spans="1:17" s="17" customFormat="1">
      <c r="A36" s="56"/>
      <c r="C36" s="40"/>
      <c r="D36" s="32"/>
      <c r="E36" s="83" t="s">
        <v>30</v>
      </c>
      <c r="F36" s="55"/>
      <c r="G36" s="195">
        <f>G34-G35</f>
        <v>41814.604215450461</v>
      </c>
      <c r="H36" s="126">
        <f>H34-H35</f>
        <v>41814.604215450461</v>
      </c>
      <c r="I36" s="126">
        <f>I34-I35</f>
        <v>40727.42450584875</v>
      </c>
      <c r="J36" s="126">
        <f>J34-J35</f>
        <v>41091.914544249361</v>
      </c>
      <c r="K36" s="126">
        <f>K34-K35</f>
        <v>40793.873600880826</v>
      </c>
      <c r="L36" s="65"/>
      <c r="M36" s="65"/>
      <c r="N36" s="65"/>
      <c r="O36" s="42"/>
    </row>
    <row r="37" spans="1:17" s="17" customFormat="1" ht="11" thickBot="1">
      <c r="A37" s="56"/>
      <c r="C37" s="40"/>
      <c r="D37" s="34"/>
      <c r="E37" s="35"/>
      <c r="F37" s="35"/>
      <c r="G37" s="35"/>
      <c r="H37" s="35"/>
      <c r="I37" s="35"/>
      <c r="J37" s="35"/>
      <c r="K37" s="35"/>
      <c r="L37" s="35"/>
      <c r="M37" s="73"/>
      <c r="N37" s="36"/>
      <c r="O37" s="42"/>
    </row>
    <row r="38" spans="1:17" s="17" customFormat="1" ht="11" thickBot="1">
      <c r="A38" s="56"/>
      <c r="C38" s="40"/>
      <c r="M38" s="65"/>
      <c r="O38" s="42"/>
    </row>
    <row r="39" spans="1:17" ht="15" customHeight="1">
      <c r="C39" s="40"/>
      <c r="D39" s="351" t="s">
        <v>24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3"/>
      <c r="O39" s="42"/>
    </row>
    <row r="40" spans="1:17" s="17" customFormat="1">
      <c r="A40" s="56"/>
      <c r="C40" s="40"/>
      <c r="D40" s="32"/>
      <c r="M40" s="65"/>
      <c r="N40" s="38"/>
      <c r="O40" s="43"/>
      <c r="Q40" s="19"/>
    </row>
    <row r="41" spans="1:17" s="17" customFormat="1">
      <c r="A41" s="56"/>
      <c r="C41" s="40"/>
      <c r="D41" s="32"/>
      <c r="E41" s="337" t="s">
        <v>79</v>
      </c>
      <c r="F41" s="337"/>
      <c r="G41" s="337"/>
      <c r="H41" s="337"/>
      <c r="I41" s="337"/>
      <c r="J41" s="337"/>
      <c r="K41" s="337"/>
      <c r="L41" s="337"/>
      <c r="M41" s="337"/>
      <c r="N41" s="38"/>
      <c r="O41" s="43"/>
      <c r="Q41" s="19"/>
    </row>
    <row r="42" spans="1:17" s="17" customFormat="1">
      <c r="A42" s="56"/>
      <c r="C42" s="40"/>
      <c r="D42" s="32"/>
      <c r="M42" s="65"/>
      <c r="N42" s="38"/>
      <c r="O42" s="43"/>
      <c r="Q42" s="19"/>
    </row>
    <row r="43" spans="1:17" ht="22.5" customHeight="1">
      <c r="C43" s="40"/>
      <c r="D43" s="32"/>
      <c r="F43" s="338" t="s">
        <v>98</v>
      </c>
      <c r="G43" s="338"/>
      <c r="H43" s="338"/>
      <c r="I43" s="338"/>
      <c r="J43" s="338"/>
      <c r="K43" s="338"/>
      <c r="L43" s="58"/>
      <c r="M43" s="71"/>
      <c r="N43" s="38"/>
      <c r="O43" s="43"/>
      <c r="Q43" s="19"/>
    </row>
    <row r="44" spans="1:17">
      <c r="C44" s="40"/>
      <c r="D44" s="32"/>
      <c r="E44" s="5" t="s">
        <v>20</v>
      </c>
      <c r="F44" s="4"/>
      <c r="G44" s="4">
        <v>2010</v>
      </c>
      <c r="H44" s="4">
        <v>2020</v>
      </c>
      <c r="I44" s="4">
        <v>2030</v>
      </c>
      <c r="J44" s="4">
        <v>2040</v>
      </c>
      <c r="K44" s="4">
        <v>2050</v>
      </c>
      <c r="L44" s="29"/>
      <c r="M44" s="61" t="s">
        <v>32</v>
      </c>
      <c r="N44" s="33"/>
      <c r="O44" s="43"/>
      <c r="Q44" s="19"/>
    </row>
    <row r="45" spans="1:17" ht="11.25" customHeight="1">
      <c r="C45" s="40"/>
      <c r="D45" s="32"/>
      <c r="E45" s="6" t="s">
        <v>15</v>
      </c>
      <c r="F45" s="55"/>
      <c r="G45" s="55">
        <f>H45</f>
        <v>0.19595605807562935</v>
      </c>
      <c r="H45" s="55">
        <f>'Init. énergie'!B66</f>
        <v>0.19595605807562935</v>
      </c>
      <c r="I45" s="47">
        <v>0.02</v>
      </c>
      <c r="J45" s="47">
        <v>0</v>
      </c>
      <c r="K45" s="47">
        <v>0</v>
      </c>
      <c r="L45" s="64"/>
      <c r="M45" s="339" t="s">
        <v>283</v>
      </c>
      <c r="N45" s="39"/>
      <c r="O45" s="42"/>
      <c r="Q45" s="19"/>
    </row>
    <row r="46" spans="1:17">
      <c r="C46" s="40"/>
      <c r="D46" s="32"/>
      <c r="E46" s="6" t="s">
        <v>16</v>
      </c>
      <c r="F46" s="55"/>
      <c r="G46" s="55">
        <f t="shared" ref="G46:G51" si="7">H46</f>
        <v>0.40960771079475461</v>
      </c>
      <c r="H46" s="55">
        <f>'Init. énergie'!B67</f>
        <v>0.40960771079475461</v>
      </c>
      <c r="I46" s="47">
        <f>H46*0.86</f>
        <v>0.35226263128348895</v>
      </c>
      <c r="J46" s="47">
        <f>H46*0.4</f>
        <v>0.16384308431790184</v>
      </c>
      <c r="K46" s="47">
        <v>0.05</v>
      </c>
      <c r="L46" s="64"/>
      <c r="M46" s="339"/>
      <c r="N46" s="33"/>
      <c r="O46" s="42"/>
      <c r="Q46" s="20"/>
    </row>
    <row r="47" spans="1:17">
      <c r="C47" s="40"/>
      <c r="D47" s="32"/>
      <c r="E47" s="6" t="s">
        <v>75</v>
      </c>
      <c r="F47" s="55"/>
      <c r="G47" s="55">
        <f t="shared" si="7"/>
        <v>6.1629340994289197E-2</v>
      </c>
      <c r="H47" s="55">
        <f>'Init. énergie'!B68</f>
        <v>6.1629340994289197E-2</v>
      </c>
      <c r="I47" s="47">
        <v>0.2</v>
      </c>
      <c r="J47" s="47">
        <v>0.25</v>
      </c>
      <c r="K47" s="47">
        <v>0.25</v>
      </c>
      <c r="L47" s="64"/>
      <c r="M47" s="339"/>
      <c r="N47" s="33"/>
      <c r="O47" s="42"/>
    </row>
    <row r="48" spans="1:17">
      <c r="C48" s="40"/>
      <c r="D48" s="32"/>
      <c r="E48" s="6" t="s">
        <v>22</v>
      </c>
      <c r="F48" s="55"/>
      <c r="G48" s="55">
        <f t="shared" si="7"/>
        <v>1.720027863130175E-2</v>
      </c>
      <c r="H48" s="55">
        <f>'Init. énergie'!B69</f>
        <v>1.720027863130175E-2</v>
      </c>
      <c r="I48" s="47">
        <f t="shared" ref="I48:I49" si="8">H48+((K48-H48)/3)</f>
        <v>1.1466852420867833E-2</v>
      </c>
      <c r="J48" s="47">
        <v>0.02</v>
      </c>
      <c r="K48" s="47">
        <v>0</v>
      </c>
      <c r="L48" s="64"/>
      <c r="M48" s="339"/>
      <c r="N48" s="33"/>
      <c r="O48" s="42"/>
    </row>
    <row r="49" spans="1:17">
      <c r="C49" s="40"/>
      <c r="D49" s="32"/>
      <c r="E49" s="6" t="s">
        <v>42</v>
      </c>
      <c r="F49" s="55"/>
      <c r="G49" s="55">
        <f t="shared" si="7"/>
        <v>1.3962097437388757E-2</v>
      </c>
      <c r="H49" s="55">
        <f>'Init. énergie'!B70</f>
        <v>1.3962097437388757E-2</v>
      </c>
      <c r="I49" s="47">
        <f t="shared" si="8"/>
        <v>1.2641398291592505E-2</v>
      </c>
      <c r="J49" s="47">
        <f t="shared" ref="J49" si="9">H49+((K49-H49)/3*2)</f>
        <v>1.1320699145796252E-2</v>
      </c>
      <c r="K49" s="47">
        <v>0.01</v>
      </c>
      <c r="L49" s="64"/>
      <c r="M49" s="339"/>
      <c r="N49" s="33"/>
      <c r="O49" s="42"/>
    </row>
    <row r="50" spans="1:17">
      <c r="C50" s="40"/>
      <c r="D50" s="32"/>
      <c r="E50" s="6" t="s">
        <v>25</v>
      </c>
      <c r="F50" s="55"/>
      <c r="G50" s="55">
        <f t="shared" si="7"/>
        <v>0.23589207259794331</v>
      </c>
      <c r="H50" s="55">
        <f>'Init. énergie'!B71</f>
        <v>0.23589207259794331</v>
      </c>
      <c r="I50" s="47">
        <f>1-I45-I46-I47-I48-I49-I51</f>
        <v>0.20362911800405076</v>
      </c>
      <c r="J50" s="47">
        <f>1-J45-J46-J47-J48-J49-J51</f>
        <v>0.17483621653630188</v>
      </c>
      <c r="K50" s="47">
        <f>1-K45-K46-K47-K48-K49-K51</f>
        <v>0.18999999999999995</v>
      </c>
      <c r="L50" s="64"/>
      <c r="M50" s="339"/>
      <c r="N50" s="33"/>
      <c r="O50" s="42"/>
    </row>
    <row r="51" spans="1:17">
      <c r="C51" s="40"/>
      <c r="D51" s="32"/>
      <c r="E51" s="6" t="s">
        <v>26</v>
      </c>
      <c r="F51" s="55"/>
      <c r="G51" s="55">
        <f t="shared" si="7"/>
        <v>6.5752441468692954E-2</v>
      </c>
      <c r="H51" s="55">
        <f>'Init. énergie'!B72</f>
        <v>6.5752441468692954E-2</v>
      </c>
      <c r="I51" s="47">
        <v>0.2</v>
      </c>
      <c r="J51" s="47">
        <v>0.38</v>
      </c>
      <c r="K51" s="124">
        <v>0.5</v>
      </c>
      <c r="L51" s="64"/>
      <c r="M51" s="339"/>
      <c r="N51" s="33"/>
      <c r="O51" s="42"/>
    </row>
    <row r="52" spans="1:17">
      <c r="C52" s="40"/>
      <c r="D52" s="32"/>
      <c r="E52" s="7" t="s">
        <v>17</v>
      </c>
      <c r="F52" s="53"/>
      <c r="G52" s="159">
        <f t="shared" ref="G52:J52" si="10">SUM(G45:G51)</f>
        <v>1</v>
      </c>
      <c r="H52" s="159">
        <f t="shared" si="10"/>
        <v>1</v>
      </c>
      <c r="I52" s="165">
        <f t="shared" si="10"/>
        <v>1</v>
      </c>
      <c r="J52" s="165">
        <f t="shared" si="10"/>
        <v>1</v>
      </c>
      <c r="K52" s="165">
        <f>SUM(K45:K51)</f>
        <v>1</v>
      </c>
      <c r="L52" s="63"/>
      <c r="M52" s="339"/>
      <c r="N52" s="33"/>
      <c r="O52" s="42"/>
    </row>
    <row r="53" spans="1:17" s="17" customFormat="1">
      <c r="A53" s="56"/>
      <c r="C53" s="40"/>
      <c r="D53" s="32"/>
      <c r="E53" s="30"/>
      <c r="F53" s="31"/>
      <c r="G53" s="31"/>
      <c r="H53" s="31"/>
      <c r="M53" s="65"/>
      <c r="N53" s="33"/>
      <c r="O53" s="42"/>
    </row>
    <row r="54" spans="1:17" ht="10.25" customHeight="1">
      <c r="C54" s="40"/>
      <c r="D54" s="32"/>
      <c r="F54" s="338" t="s">
        <v>95</v>
      </c>
      <c r="G54" s="338"/>
      <c r="H54" s="338"/>
      <c r="I54" s="338"/>
      <c r="J54" s="338"/>
      <c r="K54" s="338"/>
      <c r="L54" s="63"/>
      <c r="M54" s="65"/>
      <c r="N54" s="33"/>
      <c r="O54" s="42"/>
    </row>
    <row r="55" spans="1:17" ht="10.25" customHeight="1">
      <c r="C55" s="40"/>
      <c r="D55" s="32"/>
      <c r="E55" s="5"/>
      <c r="F55" s="4"/>
      <c r="G55" s="4"/>
      <c r="H55" s="152">
        <f t="shared" ref="H55:K55" si="11">(G$77*(H45-G45)+G$78*(H46-G46)+G$79*(H47-G47)+G$80*(H48-G48)+G$81*(H49-G49)+G$82*(H50-G50)+G$83*(H51-G51))/(G$77*G45+G$78*G46+G$79*G47+G$80*G48+G$81*G49+G$82*G50+G$83*G51)</f>
        <v>0</v>
      </c>
      <c r="I55" s="152">
        <f>(H$77*(I45-H45)+H$78*(I46-H46)+H$79*(I47-H47)+H$80*(I48-H48)+H$81*(I49-H49)+H$82*(I50-H50)+H$83*(I51-H51))/(H$77*H45+H$78*H46+H$79*H47+H$80*H48+H$81*H49+H$82*H50+H$83*H51)</f>
        <v>-0.1113181088403668</v>
      </c>
      <c r="J55" s="152">
        <f t="shared" si="11"/>
        <v>-0.16263158617728049</v>
      </c>
      <c r="K55" s="152">
        <f t="shared" si="11"/>
        <v>-0.13656656564598599</v>
      </c>
      <c r="L55" s="63"/>
      <c r="M55" s="65"/>
      <c r="N55" s="33"/>
      <c r="O55" s="42"/>
    </row>
    <row r="56" spans="1:17" ht="10.25" customHeight="1">
      <c r="C56" s="40"/>
      <c r="D56" s="32"/>
      <c r="E56" s="30"/>
      <c r="F56" s="30"/>
      <c r="G56" s="30"/>
      <c r="H56" s="30"/>
      <c r="I56" s="30"/>
      <c r="J56" s="30"/>
      <c r="K56" s="30"/>
      <c r="L56" s="63"/>
      <c r="M56" s="65"/>
      <c r="N56" s="33"/>
      <c r="O56" s="42"/>
    </row>
    <row r="57" spans="1:17" ht="22.5" customHeight="1">
      <c r="C57" s="40"/>
      <c r="D57" s="32"/>
      <c r="F57" s="330" t="s">
        <v>96</v>
      </c>
      <c r="G57" s="331"/>
      <c r="H57" s="331"/>
      <c r="I57" s="331"/>
      <c r="J57" s="331"/>
      <c r="K57" s="332"/>
      <c r="L57" s="58"/>
      <c r="M57" s="71"/>
      <c r="N57" s="38"/>
      <c r="O57" s="43"/>
      <c r="Q57" s="19"/>
    </row>
    <row r="58" spans="1:17">
      <c r="C58" s="40"/>
      <c r="D58" s="32"/>
      <c r="E58" s="5" t="s">
        <v>20</v>
      </c>
      <c r="F58" s="4">
        <v>2006</v>
      </c>
      <c r="G58" s="4">
        <v>2015</v>
      </c>
      <c r="H58" s="4">
        <v>2020</v>
      </c>
      <c r="I58" s="4">
        <v>2030</v>
      </c>
      <c r="J58" s="4">
        <v>2040</v>
      </c>
      <c r="K58" s="4">
        <v>2050</v>
      </c>
      <c r="L58" s="29"/>
      <c r="M58" s="61" t="s">
        <v>32</v>
      </c>
      <c r="N58" s="33"/>
      <c r="O58" s="43"/>
      <c r="Q58" s="19"/>
    </row>
    <row r="59" spans="1:17" ht="11.25" customHeight="1">
      <c r="C59" s="40"/>
      <c r="D59" s="32"/>
      <c r="E59" s="6" t="s">
        <v>15</v>
      </c>
      <c r="F59" s="55"/>
      <c r="G59" s="55">
        <f>H59</f>
        <v>0.19595605807562935</v>
      </c>
      <c r="H59" s="55">
        <f>H45</f>
        <v>0.19595605807562935</v>
      </c>
      <c r="I59" s="47">
        <f>I45</f>
        <v>0.02</v>
      </c>
      <c r="J59" s="47">
        <f>J45</f>
        <v>0</v>
      </c>
      <c r="K59" s="47">
        <f>K45</f>
        <v>0</v>
      </c>
      <c r="L59" s="64"/>
      <c r="M59" s="334"/>
      <c r="N59" s="39"/>
      <c r="O59" s="42"/>
      <c r="Q59" s="19"/>
    </row>
    <row r="60" spans="1:17">
      <c r="C60" s="40"/>
      <c r="D60" s="32"/>
      <c r="E60" s="6" t="s">
        <v>16</v>
      </c>
      <c r="F60" s="55"/>
      <c r="G60" s="55">
        <f t="shared" ref="G60:G65" si="12">H60</f>
        <v>0.40960771079475461</v>
      </c>
      <c r="H60" s="55">
        <f t="shared" ref="H60:K65" si="13">H46</f>
        <v>0.40960771079475461</v>
      </c>
      <c r="I60" s="47">
        <f t="shared" si="13"/>
        <v>0.35226263128348895</v>
      </c>
      <c r="J60" s="47">
        <f t="shared" si="13"/>
        <v>0.16384308431790184</v>
      </c>
      <c r="K60" s="47">
        <f t="shared" si="13"/>
        <v>0.05</v>
      </c>
      <c r="L60" s="64"/>
      <c r="M60" s="335"/>
      <c r="N60" s="33"/>
      <c r="O60" s="42"/>
      <c r="Q60" s="20"/>
    </row>
    <row r="61" spans="1:17">
      <c r="C61" s="40"/>
      <c r="D61" s="32"/>
      <c r="E61" s="160" t="s">
        <v>75</v>
      </c>
      <c r="F61" s="55"/>
      <c r="G61" s="55">
        <f t="shared" si="12"/>
        <v>6.1629340994289197E-2</v>
      </c>
      <c r="H61" s="55">
        <f t="shared" si="13"/>
        <v>6.1629340994289197E-2</v>
      </c>
      <c r="I61" s="47">
        <f t="shared" si="13"/>
        <v>0.2</v>
      </c>
      <c r="J61" s="47">
        <f t="shared" si="13"/>
        <v>0.25</v>
      </c>
      <c r="K61" s="47">
        <f t="shared" si="13"/>
        <v>0.25</v>
      </c>
      <c r="L61" s="64"/>
      <c r="M61" s="335"/>
      <c r="N61" s="33"/>
      <c r="O61" s="42"/>
    </row>
    <row r="62" spans="1:17">
      <c r="C62" s="40"/>
      <c r="D62" s="32"/>
      <c r="E62" s="160" t="s">
        <v>22</v>
      </c>
      <c r="F62" s="55"/>
      <c r="G62" s="55">
        <f t="shared" si="12"/>
        <v>1.720027863130175E-2</v>
      </c>
      <c r="H62" s="55">
        <f t="shared" si="13"/>
        <v>1.720027863130175E-2</v>
      </c>
      <c r="I62" s="47">
        <f t="shared" si="13"/>
        <v>1.1466852420867833E-2</v>
      </c>
      <c r="J62" s="47">
        <f t="shared" si="13"/>
        <v>0.02</v>
      </c>
      <c r="K62" s="47">
        <f t="shared" si="13"/>
        <v>0</v>
      </c>
      <c r="L62" s="64"/>
      <c r="M62" s="335"/>
      <c r="N62" s="33"/>
      <c r="O62" s="42"/>
    </row>
    <row r="63" spans="1:17">
      <c r="C63" s="40"/>
      <c r="D63" s="32"/>
      <c r="E63" s="160" t="s">
        <v>42</v>
      </c>
      <c r="F63" s="55"/>
      <c r="G63" s="55">
        <f t="shared" si="12"/>
        <v>1.3962097437388757E-2</v>
      </c>
      <c r="H63" s="55">
        <f t="shared" si="13"/>
        <v>1.3962097437388757E-2</v>
      </c>
      <c r="I63" s="47">
        <f t="shared" si="13"/>
        <v>1.2641398291592505E-2</v>
      </c>
      <c r="J63" s="47">
        <f t="shared" si="13"/>
        <v>1.1320699145796252E-2</v>
      </c>
      <c r="K63" s="47">
        <f t="shared" si="13"/>
        <v>0.01</v>
      </c>
      <c r="L63" s="64"/>
      <c r="M63" s="335"/>
      <c r="N63" s="33"/>
      <c r="O63" s="42"/>
    </row>
    <row r="64" spans="1:17">
      <c r="C64" s="40"/>
      <c r="D64" s="32"/>
      <c r="E64" s="161" t="s">
        <v>25</v>
      </c>
      <c r="F64" s="55"/>
      <c r="G64" s="55">
        <f t="shared" si="12"/>
        <v>0.23589207259794331</v>
      </c>
      <c r="H64" s="55">
        <f t="shared" si="13"/>
        <v>0.23589207259794331</v>
      </c>
      <c r="I64" s="47">
        <f t="shared" si="13"/>
        <v>0.20362911800405076</v>
      </c>
      <c r="J64" s="47">
        <f t="shared" si="13"/>
        <v>0.17483621653630188</v>
      </c>
      <c r="K64" s="47">
        <f t="shared" si="13"/>
        <v>0.18999999999999995</v>
      </c>
      <c r="L64" s="64"/>
      <c r="M64" s="335"/>
      <c r="N64" s="33"/>
      <c r="O64" s="42"/>
    </row>
    <row r="65" spans="1:22">
      <c r="C65" s="40"/>
      <c r="D65" s="32"/>
      <c r="E65" s="161" t="s">
        <v>26</v>
      </c>
      <c r="F65" s="55"/>
      <c r="G65" s="55">
        <f t="shared" si="12"/>
        <v>6.5752441468692954E-2</v>
      </c>
      <c r="H65" s="55">
        <f t="shared" si="13"/>
        <v>6.5752441468692954E-2</v>
      </c>
      <c r="I65" s="47">
        <f t="shared" si="13"/>
        <v>0.2</v>
      </c>
      <c r="J65" s="47">
        <f t="shared" si="13"/>
        <v>0.38</v>
      </c>
      <c r="K65" s="47">
        <f t="shared" si="13"/>
        <v>0.5</v>
      </c>
      <c r="L65" s="64"/>
      <c r="M65" s="336"/>
      <c r="N65" s="33"/>
      <c r="O65" s="42"/>
    </row>
    <row r="66" spans="1:22">
      <c r="C66" s="40"/>
      <c r="D66" s="32"/>
      <c r="E66" s="7" t="s">
        <v>17</v>
      </c>
      <c r="F66" s="53"/>
      <c r="G66" s="159">
        <f t="shared" ref="G66" si="14">SUM(G59:G65)</f>
        <v>1</v>
      </c>
      <c r="H66" s="159">
        <v>1</v>
      </c>
      <c r="I66" s="47">
        <f t="shared" ref="I66:J66" si="15">SUM(I59:I65)</f>
        <v>1</v>
      </c>
      <c r="J66" s="47">
        <f t="shared" si="15"/>
        <v>1</v>
      </c>
      <c r="K66" s="47">
        <f>SUM(K59:K65)</f>
        <v>1</v>
      </c>
      <c r="L66" s="63"/>
      <c r="N66" s="33"/>
      <c r="O66" s="42"/>
    </row>
    <row r="67" spans="1:22">
      <c r="C67" s="40"/>
      <c r="D67" s="32"/>
      <c r="E67" s="149"/>
      <c r="F67" s="162"/>
      <c r="G67" s="162"/>
      <c r="H67" s="163"/>
      <c r="I67" s="163"/>
      <c r="J67" s="163"/>
      <c r="K67" s="163"/>
      <c r="L67" s="63"/>
      <c r="N67" s="33"/>
      <c r="O67" s="42"/>
    </row>
    <row r="68" spans="1:22" ht="10.25" customHeight="1">
      <c r="C68" s="40"/>
      <c r="D68" s="32"/>
      <c r="F68" s="330" t="s">
        <v>97</v>
      </c>
      <c r="G68" s="331"/>
      <c r="H68" s="331"/>
      <c r="I68" s="331"/>
      <c r="J68" s="331"/>
      <c r="K68" s="332"/>
      <c r="L68" s="63"/>
      <c r="N68" s="33"/>
      <c r="O68" s="42"/>
    </row>
    <row r="69" spans="1:22" ht="10.25" customHeight="1">
      <c r="C69" s="40"/>
      <c r="D69" s="32"/>
      <c r="E69" s="5"/>
      <c r="F69" s="4"/>
      <c r="G69" s="4"/>
      <c r="H69" s="152">
        <f>(G97*(H59-G59)+G98*(H60-G60)+G99*(H61-H61)+G100*(H62-G62)+G101*(H63-G63)+G102*(H64-G64)+G103*(H65-G65))/(G97*G59+G98*G60+G99*G61+G100*G62+G101*G63+G102*G64+G103*G65)</f>
        <v>0</v>
      </c>
      <c r="I69" s="152">
        <f>(H$97*(I59-H59)+H$98*(I60-H60)+H$99*(I61-H61)+H$100*(I62-H62)+H$101*(I63-H63)+H$102*(I64-H64)+H$103*(I65-H65))/(H$97*H59+H$98*H60+H$99*H61+H$100*H62+H$101*H63+H$102*H64+H$103*H65)</f>
        <v>-0.1113181088403668</v>
      </c>
      <c r="J69" s="152">
        <f>(I$97*(J59-I59)+I$98*(J60-I60)+I$99*(J61-I61)+I$100*(J62-I62)+I$101*(J63-I63)+I$102*(J64-I64)+I$103*(J65-I65))/(I$97*I59+I$98*I60+I$99*I61+I$100*I62+I$101*I63+I$102*I64+I$103*I65)</f>
        <v>-0.16195961536440326</v>
      </c>
      <c r="K69" s="152">
        <f>(J$97*(K59-J59)+J$98*(K60-J60)+J$99*(K61-J61)+J$100*(K62-J62)+J$101*(K63-J63)+J$102*(K64-J64)+J$103*(K65-J65))/(J$97*J59+J$98*J60+J$99*J61+J$100*J62+J$101*J63+J$102*J64+J$103*J65)</f>
        <v>-0.14514524472308504</v>
      </c>
      <c r="L69" s="72"/>
      <c r="M69" s="164"/>
      <c r="N69" s="33"/>
      <c r="O69" s="42"/>
    </row>
    <row r="70" spans="1:22" ht="10.25" customHeight="1">
      <c r="C70" s="40"/>
      <c r="D70" s="32"/>
      <c r="E70" s="30"/>
      <c r="F70" s="30"/>
      <c r="G70" s="30"/>
      <c r="H70" s="30"/>
      <c r="I70" s="30"/>
      <c r="J70" s="30"/>
      <c r="K70" s="30"/>
      <c r="L70" s="63"/>
      <c r="M70" s="65"/>
      <c r="N70" s="33"/>
      <c r="O70" s="42"/>
    </row>
    <row r="71" spans="1:22" ht="10.25" customHeight="1">
      <c r="C71" s="40"/>
      <c r="D71" s="32"/>
      <c r="E71" s="30"/>
      <c r="F71" s="30"/>
      <c r="G71" s="30"/>
      <c r="H71" s="30"/>
      <c r="I71" s="30"/>
      <c r="J71" s="30"/>
      <c r="K71" s="30"/>
      <c r="L71" s="63"/>
      <c r="M71" s="65"/>
      <c r="N71" s="33"/>
      <c r="O71" s="42"/>
    </row>
    <row r="72" spans="1:22" s="17" customFormat="1" ht="42">
      <c r="A72" s="56"/>
      <c r="C72" s="40"/>
      <c r="D72" s="32"/>
      <c r="E72" s="90"/>
      <c r="F72" s="193" t="s">
        <v>92</v>
      </c>
      <c r="G72" s="194" t="s">
        <v>91</v>
      </c>
      <c r="H72" s="194" t="s">
        <v>35</v>
      </c>
      <c r="J72" s="296" t="s">
        <v>293</v>
      </c>
      <c r="M72" s="61" t="s">
        <v>32</v>
      </c>
      <c r="N72" s="33"/>
      <c r="O72" s="42"/>
    </row>
    <row r="73" spans="1:22" s="17" customFormat="1" ht="33" customHeight="1">
      <c r="A73" s="56"/>
      <c r="C73" s="40"/>
      <c r="D73" s="32"/>
      <c r="E73" s="84" t="s">
        <v>23</v>
      </c>
      <c r="F73" s="55">
        <f>'Tableau de bord'!L12</f>
        <v>0.78</v>
      </c>
      <c r="G73" s="92">
        <f>'Tableau de bord'!L25</f>
        <v>0.95</v>
      </c>
      <c r="H73" s="92">
        <f>'Tableau de bord'!L28</f>
        <v>0.90725</v>
      </c>
      <c r="J73" s="92">
        <f>'Tableau de bord'!F37</f>
        <v>0.35625000000000001</v>
      </c>
      <c r="M73" s="68" t="s">
        <v>80</v>
      </c>
      <c r="N73" s="33"/>
      <c r="O73" s="42"/>
    </row>
    <row r="74" spans="1:22" s="17" customFormat="1">
      <c r="A74" s="56"/>
      <c r="C74" s="40"/>
      <c r="D74" s="32"/>
      <c r="E74" s="37"/>
      <c r="F74" s="89"/>
      <c r="G74" s="89"/>
      <c r="H74" s="89"/>
      <c r="M74" s="65"/>
      <c r="N74" s="33"/>
      <c r="O74" s="42"/>
    </row>
    <row r="75" spans="1:22" s="17" customFormat="1">
      <c r="A75" s="56"/>
      <c r="C75" s="40"/>
      <c r="D75" s="32"/>
      <c r="F75" s="333" t="s">
        <v>36</v>
      </c>
      <c r="G75" s="333"/>
      <c r="H75" s="333"/>
      <c r="I75" s="333"/>
      <c r="J75" s="333"/>
      <c r="K75" s="333"/>
      <c r="M75" s="65"/>
      <c r="N75" s="33"/>
      <c r="O75" s="42"/>
    </row>
    <row r="76" spans="1:22" s="17" customFormat="1">
      <c r="A76" s="56"/>
      <c r="C76" s="40"/>
      <c r="D76" s="32"/>
      <c r="E76" s="5" t="s">
        <v>20</v>
      </c>
      <c r="F76" s="324" t="s">
        <v>311</v>
      </c>
      <c r="G76" s="4">
        <v>2010</v>
      </c>
      <c r="H76" s="4">
        <v>2020</v>
      </c>
      <c r="I76" s="4">
        <v>2030</v>
      </c>
      <c r="J76" s="4">
        <v>2040</v>
      </c>
      <c r="K76" s="4">
        <v>2050</v>
      </c>
      <c r="M76" s="61" t="s">
        <v>32</v>
      </c>
      <c r="N76" s="33"/>
      <c r="O76" s="42"/>
    </row>
    <row r="77" spans="1:22" s="17" customFormat="1">
      <c r="A77" s="56"/>
      <c r="C77" s="40"/>
      <c r="D77" s="32"/>
      <c r="E77" s="6" t="s">
        <v>15</v>
      </c>
      <c r="F77" s="325">
        <f>'Init. énergie'!K78</f>
        <v>0.97683808360784841</v>
      </c>
      <c r="G77" s="81">
        <f>H77/F77^10</f>
        <v>182.75111200862904</v>
      </c>
      <c r="H77" s="54">
        <f>'Init. énergie'!D66</f>
        <v>144.57255544511395</v>
      </c>
      <c r="I77" s="81">
        <f>G77*(1-J$73)/(1+I$55)</f>
        <v>132.38261016215787</v>
      </c>
      <c r="J77" s="81">
        <f>G77*50%/(1+I$55)/(1+J$55)</f>
        <v>122.79116705243973</v>
      </c>
      <c r="K77" s="81">
        <f>G77*40%/(1+I$55)/(1+J$55)/(1+K$55)</f>
        <v>113.77012950100283</v>
      </c>
      <c r="M77" s="339" t="s">
        <v>40</v>
      </c>
      <c r="N77" s="33"/>
      <c r="O77" s="42"/>
      <c r="Q77" s="52"/>
      <c r="R77" s="52"/>
      <c r="V77" s="101"/>
    </row>
    <row r="78" spans="1:22" s="17" customFormat="1">
      <c r="A78" s="56"/>
      <c r="C78" s="40"/>
      <c r="D78" s="32"/>
      <c r="E78" s="6" t="s">
        <v>16</v>
      </c>
      <c r="F78" s="325">
        <f>'Init. énergie'!K77</f>
        <v>0.98504576820130418</v>
      </c>
      <c r="G78" s="81">
        <f t="shared" ref="G78:G83" si="16">H78/F78^10</f>
        <v>174.52994339130794</v>
      </c>
      <c r="H78" s="54">
        <f>'Init. énergie'!D67</f>
        <v>150.1184403986914</v>
      </c>
      <c r="I78" s="81">
        <f t="shared" ref="I78:I83" si="17">G78*(1-J$73)/(1+I$55)</f>
        <v>126.42729887467966</v>
      </c>
      <c r="J78" s="81">
        <f t="shared" ref="J78:J83" si="18">G78*50%/(1+I$55)/(1+J$55)</f>
        <v>117.26733259824454</v>
      </c>
      <c r="K78" s="81">
        <f t="shared" ref="K78:K83" si="19">G78*40%/(1+I$55)/(1+J$55)/(1+K$55)</f>
        <v>108.6521118432058</v>
      </c>
      <c r="M78" s="339"/>
      <c r="N78" s="33"/>
      <c r="O78" s="42"/>
      <c r="Q78" s="52"/>
      <c r="R78" s="52"/>
      <c r="V78" s="101"/>
    </row>
    <row r="79" spans="1:22" s="17" customFormat="1">
      <c r="A79" s="56"/>
      <c r="C79" s="40"/>
      <c r="D79" s="32"/>
      <c r="E79" s="6" t="s">
        <v>75</v>
      </c>
      <c r="F79" s="325">
        <f>'Init. énergie'!K$79</f>
        <v>0.9880584769094648</v>
      </c>
      <c r="G79" s="81">
        <f t="shared" si="16"/>
        <v>141.24665115024447</v>
      </c>
      <c r="H79" s="54">
        <f>'Init. énergie'!D68</f>
        <v>125.25776108181995</v>
      </c>
      <c r="I79" s="81">
        <f t="shared" si="17"/>
        <v>102.31730001757923</v>
      </c>
      <c r="J79" s="81">
        <f t="shared" si="18"/>
        <v>94.904161984898977</v>
      </c>
      <c r="K79" s="81">
        <f t="shared" si="19"/>
        <v>87.931885154206441</v>
      </c>
      <c r="M79" s="339"/>
      <c r="N79" s="33"/>
      <c r="O79" s="42"/>
      <c r="Q79" s="52"/>
      <c r="R79" s="52"/>
      <c r="V79" s="101"/>
    </row>
    <row r="80" spans="1:22" s="17" customFormat="1">
      <c r="A80" s="56"/>
      <c r="C80" s="40"/>
      <c r="D80" s="32"/>
      <c r="E80" s="6" t="s">
        <v>22</v>
      </c>
      <c r="F80" s="325">
        <f>'Init. énergie'!K$79</f>
        <v>0.9880584769094648</v>
      </c>
      <c r="G80" s="81">
        <f t="shared" si="16"/>
        <v>139.19142040492133</v>
      </c>
      <c r="H80" s="54">
        <f>'Init. énergie'!D69</f>
        <v>123.43517909796911</v>
      </c>
      <c r="I80" s="81">
        <f t="shared" si="17"/>
        <v>100.82851667962312</v>
      </c>
      <c r="J80" s="81">
        <f t="shared" si="18"/>
        <v>93.523244632295572</v>
      </c>
      <c r="K80" s="81">
        <f t="shared" si="19"/>
        <v>86.652418969405218</v>
      </c>
      <c r="M80" s="339"/>
      <c r="N80" s="33"/>
      <c r="O80" s="42"/>
      <c r="Q80" s="52"/>
      <c r="R80" s="52"/>
      <c r="V80" s="101"/>
    </row>
    <row r="81" spans="1:184" s="17" customFormat="1">
      <c r="A81" s="56"/>
      <c r="C81" s="40"/>
      <c r="D81" s="32"/>
      <c r="E81" s="6" t="s">
        <v>42</v>
      </c>
      <c r="F81" s="325">
        <f>'Init. énergie'!K$79</f>
        <v>0.9880584769094648</v>
      </c>
      <c r="G81" s="81">
        <f t="shared" si="16"/>
        <v>143.83375998654435</v>
      </c>
      <c r="H81" s="54">
        <f>'Init. énergie'!D70</f>
        <v>127.55201342600625</v>
      </c>
      <c r="I81" s="81">
        <f t="shared" si="17"/>
        <v>104.19136916418333</v>
      </c>
      <c r="J81" s="81">
        <f t="shared" si="18"/>
        <v>96.642450249245854</v>
      </c>
      <c r="K81" s="81">
        <f t="shared" si="19"/>
        <v>89.542467459856795</v>
      </c>
      <c r="M81" s="339"/>
      <c r="N81" s="33"/>
      <c r="O81" s="42"/>
      <c r="Q81" s="52"/>
      <c r="R81" s="52"/>
      <c r="V81" s="101"/>
    </row>
    <row r="82" spans="1:184" s="17" customFormat="1">
      <c r="A82" s="56"/>
      <c r="C82" s="40"/>
      <c r="D82" s="32"/>
      <c r="E82" s="6" t="s">
        <v>25</v>
      </c>
      <c r="F82" s="325">
        <f>'Init. énergie'!K80</f>
        <v>0.98034249346915125</v>
      </c>
      <c r="G82" s="81">
        <f t="shared" si="16"/>
        <v>90.329077541248012</v>
      </c>
      <c r="H82" s="54">
        <f>'Init. énergie'!D71</f>
        <v>74.063776498588524</v>
      </c>
      <c r="I82" s="81">
        <f t="shared" si="17"/>
        <v>65.43324922633434</v>
      </c>
      <c r="J82" s="81">
        <f t="shared" si="18"/>
        <v>60.692450667749974</v>
      </c>
      <c r="K82" s="81">
        <f t="shared" si="19"/>
        <v>56.23358860376549</v>
      </c>
      <c r="M82" s="339"/>
      <c r="N82" s="33"/>
      <c r="O82" s="42"/>
      <c r="Q82" s="52"/>
      <c r="R82" s="52"/>
      <c r="V82" s="101"/>
    </row>
    <row r="83" spans="1:184" s="17" customFormat="1">
      <c r="A83" s="56"/>
      <c r="C83" s="40"/>
      <c r="D83" s="32"/>
      <c r="E83" s="6" t="s">
        <v>26</v>
      </c>
      <c r="F83" s="325">
        <f>'Init. énergie'!K80</f>
        <v>0.98034249346915125</v>
      </c>
      <c r="G83" s="81">
        <f t="shared" si="16"/>
        <v>58.094575905152901</v>
      </c>
      <c r="H83" s="54">
        <f>'Init. énergie'!D72</f>
        <v>47.633650234662667</v>
      </c>
      <c r="I83" s="81">
        <f t="shared" si="17"/>
        <v>42.082981110531414</v>
      </c>
      <c r="J83" s="81">
        <f t="shared" si="18"/>
        <v>39.033966449809867</v>
      </c>
      <c r="K83" s="81">
        <f t="shared" si="19"/>
        <v>36.166277465512785</v>
      </c>
      <c r="M83" s="339"/>
      <c r="N83" s="33"/>
      <c r="O83" s="42"/>
      <c r="Q83" s="52"/>
      <c r="R83" s="52"/>
      <c r="V83" s="101"/>
    </row>
    <row r="84" spans="1:184" s="17" customFormat="1">
      <c r="A84" s="56"/>
      <c r="C84" s="40"/>
      <c r="D84" s="32"/>
      <c r="E84" s="128"/>
      <c r="F84" s="89"/>
      <c r="G84" s="89"/>
      <c r="H84" s="89"/>
      <c r="I84" s="89"/>
      <c r="J84" s="89"/>
      <c r="K84" s="89"/>
      <c r="M84" s="322"/>
      <c r="N84" s="33"/>
      <c r="O84" s="42"/>
      <c r="Q84" s="52"/>
      <c r="R84" s="52"/>
      <c r="V84" s="101"/>
    </row>
    <row r="85" spans="1:184" s="17" customFormat="1" ht="69" customHeight="1">
      <c r="A85" s="56"/>
      <c r="C85" s="40"/>
      <c r="D85" s="32"/>
      <c r="F85" s="333" t="s">
        <v>259</v>
      </c>
      <c r="G85" s="333"/>
      <c r="H85" s="58"/>
      <c r="I85" s="58"/>
      <c r="J85" s="58"/>
      <c r="K85" s="58"/>
      <c r="L85" s="58"/>
      <c r="M85" s="71"/>
      <c r="N85" s="33"/>
      <c r="O85" s="42"/>
    </row>
    <row r="86" spans="1:184" s="17" customFormat="1" ht="23.25" customHeight="1">
      <c r="A86" s="56"/>
      <c r="C86" s="40"/>
      <c r="D86" s="32"/>
      <c r="E86" s="5" t="s">
        <v>20</v>
      </c>
      <c r="F86" s="59" t="s">
        <v>89</v>
      </c>
      <c r="G86" s="59" t="s">
        <v>37</v>
      </c>
      <c r="I86" s="66"/>
      <c r="J86" s="66"/>
      <c r="K86" s="66"/>
      <c r="L86" s="66"/>
      <c r="M86" s="61" t="s">
        <v>32</v>
      </c>
      <c r="N86" s="33"/>
      <c r="O86" s="42"/>
    </row>
    <row r="87" spans="1:184" s="17" customFormat="1" ht="15" customHeight="1">
      <c r="A87" s="56"/>
      <c r="C87" s="40"/>
      <c r="D87" s="32"/>
      <c r="E87" s="6" t="s">
        <v>15</v>
      </c>
      <c r="F87" s="77">
        <f>'Init. énergie'!L78</f>
        <v>-2.3161916392151594E-2</v>
      </c>
      <c r="G87" s="78">
        <f>F87/3</f>
        <v>-7.7206387973838648E-3</v>
      </c>
      <c r="I87" s="65"/>
      <c r="J87" s="65"/>
      <c r="K87" s="65"/>
      <c r="L87" s="65"/>
      <c r="M87" s="334" t="s">
        <v>90</v>
      </c>
      <c r="N87" s="33"/>
      <c r="O87" s="42"/>
    </row>
    <row r="88" spans="1:184" s="17" customFormat="1">
      <c r="A88" s="56"/>
      <c r="C88" s="40"/>
      <c r="D88" s="32"/>
      <c r="E88" s="6" t="s">
        <v>16</v>
      </c>
      <c r="F88" s="77">
        <f>'Init. énergie'!L77</f>
        <v>-1.4954231798695816E-2</v>
      </c>
      <c r="G88" s="78">
        <f t="shared" ref="G88:G93" si="20">F88/3</f>
        <v>-4.9847439328986054E-3</v>
      </c>
      <c r="H88" s="65"/>
      <c r="I88" s="65"/>
      <c r="J88" s="65"/>
      <c r="K88" s="65"/>
      <c r="L88" s="65"/>
      <c r="M88" s="335"/>
      <c r="N88" s="33"/>
      <c r="O88" s="42"/>
    </row>
    <row r="89" spans="1:184" s="17" customFormat="1">
      <c r="A89" s="56"/>
      <c r="C89" s="40"/>
      <c r="D89" s="32"/>
      <c r="E89" s="6" t="s">
        <v>75</v>
      </c>
      <c r="F89" s="77">
        <f>'Init. énergie'!L79</f>
        <v>-1.19415230905352E-2</v>
      </c>
      <c r="G89" s="78">
        <f t="shared" si="20"/>
        <v>-3.9805076968450663E-3</v>
      </c>
      <c r="H89" s="65"/>
      <c r="I89" s="65"/>
      <c r="J89" s="65"/>
      <c r="K89" s="65"/>
      <c r="L89" s="65"/>
      <c r="M89" s="335"/>
      <c r="N89" s="33"/>
      <c r="O89" s="42"/>
    </row>
    <row r="90" spans="1:184" s="17" customFormat="1">
      <c r="A90" s="56"/>
      <c r="C90" s="40"/>
      <c r="D90" s="32"/>
      <c r="E90" s="6" t="s">
        <v>22</v>
      </c>
      <c r="F90" s="77">
        <f>'Init. énergie'!L79</f>
        <v>-1.19415230905352E-2</v>
      </c>
      <c r="G90" s="78">
        <f t="shared" si="20"/>
        <v>-3.9805076968450663E-3</v>
      </c>
      <c r="H90" s="65"/>
      <c r="I90" s="65"/>
      <c r="J90" s="65"/>
      <c r="K90" s="65"/>
      <c r="L90" s="65"/>
      <c r="M90" s="335"/>
      <c r="N90" s="33"/>
      <c r="O90" s="42"/>
    </row>
    <row r="91" spans="1:184" s="17" customFormat="1">
      <c r="A91" s="56"/>
      <c r="C91" s="40"/>
      <c r="D91" s="32"/>
      <c r="E91" s="6" t="s">
        <v>42</v>
      </c>
      <c r="F91" s="77">
        <f>'Init. énergie'!L79</f>
        <v>-1.19415230905352E-2</v>
      </c>
      <c r="G91" s="78">
        <f t="shared" si="20"/>
        <v>-3.9805076968450663E-3</v>
      </c>
      <c r="H91" s="65"/>
      <c r="I91" s="65"/>
      <c r="J91" s="65"/>
      <c r="K91" s="65"/>
      <c r="L91" s="65"/>
      <c r="M91" s="335"/>
      <c r="N91" s="33"/>
      <c r="O91" s="42"/>
    </row>
    <row r="92" spans="1:184" s="17" customFormat="1">
      <c r="A92" s="56"/>
      <c r="C92" s="40"/>
      <c r="D92" s="32"/>
      <c r="E92" s="6" t="s">
        <v>25</v>
      </c>
      <c r="F92" s="77">
        <f>'Init. énergie'!L80</f>
        <v>-1.9657506530848745E-2</v>
      </c>
      <c r="G92" s="78">
        <f t="shared" si="20"/>
        <v>-6.5525021769495817E-3</v>
      </c>
      <c r="H92" s="65"/>
      <c r="I92" s="65"/>
      <c r="J92" s="65"/>
      <c r="K92" s="65"/>
      <c r="L92" s="65"/>
      <c r="M92" s="335"/>
      <c r="N92" s="33"/>
      <c r="O92" s="42"/>
    </row>
    <row r="93" spans="1:184" s="17" customFormat="1">
      <c r="A93" s="56"/>
      <c r="C93" s="40"/>
      <c r="D93" s="32"/>
      <c r="E93" s="6" t="s">
        <v>26</v>
      </c>
      <c r="F93" s="77">
        <f>F92</f>
        <v>-1.9657506530848745E-2</v>
      </c>
      <c r="G93" s="78">
        <f t="shared" si="20"/>
        <v>-6.5525021769495817E-3</v>
      </c>
      <c r="H93" s="65"/>
      <c r="I93" s="65"/>
      <c r="J93" s="65"/>
      <c r="K93" s="65"/>
      <c r="L93" s="65"/>
      <c r="M93" s="336"/>
      <c r="N93" s="33"/>
      <c r="O93" s="42"/>
    </row>
    <row r="94" spans="1:184" s="17" customFormat="1">
      <c r="A94" s="56"/>
      <c r="C94" s="40"/>
      <c r="D94" s="32"/>
      <c r="E94" s="65"/>
      <c r="F94" s="65"/>
      <c r="G94" s="65"/>
      <c r="M94" s="65"/>
      <c r="N94" s="33"/>
      <c r="O94" s="42"/>
    </row>
    <row r="95" spans="1:184" s="17" customFormat="1" ht="27.75" customHeight="1">
      <c r="A95" s="56"/>
      <c r="C95" s="40"/>
      <c r="D95" s="32"/>
      <c r="F95" s="333" t="s">
        <v>260</v>
      </c>
      <c r="G95" s="333"/>
      <c r="H95" s="333"/>
      <c r="I95" s="333"/>
      <c r="J95" s="333"/>
      <c r="K95" s="333"/>
      <c r="L95" s="58"/>
      <c r="M95" s="71"/>
      <c r="N95" s="33"/>
      <c r="O95" s="42"/>
    </row>
    <row r="96" spans="1:184" s="2" customFormat="1">
      <c r="A96" s="57"/>
      <c r="B96" s="18"/>
      <c r="C96" s="48"/>
      <c r="D96" s="49"/>
      <c r="E96" s="5" t="s">
        <v>20</v>
      </c>
      <c r="F96" s="4"/>
      <c r="G96" s="4">
        <v>2010</v>
      </c>
      <c r="H96" s="4">
        <v>2020</v>
      </c>
      <c r="I96" s="4">
        <v>2030</v>
      </c>
      <c r="J96" s="4">
        <v>2040</v>
      </c>
      <c r="K96" s="4">
        <v>2050</v>
      </c>
      <c r="L96" s="29"/>
      <c r="M96" s="80" t="s">
        <v>99</v>
      </c>
      <c r="N96" s="50"/>
      <c r="O96" s="51"/>
      <c r="P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</row>
    <row r="97" spans="1:52">
      <c r="C97" s="40"/>
      <c r="D97" s="32"/>
      <c r="E97" s="6" t="s">
        <v>15</v>
      </c>
      <c r="F97" s="54"/>
      <c r="G97" s="81">
        <f t="shared" ref="G97:H103" si="21">G77</f>
        <v>182.75111200862904</v>
      </c>
      <c r="H97" s="54">
        <f t="shared" si="21"/>
        <v>144.57255544511395</v>
      </c>
      <c r="I97" s="81">
        <f>$H97*(1+$G87)^(I$96-$H$96)</f>
        <v>133.79055075859421</v>
      </c>
      <c r="J97" s="81">
        <f>$H97*(1+$G87)^(J$96-$H$96)</f>
        <v>123.81265183545543</v>
      </c>
      <c r="K97" s="81">
        <f>$H97*(1+$G87)^(K$96-$H$96)</f>
        <v>114.57888967201961</v>
      </c>
      <c r="L97" s="67"/>
      <c r="M97" s="79">
        <f>(K97-G97)/H97</f>
        <v>-0.47154331696440527</v>
      </c>
      <c r="N97" s="33"/>
      <c r="O97" s="4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</row>
    <row r="98" spans="1:52">
      <c r="C98" s="40"/>
      <c r="D98" s="32"/>
      <c r="E98" s="6" t="s">
        <v>16</v>
      </c>
      <c r="F98" s="54"/>
      <c r="G98" s="81">
        <f t="shared" si="21"/>
        <v>174.52994339130794</v>
      </c>
      <c r="H98" s="54">
        <f t="shared" si="21"/>
        <v>150.1184403986914</v>
      </c>
      <c r="I98" s="81">
        <f t="shared" ref="I98:K103" si="22">$H98*(1+$G88)^(I$96-$H$96)</f>
        <v>142.80106288908786</v>
      </c>
      <c r="J98" s="81">
        <f t="shared" si="22"/>
        <v>135.84036383601401</v>
      </c>
      <c r="K98" s="81">
        <f t="shared" si="22"/>
        <v>129.21895729468494</v>
      </c>
      <c r="L98" s="67"/>
      <c r="M98" s="79">
        <f t="shared" ref="M98:M103" si="23">(K98-G98)/H98</f>
        <v>-0.30183491099617082</v>
      </c>
      <c r="N98" s="33"/>
      <c r="O98" s="4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</row>
    <row r="99" spans="1:52">
      <c r="C99" s="40"/>
      <c r="D99" s="32"/>
      <c r="E99" s="6" t="s">
        <v>75</v>
      </c>
      <c r="F99" s="54"/>
      <c r="G99" s="81">
        <f t="shared" si="21"/>
        <v>141.24665115024447</v>
      </c>
      <c r="H99" s="54">
        <f t="shared" si="21"/>
        <v>125.25776108181995</v>
      </c>
      <c r="I99" s="81">
        <f t="shared" si="22"/>
        <v>120.36023361574563</v>
      </c>
      <c r="J99" s="81">
        <f t="shared" si="22"/>
        <v>115.65419747981959</v>
      </c>
      <c r="K99" s="81">
        <f t="shared" si="22"/>
        <v>111.13216544098883</v>
      </c>
      <c r="L99" s="67"/>
      <c r="M99" s="79">
        <f t="shared" si="23"/>
        <v>-0.24042011807623229</v>
      </c>
      <c r="N99" s="33"/>
      <c r="O99" s="4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</row>
    <row r="100" spans="1:52">
      <c r="C100" s="40"/>
      <c r="D100" s="32"/>
      <c r="E100" s="6" t="s">
        <v>22</v>
      </c>
      <c r="F100" s="54"/>
      <c r="G100" s="81">
        <f t="shared" si="21"/>
        <v>139.19142040492133</v>
      </c>
      <c r="H100" s="54">
        <f t="shared" si="21"/>
        <v>123.43517909796911</v>
      </c>
      <c r="I100" s="81">
        <f t="shared" si="22"/>
        <v>118.60891384549329</v>
      </c>
      <c r="J100" s="81">
        <f t="shared" si="22"/>
        <v>113.97135359962476</v>
      </c>
      <c r="K100" s="81">
        <f t="shared" si="22"/>
        <v>109.51512007142669</v>
      </c>
      <c r="L100" s="67"/>
      <c r="M100" s="79">
        <f t="shared" si="23"/>
        <v>-0.24042011807623248</v>
      </c>
      <c r="N100" s="33"/>
      <c r="O100" s="4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>
      <c r="C101" s="40"/>
      <c r="D101" s="32"/>
      <c r="E101" s="6" t="s">
        <v>42</v>
      </c>
      <c r="F101" s="54"/>
      <c r="G101" s="81">
        <f t="shared" si="21"/>
        <v>143.83375998654435</v>
      </c>
      <c r="H101" s="54">
        <f t="shared" si="21"/>
        <v>127.55201342600625</v>
      </c>
      <c r="I101" s="81">
        <f t="shared" si="22"/>
        <v>122.56478162726054</v>
      </c>
      <c r="J101" s="81">
        <f>$H101*(1+$G91)^(J$96-$H$96)</f>
        <v>117.77254856155206</v>
      </c>
      <c r="K101" s="81">
        <f>$H101*(1+$G91)^(K$96-$H$96)</f>
        <v>113.16768985780274</v>
      </c>
      <c r="L101" s="67"/>
      <c r="M101" s="79">
        <f t="shared" si="23"/>
        <v>-0.24042011807623243</v>
      </c>
      <c r="N101" s="33"/>
      <c r="O101" s="4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</row>
    <row r="102" spans="1:52">
      <c r="C102" s="40"/>
      <c r="D102" s="32"/>
      <c r="E102" s="6" t="s">
        <v>25</v>
      </c>
      <c r="F102" s="54"/>
      <c r="G102" s="81">
        <f t="shared" si="21"/>
        <v>90.329077541248012</v>
      </c>
      <c r="H102" s="54">
        <f t="shared" si="21"/>
        <v>74.063776498588524</v>
      </c>
      <c r="I102" s="81">
        <f t="shared" si="22"/>
        <v>69.351371703810599</v>
      </c>
      <c r="J102" s="81">
        <f t="shared" si="22"/>
        <v>64.938799836810375</v>
      </c>
      <c r="K102" s="81">
        <f t="shared" si="22"/>
        <v>60.80698363481126</v>
      </c>
      <c r="L102" s="67"/>
      <c r="M102" s="79">
        <f t="shared" si="23"/>
        <v>-0.39860368053199896</v>
      </c>
      <c r="N102" s="33"/>
      <c r="O102" s="4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</row>
    <row r="103" spans="1:52">
      <c r="C103" s="40"/>
      <c r="D103" s="32"/>
      <c r="E103" s="6" t="s">
        <v>26</v>
      </c>
      <c r="F103" s="54"/>
      <c r="G103" s="81">
        <f t="shared" si="21"/>
        <v>58.094575905152901</v>
      </c>
      <c r="H103" s="54">
        <f t="shared" si="21"/>
        <v>47.633650234662667</v>
      </c>
      <c r="I103" s="81">
        <f t="shared" si="22"/>
        <v>44.602896843862013</v>
      </c>
      <c r="J103" s="81">
        <f t="shared" si="22"/>
        <v>41.764979107490483</v>
      </c>
      <c r="K103" s="81">
        <f t="shared" si="22"/>
        <v>39.107627604442449</v>
      </c>
      <c r="L103" s="67"/>
      <c r="M103" s="79">
        <f t="shared" si="23"/>
        <v>-0.39860368053199891</v>
      </c>
      <c r="N103" s="33"/>
      <c r="O103" s="4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</row>
    <row r="104" spans="1:52" s="17" customFormat="1">
      <c r="A104" s="56"/>
      <c r="C104" s="40"/>
      <c r="D104" s="32"/>
      <c r="M104" s="65"/>
      <c r="N104" s="33"/>
      <c r="O104" s="42"/>
    </row>
    <row r="105" spans="1:52" ht="26.25" customHeight="1">
      <c r="C105" s="40"/>
      <c r="D105" s="32"/>
      <c r="E105" s="17"/>
      <c r="F105" s="333" t="s">
        <v>261</v>
      </c>
      <c r="G105" s="333"/>
      <c r="H105" s="333"/>
      <c r="I105" s="333"/>
      <c r="J105" s="333"/>
      <c r="K105" s="333"/>
      <c r="L105" s="62"/>
      <c r="M105" s="69"/>
      <c r="N105" s="33"/>
      <c r="O105" s="42"/>
    </row>
    <row r="106" spans="1:52">
      <c r="C106" s="40"/>
      <c r="D106" s="32"/>
      <c r="E106" s="5" t="s">
        <v>20</v>
      </c>
      <c r="F106" s="4"/>
      <c r="G106" s="4">
        <v>2010</v>
      </c>
      <c r="H106" s="4">
        <v>2020</v>
      </c>
      <c r="I106" s="4">
        <v>2030</v>
      </c>
      <c r="J106" s="4">
        <v>2040</v>
      </c>
      <c r="K106" s="4">
        <v>2050</v>
      </c>
      <c r="L106" s="29"/>
      <c r="M106" s="69"/>
      <c r="N106" s="33"/>
      <c r="O106" s="42"/>
    </row>
    <row r="107" spans="1:52">
      <c r="C107" s="40"/>
      <c r="D107" s="32"/>
      <c r="E107" s="6" t="s">
        <v>15</v>
      </c>
      <c r="F107" s="75"/>
      <c r="G107" s="126">
        <f t="shared" ref="G107:K113" si="24">G$36*G45*$H$73*G77/1000</f>
        <v>1358.5439413870388</v>
      </c>
      <c r="H107" s="54">
        <f t="shared" si="24"/>
        <v>1074.7303648774919</v>
      </c>
      <c r="I107" s="126">
        <f t="shared" si="24"/>
        <v>97.830632103180463</v>
      </c>
      <c r="J107" s="126">
        <f t="shared" si="24"/>
        <v>0</v>
      </c>
      <c r="K107" s="126">
        <f t="shared" si="24"/>
        <v>0</v>
      </c>
      <c r="L107" s="46"/>
      <c r="M107" s="79">
        <f>(K107-G107)/H107</f>
        <v>-1.264078866462379</v>
      </c>
      <c r="N107" s="33"/>
      <c r="O107" s="42"/>
    </row>
    <row r="108" spans="1:52">
      <c r="C108" s="40"/>
      <c r="D108" s="32"/>
      <c r="E108" s="6" t="s">
        <v>16</v>
      </c>
      <c r="F108" s="75"/>
      <c r="G108" s="126">
        <f t="shared" si="24"/>
        <v>2712.0209414450342</v>
      </c>
      <c r="H108" s="54">
        <f t="shared" si="24"/>
        <v>2332.6905753101578</v>
      </c>
      <c r="I108" s="126">
        <f t="shared" si="24"/>
        <v>1645.5889343742926</v>
      </c>
      <c r="J108" s="126">
        <f t="shared" si="24"/>
        <v>716.28938415143637</v>
      </c>
      <c r="K108" s="126">
        <f t="shared" si="24"/>
        <v>201.0620467024354</v>
      </c>
      <c r="L108" s="46"/>
      <c r="M108" s="79">
        <f t="shared" ref="M108:M114" si="25">(K108-G108)/H108</f>
        <v>-1.0764217600565125</v>
      </c>
      <c r="N108" s="33"/>
      <c r="O108" s="42"/>
    </row>
    <row r="109" spans="1:52">
      <c r="C109" s="40"/>
      <c r="D109" s="32"/>
      <c r="E109" s="6" t="s">
        <v>75</v>
      </c>
      <c r="F109" s="75"/>
      <c r="G109" s="126">
        <f t="shared" si="24"/>
        <v>330.23313767938646</v>
      </c>
      <c r="H109" s="54">
        <f t="shared" si="24"/>
        <v>292.851286199664</v>
      </c>
      <c r="I109" s="126">
        <f t="shared" si="24"/>
        <v>756.12394434203929</v>
      </c>
      <c r="J109" s="126">
        <f t="shared" si="24"/>
        <v>884.52196179678606</v>
      </c>
      <c r="K109" s="126">
        <f t="shared" si="24"/>
        <v>813.59508340811794</v>
      </c>
      <c r="L109" s="46"/>
      <c r="M109" s="79">
        <f t="shared" si="25"/>
        <v>1.6505372129360518</v>
      </c>
      <c r="N109" s="33"/>
      <c r="O109" s="42"/>
    </row>
    <row r="110" spans="1:52">
      <c r="C110" s="40"/>
      <c r="D110" s="32"/>
      <c r="E110" s="6" t="s">
        <v>22</v>
      </c>
      <c r="F110" s="75"/>
      <c r="G110" s="126">
        <f t="shared" si="24"/>
        <v>90.824479196246912</v>
      </c>
      <c r="H110" s="54">
        <f t="shared" si="24"/>
        <v>80.543296587209241</v>
      </c>
      <c r="I110" s="126">
        <f t="shared" si="24"/>
        <v>42.721011367915317</v>
      </c>
      <c r="J110" s="126">
        <f t="shared" si="24"/>
        <v>69.732127304529939</v>
      </c>
      <c r="K110" s="126">
        <f t="shared" si="24"/>
        <v>0</v>
      </c>
      <c r="L110" s="46"/>
      <c r="M110" s="79">
        <f t="shared" si="25"/>
        <v>-1.1276478992625487</v>
      </c>
      <c r="N110" s="33"/>
      <c r="O110" s="42"/>
    </row>
    <row r="111" spans="1:52">
      <c r="C111" s="40"/>
      <c r="D111" s="32"/>
      <c r="E111" s="6" t="s">
        <v>42</v>
      </c>
      <c r="F111" s="75"/>
      <c r="G111" s="126">
        <f t="shared" si="24"/>
        <v>76.184472595648813</v>
      </c>
      <c r="H111" s="54">
        <f t="shared" si="24"/>
        <v>67.560514807389268</v>
      </c>
      <c r="I111" s="126">
        <f t="shared" si="24"/>
        <v>48.667695720095423</v>
      </c>
      <c r="J111" s="126">
        <f t="shared" si="24"/>
        <v>40.787260295444838</v>
      </c>
      <c r="K111" s="126">
        <f t="shared" si="24"/>
        <v>33.139883742426903</v>
      </c>
      <c r="L111" s="46"/>
      <c r="M111" s="79">
        <f t="shared" si="25"/>
        <v>-0.63712641882524568</v>
      </c>
      <c r="N111" s="33"/>
      <c r="O111" s="42"/>
    </row>
    <row r="112" spans="1:52">
      <c r="C112" s="40"/>
      <c r="D112" s="32"/>
      <c r="E112" s="6" t="s">
        <v>25</v>
      </c>
      <c r="F112" s="75"/>
      <c r="G112" s="126">
        <f t="shared" si="24"/>
        <v>808.34338503376557</v>
      </c>
      <c r="H112" s="54">
        <f t="shared" si="24"/>
        <v>662.7872821563426</v>
      </c>
      <c r="I112" s="126">
        <f t="shared" si="24"/>
        <v>492.3254550773205</v>
      </c>
      <c r="J112" s="126">
        <f t="shared" si="24"/>
        <v>395.5937548781211</v>
      </c>
      <c r="K112" s="126">
        <f t="shared" si="24"/>
        <v>395.43155544703563</v>
      </c>
      <c r="L112" s="46"/>
      <c r="M112" s="79">
        <f t="shared" si="25"/>
        <v>-0.62299298840397721</v>
      </c>
      <c r="N112" s="33"/>
      <c r="O112" s="42"/>
    </row>
    <row r="113" spans="3:15">
      <c r="C113" s="40"/>
      <c r="D113" s="32"/>
      <c r="E113" s="6" t="s">
        <v>26</v>
      </c>
      <c r="F113" s="75"/>
      <c r="G113" s="126">
        <f t="shared" si="24"/>
        <v>144.91136133203315</v>
      </c>
      <c r="H113" s="54">
        <f t="shared" si="24"/>
        <v>118.81758310773093</v>
      </c>
      <c r="I113" s="126">
        <f t="shared" si="24"/>
        <v>310.9928590912732</v>
      </c>
      <c r="J113" s="126">
        <f t="shared" si="24"/>
        <v>552.98026751779457</v>
      </c>
      <c r="K113" s="126">
        <f t="shared" si="24"/>
        <v>669.26133744347248</v>
      </c>
      <c r="L113" s="46"/>
      <c r="M113" s="79">
        <f t="shared" si="25"/>
        <v>4.4130671774060204</v>
      </c>
      <c r="N113" s="33"/>
      <c r="O113" s="42"/>
    </row>
    <row r="114" spans="3:15">
      <c r="C114" s="40"/>
      <c r="D114" s="32"/>
      <c r="E114" s="7" t="s">
        <v>17</v>
      </c>
      <c r="F114" s="14"/>
      <c r="G114" s="154">
        <f>SUM(G107:G113)</f>
        <v>5521.0617186691543</v>
      </c>
      <c r="H114" s="156">
        <f>SUM(H107:H113)</f>
        <v>4629.9809030459855</v>
      </c>
      <c r="I114" s="154">
        <f t="shared" ref="I114:J114" si="26">SUM(I107:I113)</f>
        <v>3394.2505320761165</v>
      </c>
      <c r="J114" s="154">
        <f t="shared" si="26"/>
        <v>2659.9047559441133</v>
      </c>
      <c r="K114" s="154">
        <f>SUM(K107:K113)</f>
        <v>2112.4899067434881</v>
      </c>
      <c r="L114" s="21"/>
      <c r="M114" s="79">
        <f t="shared" si="25"/>
        <v>-0.73619565248816143</v>
      </c>
      <c r="N114" s="33"/>
      <c r="O114" s="42"/>
    </row>
    <row r="115" spans="3:15">
      <c r="C115" s="40"/>
      <c r="D115" s="32"/>
      <c r="E115" s="149"/>
      <c r="F115" s="150"/>
      <c r="G115" s="150"/>
      <c r="H115" s="150"/>
      <c r="I115" s="150"/>
      <c r="J115" s="150"/>
      <c r="K115" s="150"/>
      <c r="L115" s="21"/>
      <c r="M115" s="65"/>
      <c r="N115" s="33"/>
      <c r="O115" s="42"/>
    </row>
    <row r="116" spans="3:15" ht="26.25" customHeight="1">
      <c r="C116" s="40"/>
      <c r="D116" s="32"/>
      <c r="E116" s="17"/>
      <c r="F116" s="333" t="s">
        <v>262</v>
      </c>
      <c r="G116" s="333"/>
      <c r="H116" s="333"/>
      <c r="I116" s="333"/>
      <c r="J116" s="333"/>
      <c r="K116" s="333"/>
      <c r="L116" s="62"/>
      <c r="M116" s="69"/>
      <c r="N116" s="33"/>
      <c r="O116" s="42"/>
    </row>
    <row r="117" spans="3:15">
      <c r="C117" s="40"/>
      <c r="D117" s="32"/>
      <c r="E117" s="5" t="s">
        <v>20</v>
      </c>
      <c r="F117" s="4"/>
      <c r="G117" s="4">
        <v>2010</v>
      </c>
      <c r="H117" s="4">
        <v>2020</v>
      </c>
      <c r="I117" s="4">
        <v>2030</v>
      </c>
      <c r="J117" s="4">
        <v>2040</v>
      </c>
      <c r="K117" s="4">
        <v>2050</v>
      </c>
      <c r="L117" s="29"/>
      <c r="M117" s="69"/>
      <c r="N117" s="33"/>
      <c r="O117" s="42"/>
    </row>
    <row r="118" spans="3:15">
      <c r="C118" s="40"/>
      <c r="D118" s="32"/>
      <c r="E118" s="6" t="s">
        <v>15</v>
      </c>
      <c r="F118" s="75"/>
      <c r="G118" s="153">
        <f t="shared" ref="G118:K124" si="27">G$36*G45*(1-$H$73)*G97/1000</f>
        <v>138.88669116963112</v>
      </c>
      <c r="H118" s="157">
        <f t="shared" si="27"/>
        <v>109.87185598499573</v>
      </c>
      <c r="I118" s="153">
        <f t="shared" si="27"/>
        <v>10.10779215066874</v>
      </c>
      <c r="J118" s="153">
        <f t="shared" si="27"/>
        <v>0</v>
      </c>
      <c r="K118" s="153">
        <f t="shared" si="27"/>
        <v>0</v>
      </c>
      <c r="L118" s="46"/>
      <c r="M118" s="79">
        <f>(K118-G118)/H118</f>
        <v>-1.2640788664623788</v>
      </c>
      <c r="N118" s="33"/>
      <c r="O118" s="42"/>
    </row>
    <row r="119" spans="3:15">
      <c r="C119" s="40"/>
      <c r="D119" s="32"/>
      <c r="E119" s="6" t="s">
        <v>16</v>
      </c>
      <c r="F119" s="75"/>
      <c r="G119" s="153">
        <f t="shared" si="27"/>
        <v>277.25537869278253</v>
      </c>
      <c r="H119" s="157">
        <f t="shared" si="27"/>
        <v>238.47566917610044</v>
      </c>
      <c r="I119" s="153">
        <f t="shared" si="27"/>
        <v>190.01981038581644</v>
      </c>
      <c r="J119" s="153">
        <f t="shared" si="27"/>
        <v>84.825659637093523</v>
      </c>
      <c r="K119" s="153">
        <f t="shared" si="27"/>
        <v>24.445847647200065</v>
      </c>
      <c r="L119" s="46"/>
      <c r="M119" s="79">
        <f t="shared" ref="M119:M125" si="28">(K119-G119)/H119</f>
        <v>-1.0601061815614292</v>
      </c>
      <c r="N119" s="33"/>
      <c r="O119" s="42"/>
    </row>
    <row r="120" spans="3:15">
      <c r="C120" s="40"/>
      <c r="D120" s="32"/>
      <c r="E120" s="6" t="s">
        <v>75</v>
      </c>
      <c r="F120" s="75"/>
      <c r="G120" s="153">
        <f t="shared" si="27"/>
        <v>33.760400683122725</v>
      </c>
      <c r="H120" s="157">
        <f t="shared" si="27"/>
        <v>29.938778500985212</v>
      </c>
      <c r="I120" s="153">
        <f t="shared" si="27"/>
        <v>90.931401186099166</v>
      </c>
      <c r="J120" s="153">
        <f t="shared" si="27"/>
        <v>110.19749001397402</v>
      </c>
      <c r="K120" s="153">
        <f t="shared" si="27"/>
        <v>105.12079813793659</v>
      </c>
      <c r="L120" s="46"/>
      <c r="M120" s="79">
        <f t="shared" si="28"/>
        <v>2.3835440531571979</v>
      </c>
      <c r="N120" s="33"/>
      <c r="O120" s="42"/>
    </row>
    <row r="121" spans="3:15">
      <c r="C121" s="40"/>
      <c r="D121" s="32"/>
      <c r="E121" s="6" t="s">
        <v>22</v>
      </c>
      <c r="F121" s="75"/>
      <c r="G121" s="153">
        <f t="shared" si="27"/>
        <v>9.2851699591643992</v>
      </c>
      <c r="H121" s="157">
        <f t="shared" si="27"/>
        <v>8.2341038946967835</v>
      </c>
      <c r="I121" s="153">
        <f t="shared" si="27"/>
        <v>5.1376251907379631</v>
      </c>
      <c r="J121" s="153">
        <f t="shared" si="27"/>
        <v>8.6875235824382244</v>
      </c>
      <c r="K121" s="153">
        <f t="shared" si="27"/>
        <v>0</v>
      </c>
      <c r="L121" s="46"/>
      <c r="M121" s="79">
        <f t="shared" si="28"/>
        <v>-1.1276478992625487</v>
      </c>
      <c r="N121" s="33"/>
      <c r="O121" s="42"/>
    </row>
    <row r="122" spans="3:15">
      <c r="C122" s="40"/>
      <c r="D122" s="32"/>
      <c r="E122" s="6" t="s">
        <v>42</v>
      </c>
      <c r="F122" s="75"/>
      <c r="G122" s="153">
        <f t="shared" si="27"/>
        <v>7.7884925139117405</v>
      </c>
      <c r="H122" s="157">
        <f t="shared" si="27"/>
        <v>6.9068478902015471</v>
      </c>
      <c r="I122" s="153">
        <f t="shared" si="27"/>
        <v>5.8527729447556274</v>
      </c>
      <c r="J122" s="153">
        <f t="shared" si="27"/>
        <v>5.0814495323263236</v>
      </c>
      <c r="K122" s="153">
        <f t="shared" si="27"/>
        <v>4.281848674170079</v>
      </c>
      <c r="L122" s="46"/>
      <c r="M122" s="79">
        <f t="shared" si="28"/>
        <v>-0.50770538101995688</v>
      </c>
      <c r="N122" s="33"/>
      <c r="O122" s="42"/>
    </row>
    <row r="123" spans="3:15">
      <c r="C123" s="40"/>
      <c r="D123" s="32"/>
      <c r="E123" s="6" t="s">
        <v>25</v>
      </c>
      <c r="F123" s="75"/>
      <c r="G123" s="153">
        <f t="shared" si="27"/>
        <v>82.63857697644724</v>
      </c>
      <c r="H123" s="157">
        <f t="shared" si="27"/>
        <v>67.758082579223782</v>
      </c>
      <c r="I123" s="153">
        <f t="shared" si="27"/>
        <v>53.345255703647034</v>
      </c>
      <c r="J123" s="153">
        <f t="shared" si="27"/>
        <v>43.271898755100629</v>
      </c>
      <c r="K123" s="153">
        <f t="shared" si="27"/>
        <v>43.713534747408119</v>
      </c>
      <c r="L123" s="46"/>
      <c r="M123" s="79">
        <f t="shared" si="28"/>
        <v>-0.5744708342879592</v>
      </c>
      <c r="N123" s="33"/>
      <c r="O123" s="42"/>
    </row>
    <row r="124" spans="3:15">
      <c r="C124" s="40"/>
      <c r="D124" s="32"/>
      <c r="E124" s="6" t="s">
        <v>26</v>
      </c>
      <c r="F124" s="75"/>
      <c r="G124" s="153">
        <f t="shared" si="27"/>
        <v>14.814581166763377</v>
      </c>
      <c r="H124" s="157">
        <f t="shared" si="27"/>
        <v>12.14696151363135</v>
      </c>
      <c r="I124" s="153">
        <f t="shared" si="27"/>
        <v>33.697208663782696</v>
      </c>
      <c r="J124" s="153">
        <f t="shared" si="27"/>
        <v>60.487573058302267</v>
      </c>
      <c r="K124" s="153">
        <f t="shared" si="27"/>
        <v>73.984431253490612</v>
      </c>
      <c r="L124" s="46"/>
      <c r="M124" s="79">
        <f t="shared" si="28"/>
        <v>4.8711646958234525</v>
      </c>
      <c r="N124" s="33"/>
      <c r="O124" s="42"/>
    </row>
    <row r="125" spans="3:15">
      <c r="C125" s="40"/>
      <c r="D125" s="32"/>
      <c r="E125" s="7" t="s">
        <v>17</v>
      </c>
      <c r="F125" s="14"/>
      <c r="G125" s="155">
        <f>SUM(G118:G124)</f>
        <v>564.42929116182313</v>
      </c>
      <c r="H125" s="158">
        <f>SUM(H118:H124)</f>
        <v>473.33229953983493</v>
      </c>
      <c r="I125" s="155">
        <f t="shared" ref="I125:K125" si="29">SUM(I118:I124)</f>
        <v>389.0918662255076</v>
      </c>
      <c r="J125" s="155">
        <f t="shared" si="29"/>
        <v>312.55159457923497</v>
      </c>
      <c r="K125" s="155">
        <f t="shared" si="29"/>
        <v>251.54646046020545</v>
      </c>
      <c r="L125" s="21"/>
      <c r="M125" s="79">
        <f t="shared" si="28"/>
        <v>-0.6610215085803286</v>
      </c>
      <c r="N125" s="33"/>
      <c r="O125" s="42"/>
    </row>
    <row r="126" spans="3:15">
      <c r="C126" s="40"/>
      <c r="D126" s="32"/>
      <c r="E126" s="149"/>
      <c r="F126" s="65"/>
      <c r="G126" s="65"/>
      <c r="H126" s="151"/>
      <c r="I126" s="151"/>
      <c r="J126" s="151"/>
      <c r="K126" s="151"/>
      <c r="L126" s="21"/>
      <c r="M126" s="65"/>
      <c r="N126" s="33"/>
      <c r="O126" s="42"/>
    </row>
    <row r="127" spans="3:15" ht="26.25" customHeight="1">
      <c r="C127" s="40"/>
      <c r="D127" s="32"/>
      <c r="E127" s="17"/>
      <c r="F127" s="333" t="s">
        <v>263</v>
      </c>
      <c r="G127" s="333"/>
      <c r="H127" s="333"/>
      <c r="I127" s="333"/>
      <c r="J127" s="333"/>
      <c r="K127" s="333"/>
      <c r="L127" s="62"/>
      <c r="M127" s="69"/>
      <c r="N127" s="33"/>
      <c r="O127" s="42"/>
    </row>
    <row r="128" spans="3:15">
      <c r="C128" s="40"/>
      <c r="D128" s="32"/>
      <c r="E128" s="5" t="s">
        <v>20</v>
      </c>
      <c r="F128" s="4"/>
      <c r="G128" s="4">
        <v>2010</v>
      </c>
      <c r="H128" s="4">
        <v>2020</v>
      </c>
      <c r="I128" s="4">
        <v>2030</v>
      </c>
      <c r="J128" s="4">
        <v>2040</v>
      </c>
      <c r="K128" s="4">
        <v>2050</v>
      </c>
      <c r="L128" s="29"/>
      <c r="M128" s="69"/>
      <c r="N128" s="33"/>
      <c r="O128" s="42"/>
    </row>
    <row r="129" spans="1:15">
      <c r="C129" s="40"/>
      <c r="D129" s="32"/>
      <c r="E129" s="6" t="s">
        <v>15</v>
      </c>
      <c r="F129" s="75"/>
      <c r="G129" s="75"/>
      <c r="H129" s="153">
        <f>H107+H118</f>
        <v>1184.6022208624877</v>
      </c>
      <c r="I129" s="153">
        <f t="shared" ref="I129:K129" si="30">I107+I118</f>
        <v>107.93842425384921</v>
      </c>
      <c r="J129" s="153">
        <f t="shared" si="30"/>
        <v>0</v>
      </c>
      <c r="K129" s="153">
        <f t="shared" si="30"/>
        <v>0</v>
      </c>
      <c r="L129" s="46"/>
      <c r="M129" s="79">
        <f>(K129-G129)/H129</f>
        <v>0</v>
      </c>
      <c r="N129" s="33"/>
      <c r="O129" s="42"/>
    </row>
    <row r="130" spans="1:15">
      <c r="C130" s="40"/>
      <c r="D130" s="32"/>
      <c r="E130" s="6" t="s">
        <v>16</v>
      </c>
      <c r="F130" s="75"/>
      <c r="G130" s="75"/>
      <c r="H130" s="153">
        <f t="shared" ref="H130:K135" si="31">H108+H119</f>
        <v>2571.1662444862582</v>
      </c>
      <c r="I130" s="153">
        <f t="shared" si="31"/>
        <v>1835.6087447601092</v>
      </c>
      <c r="J130" s="153">
        <f t="shared" si="31"/>
        <v>801.11504378852987</v>
      </c>
      <c r="K130" s="153">
        <f t="shared" si="31"/>
        <v>225.50789434963545</v>
      </c>
      <c r="L130" s="46"/>
      <c r="M130" s="79">
        <f t="shared" ref="M130:M136" si="32">(K130-G130)/H130</f>
        <v>8.7706461934628402E-2</v>
      </c>
      <c r="N130" s="33"/>
      <c r="O130" s="42"/>
    </row>
    <row r="131" spans="1:15">
      <c r="C131" s="40"/>
      <c r="D131" s="32"/>
      <c r="E131" s="6" t="s">
        <v>75</v>
      </c>
      <c r="F131" s="75"/>
      <c r="G131" s="75"/>
      <c r="H131" s="153">
        <f t="shared" si="31"/>
        <v>322.79006470064922</v>
      </c>
      <c r="I131" s="153">
        <f t="shared" si="31"/>
        <v>847.05534552813845</v>
      </c>
      <c r="J131" s="153">
        <f t="shared" si="31"/>
        <v>994.71945181076012</v>
      </c>
      <c r="K131" s="153">
        <f t="shared" si="31"/>
        <v>918.71588154605456</v>
      </c>
      <c r="L131" s="46"/>
      <c r="M131" s="79">
        <f t="shared" si="32"/>
        <v>2.8461714966291116</v>
      </c>
      <c r="N131" s="33"/>
      <c r="O131" s="42"/>
    </row>
    <row r="132" spans="1:15">
      <c r="C132" s="40"/>
      <c r="D132" s="32"/>
      <c r="E132" s="6" t="s">
        <v>22</v>
      </c>
      <c r="F132" s="75"/>
      <c r="G132" s="75"/>
      <c r="H132" s="153">
        <f t="shared" si="31"/>
        <v>88.777400481906028</v>
      </c>
      <c r="I132" s="153">
        <f t="shared" si="31"/>
        <v>47.858636558653281</v>
      </c>
      <c r="J132" s="153">
        <f t="shared" si="31"/>
        <v>78.419650886968157</v>
      </c>
      <c r="K132" s="153">
        <f t="shared" si="31"/>
        <v>0</v>
      </c>
      <c r="L132" s="46"/>
      <c r="M132" s="79">
        <f t="shared" si="32"/>
        <v>0</v>
      </c>
      <c r="N132" s="33"/>
      <c r="O132" s="42"/>
    </row>
    <row r="133" spans="1:15">
      <c r="C133" s="40"/>
      <c r="D133" s="32"/>
      <c r="E133" s="6" t="s">
        <v>42</v>
      </c>
      <c r="F133" s="75"/>
      <c r="G133" s="75"/>
      <c r="H133" s="153">
        <f t="shared" si="31"/>
        <v>74.467362697590815</v>
      </c>
      <c r="I133" s="153">
        <f t="shared" si="31"/>
        <v>54.520468664851052</v>
      </c>
      <c r="J133" s="153">
        <f t="shared" si="31"/>
        <v>45.868709827771163</v>
      </c>
      <c r="K133" s="153">
        <f t="shared" si="31"/>
        <v>37.421732416596981</v>
      </c>
      <c r="L133" s="46"/>
      <c r="M133" s="79">
        <f t="shared" si="32"/>
        <v>0.50252528169374333</v>
      </c>
      <c r="N133" s="33"/>
      <c r="O133" s="42"/>
    </row>
    <row r="134" spans="1:15">
      <c r="C134" s="40"/>
      <c r="D134" s="32"/>
      <c r="E134" s="6" t="s">
        <v>25</v>
      </c>
      <c r="F134" s="75"/>
      <c r="G134" s="75"/>
      <c r="H134" s="153">
        <f t="shared" si="31"/>
        <v>730.54536473556641</v>
      </c>
      <c r="I134" s="153">
        <f t="shared" si="31"/>
        <v>545.67071078096751</v>
      </c>
      <c r="J134" s="153">
        <f t="shared" si="31"/>
        <v>438.86565363322171</v>
      </c>
      <c r="K134" s="153">
        <f t="shared" si="31"/>
        <v>439.14509019444375</v>
      </c>
      <c r="L134" s="46"/>
      <c r="M134" s="79">
        <f t="shared" si="32"/>
        <v>0.60111953533973894</v>
      </c>
      <c r="N134" s="33"/>
      <c r="O134" s="42"/>
    </row>
    <row r="135" spans="1:15">
      <c r="C135" s="40"/>
      <c r="D135" s="32"/>
      <c r="E135" s="6" t="s">
        <v>26</v>
      </c>
      <c r="F135" s="75"/>
      <c r="G135" s="75"/>
      <c r="H135" s="153">
        <f t="shared" si="31"/>
        <v>130.96454462136228</v>
      </c>
      <c r="I135" s="153">
        <f t="shared" si="31"/>
        <v>344.69006775505591</v>
      </c>
      <c r="J135" s="153">
        <f t="shared" si="31"/>
        <v>613.46784057609682</v>
      </c>
      <c r="K135" s="153">
        <f t="shared" si="31"/>
        <v>743.24576869696307</v>
      </c>
      <c r="L135" s="46"/>
      <c r="M135" s="79">
        <f t="shared" si="32"/>
        <v>5.6751678161886918</v>
      </c>
      <c r="N135" s="33"/>
      <c r="O135" s="42"/>
    </row>
    <row r="136" spans="1:15">
      <c r="C136" s="40"/>
      <c r="D136" s="32"/>
      <c r="E136" s="7" t="s">
        <v>17</v>
      </c>
      <c r="F136" s="14"/>
      <c r="G136" s="14"/>
      <c r="H136" s="155">
        <f>SUM(H129:H135)</f>
        <v>5103.3132025858204</v>
      </c>
      <c r="I136" s="155">
        <f t="shared" ref="I136:K136" si="33">SUM(I129:I135)</f>
        <v>3783.3423983016246</v>
      </c>
      <c r="J136" s="155">
        <f t="shared" si="33"/>
        <v>2972.4563505233482</v>
      </c>
      <c r="K136" s="155">
        <f t="shared" si="33"/>
        <v>2364.0363672036938</v>
      </c>
      <c r="L136" s="21"/>
      <c r="M136" s="79">
        <f t="shared" si="32"/>
        <v>0.46323560270724706</v>
      </c>
      <c r="N136" s="33"/>
      <c r="O136" s="42"/>
    </row>
    <row r="137" spans="1:15" s="17" customFormat="1">
      <c r="A137" s="56"/>
      <c r="C137" s="40"/>
      <c r="D137" s="32"/>
      <c r="M137" s="65"/>
      <c r="N137" s="33"/>
      <c r="O137" s="42"/>
    </row>
    <row r="138" spans="1:15" s="17" customFormat="1">
      <c r="A138" s="56"/>
      <c r="C138" s="40"/>
      <c r="D138" s="32"/>
      <c r="E138" s="337" t="s">
        <v>78</v>
      </c>
      <c r="F138" s="337"/>
      <c r="G138" s="337"/>
      <c r="H138" s="337"/>
      <c r="I138" s="337"/>
      <c r="J138" s="337"/>
      <c r="K138" s="337"/>
      <c r="L138" s="337"/>
      <c r="M138" s="337"/>
      <c r="N138" s="33"/>
      <c r="O138" s="42"/>
    </row>
    <row r="139" spans="1:15" s="17" customFormat="1">
      <c r="A139" s="56"/>
      <c r="C139" s="40"/>
      <c r="D139" s="32"/>
      <c r="M139" s="65"/>
      <c r="N139" s="33"/>
      <c r="O139" s="42"/>
    </row>
    <row r="140" spans="1:15" s="17" customFormat="1" ht="24" customHeight="1">
      <c r="A140" s="56"/>
      <c r="C140" s="40"/>
      <c r="D140" s="32"/>
      <c r="E140" s="1"/>
      <c r="F140" s="338" t="s">
        <v>264</v>
      </c>
      <c r="G140" s="338"/>
      <c r="H140" s="338"/>
      <c r="I140" s="338"/>
      <c r="J140" s="338"/>
      <c r="K140" s="338"/>
      <c r="M140" s="65"/>
      <c r="N140" s="33"/>
      <c r="O140" s="42"/>
    </row>
    <row r="141" spans="1:15" s="17" customFormat="1">
      <c r="A141" s="56"/>
      <c r="C141" s="40"/>
      <c r="D141" s="32"/>
      <c r="E141" s="5" t="s">
        <v>20</v>
      </c>
      <c r="F141" s="4"/>
      <c r="G141" s="4">
        <v>2010</v>
      </c>
      <c r="H141" s="4">
        <v>2020</v>
      </c>
      <c r="I141" s="4">
        <v>2030</v>
      </c>
      <c r="J141" s="4">
        <v>2040</v>
      </c>
      <c r="K141" s="4">
        <v>2050</v>
      </c>
      <c r="M141" s="61" t="s">
        <v>32</v>
      </c>
      <c r="N141" s="33"/>
      <c r="O141" s="42"/>
    </row>
    <row r="142" spans="1:15" s="17" customFormat="1" ht="11.25" customHeight="1">
      <c r="A142" s="56"/>
      <c r="C142" s="40"/>
      <c r="D142" s="32"/>
      <c r="E142" s="6" t="s">
        <v>15</v>
      </c>
      <c r="F142" s="55"/>
      <c r="G142" s="55"/>
      <c r="H142" s="55">
        <f>'Init. énergie'!C66</f>
        <v>8.566654622007622E-4</v>
      </c>
      <c r="I142" s="47">
        <v>0</v>
      </c>
      <c r="J142" s="47">
        <v>0</v>
      </c>
      <c r="K142" s="47">
        <v>0</v>
      </c>
      <c r="M142" s="334" t="s">
        <v>41</v>
      </c>
      <c r="N142" s="33"/>
      <c r="O142" s="42"/>
    </row>
    <row r="143" spans="1:15" s="17" customFormat="1">
      <c r="A143" s="56"/>
      <c r="C143" s="40"/>
      <c r="D143" s="32"/>
      <c r="E143" s="6" t="s">
        <v>16</v>
      </c>
      <c r="F143" s="55"/>
      <c r="G143" s="55"/>
      <c r="H143" s="55">
        <f>'Init. énergie'!C67</f>
        <v>0.12133733261175747</v>
      </c>
      <c r="I143" s="47">
        <v>0.11</v>
      </c>
      <c r="J143" s="47">
        <v>0.1</v>
      </c>
      <c r="K143" s="47">
        <v>0.09</v>
      </c>
      <c r="M143" s="335"/>
      <c r="N143" s="33"/>
      <c r="O143" s="42"/>
    </row>
    <row r="144" spans="1:15" s="17" customFormat="1">
      <c r="A144" s="56"/>
      <c r="C144" s="40"/>
      <c r="D144" s="32"/>
      <c r="E144" s="6" t="s">
        <v>75</v>
      </c>
      <c r="F144" s="55"/>
      <c r="G144" s="55"/>
      <c r="H144" s="55">
        <f>'Init. énergie'!C68</f>
        <v>0.13508370055286556</v>
      </c>
      <c r="I144" s="47">
        <v>0.18</v>
      </c>
      <c r="J144" s="47">
        <f>H144+((K144-H144)/3*2)</f>
        <v>0.16502790018428851</v>
      </c>
      <c r="K144" s="47">
        <v>0.18</v>
      </c>
      <c r="M144" s="335"/>
      <c r="N144" s="33"/>
      <c r="O144" s="42"/>
    </row>
    <row r="145" spans="1:15" s="17" customFormat="1">
      <c r="A145" s="56"/>
      <c r="C145" s="40"/>
      <c r="D145" s="32"/>
      <c r="E145" s="6" t="s">
        <v>22</v>
      </c>
      <c r="F145" s="55"/>
      <c r="G145" s="55"/>
      <c r="H145" s="55">
        <f>'Init. énergie'!C69</f>
        <v>2.0851083900283521E-2</v>
      </c>
      <c r="I145" s="47">
        <f t="shared" ref="I145" si="34">H145</f>
        <v>2.0851083900283521E-2</v>
      </c>
      <c r="J145" s="47">
        <v>0.01</v>
      </c>
      <c r="K145" s="47">
        <v>0</v>
      </c>
      <c r="M145" s="335"/>
      <c r="N145" s="33"/>
      <c r="O145" s="42"/>
    </row>
    <row r="146" spans="1:15" s="17" customFormat="1">
      <c r="A146" s="56"/>
      <c r="C146" s="40"/>
      <c r="D146" s="32"/>
      <c r="E146" s="6" t="s">
        <v>42</v>
      </c>
      <c r="F146" s="55"/>
      <c r="G146" s="55"/>
      <c r="H146" s="55">
        <f>'Init. énergie'!C70</f>
        <v>2.1412462228474215E-2</v>
      </c>
      <c r="I146" s="47">
        <v>0.02</v>
      </c>
      <c r="J146" s="47">
        <v>0.02</v>
      </c>
      <c r="K146" s="47">
        <v>0.02</v>
      </c>
      <c r="M146" s="335"/>
      <c r="N146" s="33"/>
      <c r="O146" s="42"/>
    </row>
    <row r="147" spans="1:15" s="17" customFormat="1">
      <c r="A147" s="56"/>
      <c r="C147" s="40"/>
      <c r="D147" s="32"/>
      <c r="E147" s="6" t="s">
        <v>25</v>
      </c>
      <c r="F147" s="55"/>
      <c r="G147" s="85"/>
      <c r="H147" s="55">
        <f>'Init. énergie'!C71</f>
        <v>0.23233774569965782</v>
      </c>
      <c r="I147" s="47">
        <f>1-I142-I143-I144-I145-I146-I148</f>
        <v>0.11914891609971634</v>
      </c>
      <c r="J147" s="47">
        <f t="shared" ref="J147:K147" si="35">1-J142-J143-J144-J145-J146-J148</f>
        <v>0.10497209981571154</v>
      </c>
      <c r="K147" s="47">
        <f t="shared" si="35"/>
        <v>0.10999999999999999</v>
      </c>
      <c r="M147" s="335"/>
      <c r="N147" s="33"/>
      <c r="O147" s="42"/>
    </row>
    <row r="148" spans="1:15" s="17" customFormat="1">
      <c r="A148" s="56"/>
      <c r="C148" s="40"/>
      <c r="D148" s="32"/>
      <c r="E148" s="6" t="s">
        <v>26</v>
      </c>
      <c r="F148" s="55"/>
      <c r="G148" s="85"/>
      <c r="H148" s="55">
        <f>'Init. énergie'!C72</f>
        <v>0.46812100954476071</v>
      </c>
      <c r="I148" s="47">
        <v>0.55000000000000004</v>
      </c>
      <c r="J148" s="47">
        <v>0.6</v>
      </c>
      <c r="K148" s="47">
        <v>0.6</v>
      </c>
      <c r="M148" s="335"/>
      <c r="N148" s="33"/>
      <c r="O148" s="42"/>
    </row>
    <row r="149" spans="1:15" s="17" customFormat="1">
      <c r="A149" s="56"/>
      <c r="C149" s="40"/>
      <c r="D149" s="32"/>
      <c r="E149" s="7" t="s">
        <v>17</v>
      </c>
      <c r="F149" s="53"/>
      <c r="G149" s="53"/>
      <c r="H149" s="15">
        <f>SUM(H142:H148)</f>
        <v>1</v>
      </c>
      <c r="I149" s="15">
        <f t="shared" ref="I149:K149" si="36">SUM(I142:I148)</f>
        <v>0.99999999999999989</v>
      </c>
      <c r="J149" s="15">
        <f t="shared" si="36"/>
        <v>1</v>
      </c>
      <c r="K149" s="15">
        <f t="shared" si="36"/>
        <v>1</v>
      </c>
      <c r="M149" s="336"/>
      <c r="N149" s="33"/>
      <c r="O149" s="42"/>
    </row>
    <row r="150" spans="1:15" s="17" customFormat="1">
      <c r="A150" s="56"/>
      <c r="C150" s="40"/>
      <c r="D150" s="32"/>
      <c r="M150" s="65"/>
      <c r="N150" s="33"/>
      <c r="O150" s="42"/>
    </row>
    <row r="151" spans="1:15" s="17" customFormat="1" ht="30.75" customHeight="1">
      <c r="A151" s="56"/>
      <c r="C151" s="40"/>
      <c r="D151" s="32"/>
      <c r="F151" s="333" t="s">
        <v>265</v>
      </c>
      <c r="G151" s="333"/>
      <c r="H151" s="333"/>
      <c r="I151" s="333"/>
      <c r="J151" s="333"/>
      <c r="K151" s="333"/>
      <c r="M151" s="65"/>
      <c r="N151" s="33"/>
      <c r="O151" s="42"/>
    </row>
    <row r="152" spans="1:15" s="17" customFormat="1">
      <c r="A152" s="56"/>
      <c r="C152" s="40"/>
      <c r="D152" s="32"/>
      <c r="E152" s="5" t="s">
        <v>20</v>
      </c>
      <c r="F152" s="4"/>
      <c r="G152" s="4"/>
      <c r="H152" s="4">
        <v>2020</v>
      </c>
      <c r="I152" s="4">
        <v>2030</v>
      </c>
      <c r="J152" s="4">
        <v>2040</v>
      </c>
      <c r="K152" s="4">
        <v>2050</v>
      </c>
      <c r="M152" s="61" t="s">
        <v>32</v>
      </c>
      <c r="N152" s="33"/>
      <c r="O152" s="42"/>
    </row>
    <row r="153" spans="1:15" s="17" customFormat="1">
      <c r="A153" s="56"/>
      <c r="C153" s="40"/>
      <c r="D153" s="32"/>
      <c r="E153" s="6" t="s">
        <v>15</v>
      </c>
      <c r="F153" s="82"/>
      <c r="G153" s="54"/>
      <c r="H153" s="54"/>
      <c r="I153" s="45">
        <f>J153</f>
        <v>113.77012950100283</v>
      </c>
      <c r="J153" s="45">
        <f>K153</f>
        <v>113.77012950100283</v>
      </c>
      <c r="K153" s="45">
        <f t="shared" ref="K153:K159" si="37">K77</f>
        <v>113.77012950100283</v>
      </c>
      <c r="M153" s="334" t="s">
        <v>38</v>
      </c>
      <c r="N153" s="33"/>
      <c r="O153" s="42"/>
    </row>
    <row r="154" spans="1:15" s="17" customFormat="1">
      <c r="A154" s="56"/>
      <c r="C154" s="40"/>
      <c r="D154" s="32"/>
      <c r="E154" s="6" t="s">
        <v>16</v>
      </c>
      <c r="F154" s="82"/>
      <c r="G154" s="54"/>
      <c r="H154" s="54"/>
      <c r="I154" s="45">
        <f t="shared" ref="I154:J159" si="38">J154</f>
        <v>108.6521118432058</v>
      </c>
      <c r="J154" s="45">
        <f t="shared" si="38"/>
        <v>108.6521118432058</v>
      </c>
      <c r="K154" s="45">
        <f t="shared" si="37"/>
        <v>108.6521118432058</v>
      </c>
      <c r="M154" s="335"/>
      <c r="N154" s="33"/>
      <c r="O154" s="42"/>
    </row>
    <row r="155" spans="1:15" s="17" customFormat="1">
      <c r="A155" s="56"/>
      <c r="C155" s="40"/>
      <c r="D155" s="32"/>
      <c r="E155" s="6" t="s">
        <v>75</v>
      </c>
      <c r="F155" s="82"/>
      <c r="G155" s="54"/>
      <c r="H155" s="54"/>
      <c r="I155" s="45">
        <f t="shared" si="38"/>
        <v>87.931885154206441</v>
      </c>
      <c r="J155" s="45">
        <f t="shared" si="38"/>
        <v>87.931885154206441</v>
      </c>
      <c r="K155" s="45">
        <f t="shared" si="37"/>
        <v>87.931885154206441</v>
      </c>
      <c r="M155" s="335"/>
      <c r="N155" s="33"/>
      <c r="O155" s="42"/>
    </row>
    <row r="156" spans="1:15" s="17" customFormat="1">
      <c r="A156" s="56"/>
      <c r="C156" s="40"/>
      <c r="D156" s="32"/>
      <c r="E156" s="6" t="s">
        <v>22</v>
      </c>
      <c r="F156" s="82"/>
      <c r="G156" s="54"/>
      <c r="H156" s="54"/>
      <c r="I156" s="45">
        <f t="shared" si="38"/>
        <v>86.652418969405218</v>
      </c>
      <c r="J156" s="45">
        <f t="shared" si="38"/>
        <v>86.652418969405218</v>
      </c>
      <c r="K156" s="45">
        <f t="shared" si="37"/>
        <v>86.652418969405218</v>
      </c>
      <c r="M156" s="335"/>
      <c r="N156" s="33"/>
      <c r="O156" s="42"/>
    </row>
    <row r="157" spans="1:15" s="17" customFormat="1">
      <c r="A157" s="56"/>
      <c r="C157" s="40"/>
      <c r="D157" s="32"/>
      <c r="E157" s="6" t="s">
        <v>42</v>
      </c>
      <c r="F157" s="82"/>
      <c r="G157" s="54"/>
      <c r="H157" s="54"/>
      <c r="I157" s="45">
        <f t="shared" si="38"/>
        <v>89.542467459856795</v>
      </c>
      <c r="J157" s="45">
        <f t="shared" si="38"/>
        <v>89.542467459856795</v>
      </c>
      <c r="K157" s="45">
        <f t="shared" si="37"/>
        <v>89.542467459856795</v>
      </c>
      <c r="M157" s="335"/>
      <c r="N157" s="33"/>
      <c r="O157" s="42"/>
    </row>
    <row r="158" spans="1:15" s="17" customFormat="1">
      <c r="A158" s="56"/>
      <c r="C158" s="40"/>
      <c r="D158" s="32"/>
      <c r="E158" s="6" t="s">
        <v>25</v>
      </c>
      <c r="F158" s="82"/>
      <c r="G158" s="87"/>
      <c r="H158" s="54"/>
      <c r="I158" s="45">
        <f t="shared" si="38"/>
        <v>56.23358860376549</v>
      </c>
      <c r="J158" s="45">
        <f t="shared" si="38"/>
        <v>56.23358860376549</v>
      </c>
      <c r="K158" s="45">
        <f t="shared" si="37"/>
        <v>56.23358860376549</v>
      </c>
      <c r="M158" s="335"/>
      <c r="N158" s="33"/>
      <c r="O158" s="42"/>
    </row>
    <row r="159" spans="1:15" s="17" customFormat="1">
      <c r="A159" s="56"/>
      <c r="C159" s="40"/>
      <c r="D159" s="32"/>
      <c r="E159" s="6" t="s">
        <v>26</v>
      </c>
      <c r="F159" s="82"/>
      <c r="G159" s="87"/>
      <c r="H159" s="54"/>
      <c r="I159" s="45">
        <f t="shared" si="38"/>
        <v>36.166277465512785</v>
      </c>
      <c r="J159" s="45">
        <f t="shared" si="38"/>
        <v>36.166277465512785</v>
      </c>
      <c r="K159" s="45">
        <f t="shared" si="37"/>
        <v>36.166277465512785</v>
      </c>
      <c r="M159" s="336"/>
      <c r="N159" s="33"/>
      <c r="O159" s="42"/>
    </row>
    <row r="160" spans="1:15" s="17" customFormat="1">
      <c r="A160" s="56"/>
      <c r="C160" s="40"/>
      <c r="D160" s="32"/>
      <c r="M160" s="65"/>
      <c r="N160" s="33"/>
      <c r="O160" s="42"/>
    </row>
    <row r="161" spans="1:15" s="17" customFormat="1" ht="29.25" customHeight="1">
      <c r="A161" s="56"/>
      <c r="C161" s="40"/>
      <c r="D161" s="32"/>
      <c r="F161" s="333" t="s">
        <v>266</v>
      </c>
      <c r="G161" s="333"/>
      <c r="H161" s="333"/>
      <c r="I161" s="333"/>
      <c r="J161" s="333"/>
      <c r="K161" s="333"/>
      <c r="M161" s="69"/>
      <c r="N161" s="33"/>
      <c r="O161" s="42"/>
    </row>
    <row r="162" spans="1:15" s="17" customFormat="1">
      <c r="A162" s="56"/>
      <c r="C162" s="40"/>
      <c r="D162" s="32"/>
      <c r="E162" s="5" t="s">
        <v>20</v>
      </c>
      <c r="F162" s="4"/>
      <c r="G162" s="4"/>
      <c r="H162" s="4">
        <v>2020</v>
      </c>
      <c r="I162" s="4">
        <v>2030</v>
      </c>
      <c r="J162" s="4">
        <v>2040</v>
      </c>
      <c r="K162" s="4">
        <v>2050</v>
      </c>
      <c r="M162" s="65"/>
      <c r="N162" s="33"/>
      <c r="O162" s="42"/>
    </row>
    <row r="163" spans="1:15" s="17" customFormat="1">
      <c r="A163" s="56"/>
      <c r="C163" s="40"/>
      <c r="D163" s="32"/>
      <c r="E163" s="6" t="s">
        <v>15</v>
      </c>
      <c r="F163" s="82"/>
      <c r="G163" s="82"/>
      <c r="H163" s="10">
        <f>H$35*H142*H153/1000</f>
        <v>0</v>
      </c>
      <c r="I163" s="10">
        <f t="shared" ref="I163:K163" si="39">I$35*I142*I153/1000</f>
        <v>0</v>
      </c>
      <c r="J163" s="10">
        <f t="shared" si="39"/>
        <v>0</v>
      </c>
      <c r="K163" s="10">
        <f t="shared" si="39"/>
        <v>0</v>
      </c>
      <c r="M163" s="65"/>
      <c r="N163" s="33"/>
      <c r="O163" s="42"/>
    </row>
    <row r="164" spans="1:15" s="17" customFormat="1">
      <c r="A164" s="56"/>
      <c r="C164" s="40"/>
      <c r="D164" s="32"/>
      <c r="E164" s="6" t="s">
        <v>16</v>
      </c>
      <c r="F164" s="82"/>
      <c r="G164" s="82"/>
      <c r="H164" s="10">
        <f t="shared" ref="H164:K169" si="40">H$35*H143*H154/1000</f>
        <v>0</v>
      </c>
      <c r="I164" s="10">
        <f t="shared" si="40"/>
        <v>17.466255151868957</v>
      </c>
      <c r="J164" s="10">
        <f t="shared" si="40"/>
        <v>15.306195417184641</v>
      </c>
      <c r="K164" s="10">
        <f t="shared" si="40"/>
        <v>10.805617482859093</v>
      </c>
      <c r="M164" s="65"/>
      <c r="N164" s="33"/>
      <c r="O164" s="42"/>
    </row>
    <row r="165" spans="1:15" s="17" customFormat="1">
      <c r="A165" s="56"/>
      <c r="C165" s="40"/>
      <c r="D165" s="32"/>
      <c r="E165" s="6" t="s">
        <v>75</v>
      </c>
      <c r="F165" s="82"/>
      <c r="G165" s="82"/>
      <c r="H165" s="10">
        <f t="shared" si="40"/>
        <v>0</v>
      </c>
      <c r="I165" s="10">
        <f t="shared" si="40"/>
        <v>23.130649731186423</v>
      </c>
      <c r="J165" s="10">
        <f t="shared" si="40"/>
        <v>20.442445071930514</v>
      </c>
      <c r="K165" s="10">
        <f t="shared" si="40"/>
        <v>17.489918960695583</v>
      </c>
      <c r="M165" s="65"/>
      <c r="N165" s="33"/>
      <c r="O165" s="42"/>
    </row>
    <row r="166" spans="1:15" s="17" customFormat="1">
      <c r="A166" s="56"/>
      <c r="C166" s="40"/>
      <c r="D166" s="32"/>
      <c r="E166" s="6" t="s">
        <v>22</v>
      </c>
      <c r="F166" s="82"/>
      <c r="G166" s="82"/>
      <c r="H166" s="10">
        <f t="shared" si="40"/>
        <v>0</v>
      </c>
      <c r="I166" s="10">
        <f t="shared" si="40"/>
        <v>2.6404519555537198</v>
      </c>
      <c r="J166" s="10">
        <f t="shared" si="40"/>
        <v>1.2207023274719813</v>
      </c>
      <c r="K166" s="10">
        <f t="shared" si="40"/>
        <v>0</v>
      </c>
      <c r="M166" s="65"/>
      <c r="N166" s="33"/>
      <c r="O166" s="42"/>
    </row>
    <row r="167" spans="1:15" s="17" customFormat="1">
      <c r="A167" s="56"/>
      <c r="C167" s="40"/>
      <c r="D167" s="32"/>
      <c r="E167" s="6" t="s">
        <v>42</v>
      </c>
      <c r="F167" s="82"/>
      <c r="G167" s="82"/>
      <c r="H167" s="10">
        <f t="shared" si="40"/>
        <v>0</v>
      </c>
      <c r="I167" s="10">
        <f t="shared" si="40"/>
        <v>2.617146274639333</v>
      </c>
      <c r="J167" s="10">
        <f t="shared" si="40"/>
        <v>2.5228308623311273</v>
      </c>
      <c r="K167" s="10">
        <f t="shared" si="40"/>
        <v>1.9789187413102747</v>
      </c>
      <c r="M167" s="65"/>
      <c r="N167" s="33"/>
      <c r="O167" s="42"/>
    </row>
    <row r="168" spans="1:15" s="17" customFormat="1">
      <c r="A168" s="56"/>
      <c r="C168" s="40"/>
      <c r="D168" s="32"/>
      <c r="E168" s="6" t="s">
        <v>25</v>
      </c>
      <c r="F168" s="82"/>
      <c r="G168" s="82"/>
      <c r="H168" s="10">
        <f t="shared" si="40"/>
        <v>0</v>
      </c>
      <c r="I168" s="10">
        <f t="shared" si="40"/>
        <v>9.7916264824786605</v>
      </c>
      <c r="J168" s="10">
        <f t="shared" si="40"/>
        <v>8.3156990927590009</v>
      </c>
      <c r="K168" s="10">
        <f t="shared" si="40"/>
        <v>6.8352970433785449</v>
      </c>
      <c r="M168" s="65"/>
      <c r="N168" s="33"/>
      <c r="O168" s="42"/>
    </row>
    <row r="169" spans="1:15" s="17" customFormat="1">
      <c r="A169" s="56"/>
      <c r="C169" s="40"/>
      <c r="D169" s="32"/>
      <c r="E169" s="6" t="s">
        <v>26</v>
      </c>
      <c r="F169" s="82"/>
      <c r="G169" s="82"/>
      <c r="H169" s="10">
        <f t="shared" si="40"/>
        <v>0</v>
      </c>
      <c r="I169" s="10">
        <f t="shared" si="40"/>
        <v>29.069358127963323</v>
      </c>
      <c r="J169" s="10">
        <f t="shared" si="40"/>
        <v>30.569204832287411</v>
      </c>
      <c r="K169" s="10">
        <f t="shared" si="40"/>
        <v>23.978608020384289</v>
      </c>
      <c r="L169" s="65"/>
      <c r="M169" s="65"/>
      <c r="N169" s="33"/>
      <c r="O169" s="42"/>
    </row>
    <row r="170" spans="1:15" s="17" customFormat="1">
      <c r="A170" s="56"/>
      <c r="C170" s="40"/>
      <c r="D170" s="32"/>
      <c r="E170" s="7" t="s">
        <v>17</v>
      </c>
      <c r="F170" s="82"/>
      <c r="G170" s="82"/>
      <c r="H170" s="11">
        <f>SUM(H163:H169)</f>
        <v>0</v>
      </c>
      <c r="I170" s="11">
        <f t="shared" ref="I170:K170" si="41">SUM(I163:I169)</f>
        <v>84.715487723690416</v>
      </c>
      <c r="J170" s="11">
        <f t="shared" si="41"/>
        <v>78.377077603964679</v>
      </c>
      <c r="K170" s="11">
        <f t="shared" si="41"/>
        <v>61.088360248627779</v>
      </c>
      <c r="M170" s="65"/>
      <c r="N170" s="33"/>
      <c r="O170" s="42"/>
    </row>
    <row r="171" spans="1:15" s="17" customFormat="1" ht="11" thickBot="1">
      <c r="A171" s="56"/>
      <c r="C171" s="40"/>
      <c r="D171" s="34"/>
      <c r="E171" s="35"/>
      <c r="F171" s="35"/>
      <c r="G171" s="35"/>
      <c r="H171" s="35"/>
      <c r="I171" s="35"/>
      <c r="J171" s="35"/>
      <c r="K171" s="35"/>
      <c r="L171" s="35"/>
      <c r="M171" s="73"/>
      <c r="N171" s="36"/>
      <c r="O171" s="42"/>
    </row>
    <row r="172" spans="1:15" s="17" customFormat="1">
      <c r="A172" s="56"/>
      <c r="C172" s="40"/>
      <c r="M172" s="65"/>
      <c r="O172" s="42"/>
    </row>
    <row r="173" spans="1:15" s="17" customFormat="1">
      <c r="A173" s="56"/>
      <c r="M173" s="65"/>
    </row>
    <row r="174" spans="1:15" s="17" customFormat="1">
      <c r="A174" s="56"/>
      <c r="E174" s="337" t="s">
        <v>238</v>
      </c>
      <c r="F174" s="337"/>
      <c r="G174" s="337"/>
      <c r="H174" s="337"/>
      <c r="I174" s="337"/>
      <c r="J174" s="337"/>
      <c r="K174" s="337"/>
      <c r="L174" s="337"/>
      <c r="M174" s="337"/>
    </row>
    <row r="175" spans="1:15" s="17" customFormat="1">
      <c r="A175" s="56"/>
      <c r="M175" s="65"/>
    </row>
    <row r="176" spans="1:15" s="17" customFormat="1">
      <c r="A176" s="56"/>
      <c r="E176" s="5" t="s">
        <v>20</v>
      </c>
      <c r="F176" s="4"/>
      <c r="G176" s="4"/>
      <c r="H176" s="4">
        <v>2020</v>
      </c>
      <c r="I176" s="4">
        <v>2030</v>
      </c>
      <c r="J176" s="4">
        <v>2040</v>
      </c>
      <c r="K176" s="4">
        <v>2050</v>
      </c>
      <c r="M176" s="65"/>
    </row>
    <row r="177" spans="1:13" s="17" customFormat="1">
      <c r="A177" s="56"/>
      <c r="E177" s="6" t="s">
        <v>15</v>
      </c>
      <c r="F177" s="82"/>
      <c r="G177" s="82"/>
      <c r="H177" s="10">
        <f t="shared" ref="H177:K183" si="42">H$36*($H$73*H45+(1-$H$73)*H59)+H$35*H142</f>
        <v>8193.8250120522662</v>
      </c>
      <c r="I177" s="10">
        <f t="shared" si="42"/>
        <v>814.54849011697502</v>
      </c>
      <c r="J177" s="10">
        <f t="shared" si="42"/>
        <v>0</v>
      </c>
      <c r="K177" s="10">
        <f t="shared" si="42"/>
        <v>0</v>
      </c>
      <c r="M177" s="65"/>
    </row>
    <row r="178" spans="1:13" s="17" customFormat="1">
      <c r="A178" s="56"/>
      <c r="E178" s="6" t="s">
        <v>16</v>
      </c>
      <c r="F178" s="82"/>
      <c r="G178" s="82"/>
      <c r="H178" s="10">
        <f t="shared" si="42"/>
        <v>17127.58431047936</v>
      </c>
      <c r="I178" s="10">
        <f t="shared" si="42"/>
        <v>14507.503662600766</v>
      </c>
      <c r="J178" s="10">
        <f t="shared" si="42"/>
        <v>6873.4994471113405</v>
      </c>
      <c r="K178" s="10">
        <f t="shared" si="42"/>
        <v>2139.1451982846856</v>
      </c>
      <c r="M178" s="65"/>
    </row>
    <row r="179" spans="1:13" s="17" customFormat="1">
      <c r="A179" s="56"/>
      <c r="E179" s="6" t="s">
        <v>75</v>
      </c>
      <c r="F179" s="82"/>
      <c r="G179" s="82"/>
      <c r="H179" s="10">
        <f t="shared" si="42"/>
        <v>2577.006501735239</v>
      </c>
      <c r="I179" s="10">
        <f t="shared" si="42"/>
        <v>8408.536804249301</v>
      </c>
      <c r="J179" s="10">
        <f t="shared" si="42"/>
        <v>10505.459095637163</v>
      </c>
      <c r="K179" s="10">
        <f t="shared" si="42"/>
        <v>10397.371436701495</v>
      </c>
      <c r="M179" s="65"/>
    </row>
    <row r="180" spans="1:13" s="17" customFormat="1">
      <c r="A180" s="56"/>
      <c r="E180" s="6" t="s">
        <v>22</v>
      </c>
      <c r="F180" s="82"/>
      <c r="G180" s="82"/>
      <c r="H180" s="10">
        <f t="shared" si="42"/>
        <v>719.22284336335269</v>
      </c>
      <c r="I180" s="10">
        <f t="shared" si="42"/>
        <v>497.48712907527556</v>
      </c>
      <c r="J180" s="10">
        <f t="shared" si="42"/>
        <v>835.92563365037483</v>
      </c>
      <c r="K180" s="10">
        <f t="shared" si="42"/>
        <v>0</v>
      </c>
      <c r="M180" s="65"/>
    </row>
    <row r="181" spans="1:13" s="17" customFormat="1">
      <c r="A181" s="56"/>
      <c r="E181" s="6" t="s">
        <v>42</v>
      </c>
      <c r="F181" s="82"/>
      <c r="G181" s="82"/>
      <c r="H181" s="10">
        <f t="shared" si="42"/>
        <v>583.81957836196602</v>
      </c>
      <c r="I181" s="10">
        <f t="shared" si="42"/>
        <v>544.07958380026025</v>
      </c>
      <c r="J181" s="10">
        <f t="shared" si="42"/>
        <v>493.36388741099148</v>
      </c>
      <c r="K181" s="10">
        <f t="shared" si="42"/>
        <v>430.03907339561812</v>
      </c>
      <c r="M181" s="65"/>
    </row>
    <row r="182" spans="1:13" s="17" customFormat="1">
      <c r="A182" s="56"/>
      <c r="E182" s="6" t="s">
        <v>25</v>
      </c>
      <c r="F182" s="82"/>
      <c r="G182" s="82"/>
      <c r="H182" s="10">
        <f t="shared" si="42"/>
        <v>9863.7336532453064</v>
      </c>
      <c r="I182" s="10">
        <f t="shared" si="42"/>
        <v>8467.4136925352996</v>
      </c>
      <c r="J182" s="10">
        <f t="shared" si="42"/>
        <v>7332.232664240234</v>
      </c>
      <c r="K182" s="10">
        <f t="shared" si="42"/>
        <v>7872.3878397948083</v>
      </c>
      <c r="M182" s="65"/>
    </row>
    <row r="183" spans="1:13" s="17" customFormat="1">
      <c r="A183" s="56"/>
      <c r="E183" s="6" t="s">
        <v>26</v>
      </c>
      <c r="F183" s="82"/>
      <c r="G183" s="82"/>
      <c r="H183" s="10">
        <f t="shared" si="42"/>
        <v>2749.4123162129681</v>
      </c>
      <c r="I183" s="10">
        <f t="shared" si="42"/>
        <v>8949.2546050239307</v>
      </c>
      <c r="J183" s="10">
        <f t="shared" si="42"/>
        <v>16460.168092738011</v>
      </c>
      <c r="K183" s="10">
        <f t="shared" si="42"/>
        <v>21059.946922044706</v>
      </c>
      <c r="M183" s="65"/>
    </row>
    <row r="184" spans="1:13" s="17" customFormat="1">
      <c r="A184" s="56"/>
      <c r="E184" s="7" t="s">
        <v>17</v>
      </c>
      <c r="F184" s="82"/>
      <c r="G184" s="82"/>
      <c r="H184" s="10">
        <f>SUM(H177:H183)</f>
        <v>41814.604215450461</v>
      </c>
      <c r="I184" s="10">
        <f t="shared" ref="I184:K184" si="43">SUM(I177:I183)</f>
        <v>42188.823967401804</v>
      </c>
      <c r="J184" s="10">
        <f t="shared" si="43"/>
        <v>42500.648820788119</v>
      </c>
      <c r="K184" s="10">
        <f t="shared" si="43"/>
        <v>41898.890470221311</v>
      </c>
      <c r="M184" s="65"/>
    </row>
    <row r="185" spans="1:13" s="17" customFormat="1">
      <c r="A185" s="56"/>
      <c r="M185" s="65"/>
    </row>
    <row r="186" spans="1:13" s="17" customFormat="1">
      <c r="A186" s="56"/>
      <c r="M186" s="65"/>
    </row>
    <row r="187" spans="1:13" s="17" customFormat="1">
      <c r="A187" s="56"/>
      <c r="M187" s="65"/>
    </row>
    <row r="188" spans="1:13" s="17" customFormat="1">
      <c r="A188" s="56"/>
      <c r="M188" s="65"/>
    </row>
    <row r="189" spans="1:13" s="17" customFormat="1">
      <c r="A189" s="56"/>
      <c r="M189" s="65"/>
    </row>
    <row r="190" spans="1:13" s="17" customFormat="1">
      <c r="A190" s="56"/>
      <c r="M190" s="65"/>
    </row>
    <row r="191" spans="1:13" s="17" customFormat="1">
      <c r="A191" s="56"/>
      <c r="M191" s="65"/>
    </row>
    <row r="192" spans="1:13" s="17" customFormat="1">
      <c r="A192" s="56"/>
      <c r="M192" s="65"/>
    </row>
    <row r="193" spans="1:13" s="17" customFormat="1">
      <c r="A193" s="56"/>
      <c r="M193" s="65"/>
    </row>
    <row r="194" spans="1:13" s="17" customFormat="1">
      <c r="A194" s="56"/>
      <c r="M194" s="65"/>
    </row>
    <row r="195" spans="1:13" s="17" customFormat="1">
      <c r="A195" s="56"/>
      <c r="M195" s="65"/>
    </row>
    <row r="196" spans="1:13" s="17" customFormat="1">
      <c r="A196" s="56"/>
      <c r="M196" s="65"/>
    </row>
    <row r="197" spans="1:13" s="17" customFormat="1">
      <c r="A197" s="56"/>
      <c r="M197" s="65"/>
    </row>
    <row r="198" spans="1:13" s="17" customFormat="1">
      <c r="A198" s="56"/>
      <c r="M198" s="65"/>
    </row>
    <row r="199" spans="1:13" s="17" customFormat="1">
      <c r="A199" s="56"/>
      <c r="M199" s="65"/>
    </row>
    <row r="200" spans="1:13" s="17" customFormat="1">
      <c r="A200" s="56"/>
      <c r="M200" s="65"/>
    </row>
    <row r="201" spans="1:13" s="17" customFormat="1">
      <c r="A201" s="56"/>
      <c r="M201" s="65"/>
    </row>
    <row r="202" spans="1:13" s="17" customFormat="1">
      <c r="A202" s="56"/>
      <c r="M202" s="65"/>
    </row>
    <row r="203" spans="1:13" s="17" customFormat="1">
      <c r="A203" s="56"/>
      <c r="M203" s="65"/>
    </row>
    <row r="204" spans="1:13" s="17" customFormat="1">
      <c r="A204" s="56"/>
      <c r="M204" s="65"/>
    </row>
    <row r="205" spans="1:13" s="17" customFormat="1">
      <c r="A205" s="56"/>
      <c r="M205" s="65"/>
    </row>
    <row r="206" spans="1:13" s="17" customFormat="1">
      <c r="A206" s="56"/>
      <c r="M206" s="65"/>
    </row>
    <row r="207" spans="1:13" s="17" customFormat="1">
      <c r="A207" s="56"/>
      <c r="M207" s="65"/>
    </row>
    <row r="208" spans="1:13" s="17" customFormat="1">
      <c r="A208" s="56"/>
      <c r="M208" s="65"/>
    </row>
    <row r="209" spans="1:13" s="17" customFormat="1">
      <c r="A209" s="56"/>
      <c r="M209" s="65"/>
    </row>
    <row r="210" spans="1:13" s="17" customFormat="1">
      <c r="A210" s="56"/>
      <c r="M210" s="65"/>
    </row>
    <row r="211" spans="1:13" s="17" customFormat="1">
      <c r="A211" s="56"/>
      <c r="M211" s="65"/>
    </row>
    <row r="212" spans="1:13" s="17" customFormat="1">
      <c r="A212" s="56"/>
      <c r="M212" s="65"/>
    </row>
    <row r="213" spans="1:13" s="17" customFormat="1">
      <c r="A213" s="56"/>
      <c r="M213" s="65"/>
    </row>
    <row r="214" spans="1:13" s="17" customFormat="1">
      <c r="A214" s="56"/>
      <c r="M214" s="65"/>
    </row>
    <row r="215" spans="1:13" s="17" customFormat="1">
      <c r="A215" s="56"/>
      <c r="M215" s="65"/>
    </row>
    <row r="216" spans="1:13" s="17" customFormat="1">
      <c r="A216" s="56"/>
      <c r="M216" s="65"/>
    </row>
    <row r="217" spans="1:13" s="17" customFormat="1">
      <c r="A217" s="56"/>
      <c r="M217" s="65"/>
    </row>
    <row r="218" spans="1:13" s="17" customFormat="1">
      <c r="A218" s="56"/>
      <c r="M218" s="65"/>
    </row>
    <row r="219" spans="1:13" s="17" customFormat="1">
      <c r="A219" s="56"/>
      <c r="M219" s="65"/>
    </row>
    <row r="220" spans="1:13" s="17" customFormat="1">
      <c r="A220" s="56"/>
      <c r="M220" s="65"/>
    </row>
    <row r="221" spans="1:13" s="17" customFormat="1">
      <c r="A221" s="56"/>
      <c r="M221" s="65"/>
    </row>
    <row r="222" spans="1:13" s="17" customFormat="1">
      <c r="A222" s="56"/>
      <c r="M222" s="65"/>
    </row>
    <row r="223" spans="1:13" s="17" customFormat="1">
      <c r="A223" s="56"/>
      <c r="M223" s="65"/>
    </row>
    <row r="224" spans="1:13" s="17" customFormat="1">
      <c r="A224" s="56"/>
      <c r="M224" s="65"/>
    </row>
    <row r="225" spans="1:13" s="17" customFormat="1">
      <c r="A225" s="56"/>
      <c r="M225" s="65"/>
    </row>
    <row r="226" spans="1:13" s="17" customFormat="1">
      <c r="A226" s="56"/>
      <c r="M226" s="65"/>
    </row>
    <row r="227" spans="1:13" s="17" customFormat="1">
      <c r="A227" s="56"/>
      <c r="M227" s="65"/>
    </row>
    <row r="228" spans="1:13" s="17" customFormat="1">
      <c r="A228" s="56"/>
      <c r="M228" s="65"/>
    </row>
    <row r="229" spans="1:13" s="17" customFormat="1">
      <c r="A229" s="56"/>
      <c r="M229" s="65"/>
    </row>
    <row r="230" spans="1:13" s="17" customFormat="1">
      <c r="A230" s="56"/>
      <c r="M230" s="65"/>
    </row>
    <row r="231" spans="1:13" s="17" customFormat="1">
      <c r="A231" s="56"/>
      <c r="M231" s="65"/>
    </row>
    <row r="232" spans="1:13" s="17" customFormat="1">
      <c r="A232" s="56"/>
      <c r="M232" s="65"/>
    </row>
    <row r="233" spans="1:13" s="17" customFormat="1">
      <c r="A233" s="56"/>
      <c r="M233" s="65"/>
    </row>
    <row r="234" spans="1:13" s="17" customFormat="1">
      <c r="A234" s="56"/>
      <c r="M234" s="65"/>
    </row>
    <row r="235" spans="1:13" s="17" customFormat="1">
      <c r="A235" s="56"/>
      <c r="M235" s="65"/>
    </row>
    <row r="236" spans="1:13" s="17" customFormat="1">
      <c r="A236" s="56"/>
      <c r="M236" s="65"/>
    </row>
    <row r="237" spans="1:13" s="17" customFormat="1">
      <c r="A237" s="56"/>
      <c r="M237" s="65"/>
    </row>
    <row r="238" spans="1:13" s="17" customFormat="1">
      <c r="A238" s="56"/>
      <c r="M238" s="65"/>
    </row>
    <row r="239" spans="1:13" s="17" customFormat="1">
      <c r="A239" s="56"/>
      <c r="M239" s="65"/>
    </row>
    <row r="240" spans="1:13" s="17" customFormat="1">
      <c r="A240" s="56"/>
      <c r="M240" s="65"/>
    </row>
    <row r="241" spans="1:13" s="17" customFormat="1">
      <c r="A241" s="56"/>
      <c r="M241" s="65"/>
    </row>
    <row r="242" spans="1:13" s="17" customFormat="1">
      <c r="A242" s="56"/>
      <c r="M242" s="65"/>
    </row>
    <row r="243" spans="1:13" s="17" customFormat="1">
      <c r="A243" s="56"/>
      <c r="M243" s="65"/>
    </row>
    <row r="244" spans="1:13" s="17" customFormat="1">
      <c r="A244" s="56"/>
      <c r="M244" s="65"/>
    </row>
    <row r="245" spans="1:13" s="17" customFormat="1">
      <c r="A245" s="56"/>
      <c r="M245" s="65"/>
    </row>
    <row r="246" spans="1:13" s="17" customFormat="1">
      <c r="A246" s="56"/>
      <c r="M246" s="65"/>
    </row>
    <row r="247" spans="1:13" s="17" customFormat="1">
      <c r="A247" s="56"/>
      <c r="M247" s="65"/>
    </row>
    <row r="248" spans="1:13" s="17" customFormat="1">
      <c r="A248" s="56"/>
      <c r="M248" s="65"/>
    </row>
    <row r="249" spans="1:13" s="17" customFormat="1">
      <c r="A249" s="56"/>
      <c r="M249" s="65"/>
    </row>
    <row r="250" spans="1:13" s="17" customFormat="1">
      <c r="A250" s="56"/>
      <c r="M250" s="65"/>
    </row>
    <row r="251" spans="1:13" s="17" customFormat="1">
      <c r="A251" s="56"/>
      <c r="M251" s="65"/>
    </row>
    <row r="252" spans="1:13" s="17" customFormat="1">
      <c r="A252" s="56"/>
      <c r="M252" s="65"/>
    </row>
    <row r="253" spans="1:13" s="17" customFormat="1">
      <c r="A253" s="56"/>
      <c r="M253" s="65"/>
    </row>
    <row r="254" spans="1:13" s="17" customFormat="1">
      <c r="A254" s="56"/>
      <c r="M254" s="65"/>
    </row>
    <row r="255" spans="1:13" s="17" customFormat="1">
      <c r="A255" s="56"/>
      <c r="M255" s="65"/>
    </row>
    <row r="256" spans="1:13" s="17" customFormat="1">
      <c r="A256" s="56"/>
      <c r="M256" s="65"/>
    </row>
    <row r="257" spans="1:13" s="17" customFormat="1">
      <c r="A257" s="56"/>
      <c r="M257" s="65"/>
    </row>
    <row r="258" spans="1:13" s="17" customFormat="1">
      <c r="A258" s="56"/>
      <c r="M258" s="65"/>
    </row>
    <row r="259" spans="1:13" s="17" customFormat="1">
      <c r="A259" s="56"/>
      <c r="M259" s="65"/>
    </row>
    <row r="260" spans="1:13" s="17" customFormat="1">
      <c r="A260" s="56"/>
      <c r="M260" s="65"/>
    </row>
    <row r="261" spans="1:13" s="17" customFormat="1">
      <c r="A261" s="56"/>
      <c r="M261" s="65"/>
    </row>
    <row r="262" spans="1:13" s="17" customFormat="1">
      <c r="A262" s="56"/>
      <c r="M262" s="65"/>
    </row>
    <row r="263" spans="1:13" s="17" customFormat="1">
      <c r="A263" s="56"/>
      <c r="M263" s="65"/>
    </row>
    <row r="264" spans="1:13" s="17" customFormat="1">
      <c r="A264" s="56"/>
      <c r="M264" s="65"/>
    </row>
    <row r="265" spans="1:13" s="17" customFormat="1">
      <c r="A265" s="56"/>
      <c r="M265" s="65"/>
    </row>
    <row r="266" spans="1:13" s="17" customFormat="1">
      <c r="A266" s="56"/>
      <c r="M266" s="65"/>
    </row>
    <row r="267" spans="1:13" s="17" customFormat="1">
      <c r="A267" s="56"/>
      <c r="M267" s="65"/>
    </row>
    <row r="268" spans="1:13" s="17" customFormat="1">
      <c r="A268" s="56"/>
      <c r="M268" s="65"/>
    </row>
    <row r="269" spans="1:13" s="17" customFormat="1">
      <c r="A269" s="56"/>
      <c r="M269" s="65"/>
    </row>
    <row r="270" spans="1:13" s="17" customFormat="1">
      <c r="A270" s="56"/>
      <c r="M270" s="65"/>
    </row>
    <row r="271" spans="1:13" s="17" customFormat="1">
      <c r="A271" s="56"/>
      <c r="M271" s="65"/>
    </row>
    <row r="272" spans="1:13" s="17" customFormat="1">
      <c r="A272" s="56"/>
      <c r="M272" s="65"/>
    </row>
    <row r="273" spans="1:13" s="17" customFormat="1">
      <c r="A273" s="56"/>
      <c r="M273" s="65"/>
    </row>
    <row r="274" spans="1:13" s="17" customFormat="1">
      <c r="A274" s="56"/>
      <c r="M274" s="65"/>
    </row>
    <row r="275" spans="1:13" s="17" customFormat="1">
      <c r="A275" s="56"/>
      <c r="M275" s="65"/>
    </row>
    <row r="276" spans="1:13" s="17" customFormat="1">
      <c r="A276" s="56"/>
      <c r="M276" s="65"/>
    </row>
    <row r="277" spans="1:13" s="17" customFormat="1">
      <c r="A277" s="56"/>
      <c r="M277" s="65"/>
    </row>
    <row r="278" spans="1:13" s="17" customFormat="1">
      <c r="A278" s="56"/>
      <c r="M278" s="65"/>
    </row>
    <row r="279" spans="1:13" s="17" customFormat="1">
      <c r="A279" s="56"/>
      <c r="M279" s="65"/>
    </row>
    <row r="280" spans="1:13" s="17" customFormat="1">
      <c r="A280" s="56"/>
      <c r="M280" s="65"/>
    </row>
    <row r="281" spans="1:13" s="17" customFormat="1">
      <c r="A281" s="56"/>
      <c r="M281" s="65"/>
    </row>
    <row r="282" spans="1:13" s="17" customFormat="1">
      <c r="A282" s="56"/>
      <c r="M282" s="65"/>
    </row>
    <row r="283" spans="1:13" s="17" customFormat="1">
      <c r="A283" s="56"/>
      <c r="M283" s="65"/>
    </row>
    <row r="284" spans="1:13" s="17" customFormat="1">
      <c r="A284" s="56"/>
      <c r="M284" s="65"/>
    </row>
    <row r="285" spans="1:13" s="17" customFormat="1">
      <c r="A285" s="56"/>
      <c r="M285" s="65"/>
    </row>
    <row r="286" spans="1:13" s="17" customFormat="1">
      <c r="A286" s="56"/>
      <c r="M286" s="65"/>
    </row>
    <row r="287" spans="1:13" s="17" customFormat="1">
      <c r="A287" s="56"/>
      <c r="M287" s="65"/>
    </row>
    <row r="288" spans="1:13" s="17" customFormat="1">
      <c r="A288" s="56"/>
      <c r="M288" s="65"/>
    </row>
    <row r="289" spans="1:13" s="17" customFormat="1">
      <c r="A289" s="56"/>
      <c r="M289" s="65"/>
    </row>
    <row r="290" spans="1:13" s="17" customFormat="1">
      <c r="A290" s="56"/>
      <c r="M290" s="65"/>
    </row>
    <row r="291" spans="1:13" s="17" customFormat="1">
      <c r="A291" s="56"/>
      <c r="M291" s="65"/>
    </row>
    <row r="292" spans="1:13" s="17" customFormat="1">
      <c r="A292" s="56"/>
      <c r="M292" s="65"/>
    </row>
    <row r="293" spans="1:13" s="17" customFormat="1">
      <c r="A293" s="56"/>
      <c r="M293" s="65"/>
    </row>
    <row r="294" spans="1:13" s="17" customFormat="1">
      <c r="A294" s="56"/>
      <c r="M294" s="65"/>
    </row>
    <row r="295" spans="1:13" s="17" customFormat="1">
      <c r="A295" s="56"/>
      <c r="M295" s="65"/>
    </row>
    <row r="296" spans="1:13" s="17" customFormat="1">
      <c r="A296" s="56"/>
      <c r="M296" s="65"/>
    </row>
    <row r="297" spans="1:13" s="17" customFormat="1">
      <c r="A297" s="56"/>
      <c r="M297" s="65"/>
    </row>
    <row r="298" spans="1:13" s="17" customFormat="1">
      <c r="A298" s="56"/>
      <c r="M298" s="65"/>
    </row>
    <row r="299" spans="1:13" s="17" customFormat="1">
      <c r="A299" s="56"/>
      <c r="M299" s="65"/>
    </row>
    <row r="300" spans="1:13" s="17" customFormat="1">
      <c r="A300" s="56"/>
      <c r="M300" s="65"/>
    </row>
    <row r="301" spans="1:13" s="17" customFormat="1">
      <c r="A301" s="56"/>
      <c r="M301" s="65"/>
    </row>
    <row r="302" spans="1:13" s="17" customFormat="1">
      <c r="A302" s="56"/>
      <c r="M302" s="65"/>
    </row>
    <row r="303" spans="1:13" s="17" customFormat="1">
      <c r="A303" s="56"/>
      <c r="M303" s="65"/>
    </row>
    <row r="304" spans="1:13" s="17" customFormat="1">
      <c r="A304" s="56"/>
      <c r="M304" s="65"/>
    </row>
    <row r="305" spans="1:13" s="17" customFormat="1">
      <c r="A305" s="56"/>
      <c r="M305" s="65"/>
    </row>
    <row r="306" spans="1:13" s="17" customFormat="1">
      <c r="A306" s="56"/>
      <c r="M306" s="65"/>
    </row>
    <row r="307" spans="1:13" s="17" customFormat="1">
      <c r="A307" s="56"/>
      <c r="M307" s="65"/>
    </row>
    <row r="308" spans="1:13" s="17" customFormat="1">
      <c r="A308" s="56"/>
      <c r="M308" s="65"/>
    </row>
    <row r="309" spans="1:13" s="17" customFormat="1">
      <c r="A309" s="56"/>
      <c r="M309" s="65"/>
    </row>
    <row r="310" spans="1:13" s="17" customFormat="1">
      <c r="A310" s="56"/>
      <c r="M310" s="65"/>
    </row>
    <row r="311" spans="1:13" s="17" customFormat="1">
      <c r="A311" s="56"/>
      <c r="M311" s="65"/>
    </row>
    <row r="312" spans="1:13" s="17" customFormat="1">
      <c r="A312" s="56"/>
      <c r="M312" s="65"/>
    </row>
    <row r="313" spans="1:13" s="17" customFormat="1">
      <c r="A313" s="56"/>
      <c r="M313" s="65"/>
    </row>
    <row r="314" spans="1:13" s="17" customFormat="1">
      <c r="A314" s="56"/>
      <c r="M314" s="65"/>
    </row>
    <row r="315" spans="1:13" s="17" customFormat="1">
      <c r="A315" s="56"/>
      <c r="M315" s="65"/>
    </row>
    <row r="316" spans="1:13" s="17" customFormat="1">
      <c r="A316" s="56"/>
      <c r="M316" s="65"/>
    </row>
    <row r="317" spans="1:13" s="17" customFormat="1">
      <c r="A317" s="56"/>
      <c r="M317" s="65"/>
    </row>
    <row r="318" spans="1:13" s="17" customFormat="1">
      <c r="A318" s="56"/>
      <c r="M318" s="65"/>
    </row>
    <row r="319" spans="1:13" s="17" customFormat="1">
      <c r="A319" s="56"/>
      <c r="M319" s="65"/>
    </row>
    <row r="320" spans="1:13" s="17" customFormat="1">
      <c r="A320" s="56"/>
      <c r="M320" s="65"/>
    </row>
    <row r="321" spans="1:13" s="17" customFormat="1">
      <c r="A321" s="56"/>
      <c r="M321" s="65"/>
    </row>
    <row r="322" spans="1:13" s="17" customFormat="1">
      <c r="A322" s="56"/>
      <c r="M322" s="65"/>
    </row>
    <row r="323" spans="1:13" s="17" customFormat="1">
      <c r="A323" s="56"/>
      <c r="M323" s="65"/>
    </row>
    <row r="324" spans="1:13" s="17" customFormat="1">
      <c r="A324" s="56"/>
      <c r="M324" s="65"/>
    </row>
    <row r="325" spans="1:13" s="17" customFormat="1">
      <c r="A325" s="56"/>
      <c r="M325" s="65"/>
    </row>
    <row r="326" spans="1:13" s="17" customFormat="1">
      <c r="A326" s="56"/>
      <c r="M326" s="65"/>
    </row>
    <row r="327" spans="1:13" s="17" customFormat="1">
      <c r="A327" s="56"/>
      <c r="M327" s="65"/>
    </row>
    <row r="328" spans="1:13" s="17" customFormat="1">
      <c r="A328" s="56"/>
      <c r="M328" s="65"/>
    </row>
    <row r="329" spans="1:13" s="17" customFormat="1">
      <c r="A329" s="56"/>
      <c r="M329" s="65"/>
    </row>
    <row r="330" spans="1:13" s="17" customFormat="1">
      <c r="A330" s="56"/>
      <c r="M330" s="65"/>
    </row>
    <row r="331" spans="1:13" s="17" customFormat="1">
      <c r="A331" s="56"/>
      <c r="M331" s="65"/>
    </row>
    <row r="332" spans="1:13" s="17" customFormat="1">
      <c r="A332" s="56"/>
      <c r="M332" s="65"/>
    </row>
    <row r="333" spans="1:13" s="17" customFormat="1">
      <c r="A333" s="56"/>
      <c r="M333" s="65"/>
    </row>
    <row r="334" spans="1:13" s="17" customFormat="1">
      <c r="A334" s="56"/>
      <c r="M334" s="65"/>
    </row>
    <row r="335" spans="1:13" s="17" customFormat="1">
      <c r="A335" s="56"/>
      <c r="M335" s="65"/>
    </row>
    <row r="336" spans="1:13" s="17" customFormat="1">
      <c r="A336" s="56"/>
      <c r="M336" s="65"/>
    </row>
    <row r="337" spans="1:13" s="17" customFormat="1">
      <c r="A337" s="56"/>
      <c r="M337" s="65"/>
    </row>
    <row r="338" spans="1:13" s="17" customFormat="1">
      <c r="A338" s="56"/>
      <c r="M338" s="65"/>
    </row>
    <row r="339" spans="1:13" s="17" customFormat="1">
      <c r="A339" s="56"/>
      <c r="M339" s="65"/>
    </row>
    <row r="340" spans="1:13" s="17" customFormat="1">
      <c r="A340" s="56"/>
      <c r="M340" s="65"/>
    </row>
    <row r="341" spans="1:13" s="17" customFormat="1">
      <c r="A341" s="56"/>
      <c r="M341" s="65"/>
    </row>
    <row r="342" spans="1:13" s="17" customFormat="1">
      <c r="A342" s="56"/>
      <c r="M342" s="65"/>
    </row>
    <row r="343" spans="1:13" s="17" customFormat="1">
      <c r="A343" s="56"/>
      <c r="M343" s="65"/>
    </row>
    <row r="344" spans="1:13" s="17" customFormat="1">
      <c r="A344" s="56"/>
      <c r="M344" s="65"/>
    </row>
    <row r="345" spans="1:13" s="17" customFormat="1">
      <c r="A345" s="56"/>
      <c r="M345" s="65"/>
    </row>
    <row r="346" spans="1:13" s="17" customFormat="1">
      <c r="A346" s="56"/>
      <c r="M346" s="65"/>
    </row>
    <row r="347" spans="1:13" s="17" customFormat="1">
      <c r="A347" s="56"/>
      <c r="M347" s="65"/>
    </row>
    <row r="348" spans="1:13" s="17" customFormat="1">
      <c r="A348" s="56"/>
      <c r="M348" s="65"/>
    </row>
    <row r="349" spans="1:13" s="17" customFormat="1">
      <c r="A349" s="56"/>
      <c r="M349" s="65"/>
    </row>
    <row r="350" spans="1:13" s="17" customFormat="1">
      <c r="A350" s="56"/>
      <c r="M350" s="65"/>
    </row>
    <row r="351" spans="1:13" s="17" customFormat="1">
      <c r="A351" s="56"/>
      <c r="M351" s="65"/>
    </row>
    <row r="352" spans="1:13" s="17" customFormat="1">
      <c r="A352" s="56"/>
      <c r="M352" s="65"/>
    </row>
    <row r="353" spans="1:13" s="17" customFormat="1">
      <c r="A353" s="56"/>
      <c r="M353" s="65"/>
    </row>
    <row r="354" spans="1:13" s="17" customFormat="1">
      <c r="A354" s="56"/>
      <c r="M354" s="65"/>
    </row>
    <row r="355" spans="1:13" s="17" customFormat="1">
      <c r="A355" s="56"/>
      <c r="M355" s="65"/>
    </row>
    <row r="356" spans="1:13" s="17" customFormat="1">
      <c r="A356" s="56"/>
      <c r="M356" s="65"/>
    </row>
    <row r="357" spans="1:13" s="17" customFormat="1">
      <c r="A357" s="56"/>
      <c r="M357" s="65"/>
    </row>
    <row r="358" spans="1:13" s="17" customFormat="1">
      <c r="A358" s="56"/>
      <c r="M358" s="65"/>
    </row>
    <row r="359" spans="1:13" s="17" customFormat="1">
      <c r="A359" s="56"/>
      <c r="M359" s="65"/>
    </row>
    <row r="360" spans="1:13" s="17" customFormat="1">
      <c r="A360" s="56"/>
      <c r="M360" s="65"/>
    </row>
    <row r="361" spans="1:13" s="17" customFormat="1">
      <c r="A361" s="56"/>
      <c r="M361" s="65"/>
    </row>
    <row r="362" spans="1:13" s="17" customFormat="1">
      <c r="A362" s="56"/>
      <c r="M362" s="65"/>
    </row>
    <row r="363" spans="1:13" s="17" customFormat="1">
      <c r="A363" s="56"/>
      <c r="M363" s="65"/>
    </row>
    <row r="364" spans="1:13" s="17" customFormat="1">
      <c r="A364" s="56"/>
      <c r="M364" s="65"/>
    </row>
    <row r="365" spans="1:13" s="17" customFormat="1">
      <c r="A365" s="56"/>
      <c r="M365" s="65"/>
    </row>
    <row r="366" spans="1:13" s="17" customFormat="1">
      <c r="A366" s="56"/>
      <c r="M366" s="65"/>
    </row>
    <row r="367" spans="1:13" s="17" customFormat="1">
      <c r="A367" s="56"/>
      <c r="M367" s="65"/>
    </row>
    <row r="368" spans="1:13" s="17" customFormat="1">
      <c r="A368" s="56"/>
      <c r="M368" s="65"/>
    </row>
    <row r="369" spans="1:13" s="17" customFormat="1">
      <c r="A369" s="56"/>
      <c r="M369" s="65"/>
    </row>
    <row r="370" spans="1:13" s="17" customFormat="1">
      <c r="A370" s="56"/>
      <c r="M370" s="65"/>
    </row>
    <row r="371" spans="1:13" s="17" customFormat="1">
      <c r="A371" s="56"/>
      <c r="M371" s="65"/>
    </row>
    <row r="372" spans="1:13" s="17" customFormat="1">
      <c r="A372" s="56"/>
      <c r="M372" s="65"/>
    </row>
    <row r="373" spans="1:13" s="17" customFormat="1">
      <c r="A373" s="56"/>
      <c r="M373" s="65"/>
    </row>
    <row r="374" spans="1:13" s="17" customFormat="1">
      <c r="A374" s="56"/>
      <c r="M374" s="65"/>
    </row>
    <row r="375" spans="1:13" s="17" customFormat="1">
      <c r="A375" s="56"/>
      <c r="M375" s="65"/>
    </row>
    <row r="376" spans="1:13" s="17" customFormat="1">
      <c r="A376" s="56"/>
      <c r="M376" s="65"/>
    </row>
    <row r="377" spans="1:13" s="17" customFormat="1">
      <c r="A377" s="56"/>
      <c r="M377" s="65"/>
    </row>
    <row r="378" spans="1:13" s="17" customFormat="1">
      <c r="A378" s="56"/>
      <c r="M378" s="65"/>
    </row>
    <row r="379" spans="1:13" s="17" customFormat="1">
      <c r="A379" s="56"/>
      <c r="M379" s="65"/>
    </row>
    <row r="380" spans="1:13" s="17" customFormat="1">
      <c r="A380" s="56"/>
      <c r="M380" s="65"/>
    </row>
    <row r="381" spans="1:13" s="17" customFormat="1">
      <c r="A381" s="56"/>
      <c r="M381" s="65"/>
    </row>
    <row r="382" spans="1:13" s="17" customFormat="1">
      <c r="A382" s="56"/>
      <c r="M382" s="65"/>
    </row>
    <row r="383" spans="1:13" s="17" customFormat="1">
      <c r="A383" s="56"/>
      <c r="M383" s="65"/>
    </row>
    <row r="384" spans="1:13" s="17" customFormat="1">
      <c r="A384" s="56"/>
      <c r="M384" s="65"/>
    </row>
    <row r="385" spans="1:13" s="17" customFormat="1">
      <c r="A385" s="56"/>
      <c r="M385" s="65"/>
    </row>
    <row r="386" spans="1:13" s="17" customFormat="1">
      <c r="A386" s="56"/>
      <c r="M386" s="65"/>
    </row>
    <row r="387" spans="1:13" s="17" customFormat="1">
      <c r="A387" s="56"/>
      <c r="M387" s="65"/>
    </row>
    <row r="388" spans="1:13" s="17" customFormat="1">
      <c r="A388" s="56"/>
      <c r="M388" s="65"/>
    </row>
    <row r="389" spans="1:13" s="17" customFormat="1">
      <c r="A389" s="56"/>
      <c r="M389" s="65"/>
    </row>
    <row r="390" spans="1:13" s="17" customFormat="1">
      <c r="A390" s="56"/>
      <c r="M390" s="65"/>
    </row>
    <row r="391" spans="1:13" s="17" customFormat="1">
      <c r="A391" s="56"/>
      <c r="M391" s="65"/>
    </row>
    <row r="392" spans="1:13" s="17" customFormat="1">
      <c r="A392" s="56"/>
      <c r="M392" s="65"/>
    </row>
    <row r="393" spans="1:13" s="17" customFormat="1">
      <c r="A393" s="56"/>
      <c r="M393" s="65"/>
    </row>
    <row r="394" spans="1:13" s="17" customFormat="1">
      <c r="A394" s="56"/>
      <c r="M394" s="65"/>
    </row>
    <row r="395" spans="1:13" s="17" customFormat="1">
      <c r="A395" s="56"/>
      <c r="M395" s="65"/>
    </row>
    <row r="396" spans="1:13" s="17" customFormat="1">
      <c r="A396" s="56"/>
      <c r="M396" s="65"/>
    </row>
    <row r="397" spans="1:13" s="17" customFormat="1">
      <c r="A397" s="56"/>
      <c r="M397" s="65"/>
    </row>
    <row r="398" spans="1:13" s="17" customFormat="1">
      <c r="A398" s="56"/>
      <c r="M398" s="65"/>
    </row>
    <row r="399" spans="1:13" s="17" customFormat="1">
      <c r="A399" s="56"/>
      <c r="M399" s="65"/>
    </row>
    <row r="400" spans="1:13" s="17" customFormat="1">
      <c r="A400" s="56"/>
      <c r="M400" s="65"/>
    </row>
    <row r="401" spans="1:13" s="17" customFormat="1">
      <c r="A401" s="56"/>
      <c r="M401" s="65"/>
    </row>
    <row r="402" spans="1:13" s="17" customFormat="1">
      <c r="A402" s="56"/>
      <c r="M402" s="65"/>
    </row>
    <row r="403" spans="1:13" s="17" customFormat="1">
      <c r="A403" s="56"/>
      <c r="M403" s="65"/>
    </row>
    <row r="404" spans="1:13" s="17" customFormat="1">
      <c r="A404" s="56"/>
      <c r="M404" s="65"/>
    </row>
    <row r="405" spans="1:13" s="17" customFormat="1">
      <c r="A405" s="56"/>
      <c r="M405" s="65"/>
    </row>
    <row r="406" spans="1:13" s="17" customFormat="1">
      <c r="A406" s="56"/>
      <c r="M406" s="65"/>
    </row>
    <row r="407" spans="1:13" s="17" customFormat="1">
      <c r="A407" s="56"/>
      <c r="M407" s="65"/>
    </row>
    <row r="408" spans="1:13" s="17" customFormat="1">
      <c r="A408" s="56"/>
      <c r="M408" s="65"/>
    </row>
    <row r="409" spans="1:13" s="17" customFormat="1">
      <c r="A409" s="56"/>
      <c r="M409" s="65"/>
    </row>
    <row r="410" spans="1:13" s="17" customFormat="1">
      <c r="A410" s="56"/>
      <c r="M410" s="65"/>
    </row>
    <row r="411" spans="1:13" s="17" customFormat="1">
      <c r="A411" s="56"/>
      <c r="M411" s="65"/>
    </row>
    <row r="412" spans="1:13" s="17" customFormat="1">
      <c r="A412" s="56"/>
      <c r="M412" s="65"/>
    </row>
    <row r="413" spans="1:13" s="17" customFormat="1">
      <c r="A413" s="56"/>
      <c r="M413" s="65"/>
    </row>
    <row r="414" spans="1:13" s="17" customFormat="1">
      <c r="A414" s="56"/>
      <c r="M414" s="65"/>
    </row>
    <row r="415" spans="1:13" s="17" customFormat="1">
      <c r="A415" s="56"/>
      <c r="M415" s="65"/>
    </row>
    <row r="416" spans="1:13" s="17" customFormat="1">
      <c r="A416" s="56"/>
      <c r="M416" s="65"/>
    </row>
    <row r="417" spans="1:13" s="17" customFormat="1">
      <c r="A417" s="56"/>
      <c r="M417" s="65"/>
    </row>
    <row r="418" spans="1:13" s="17" customFormat="1">
      <c r="A418" s="56"/>
      <c r="M418" s="65"/>
    </row>
    <row r="419" spans="1:13" s="17" customFormat="1">
      <c r="A419" s="56"/>
      <c r="M419" s="65"/>
    </row>
    <row r="420" spans="1:13" s="17" customFormat="1">
      <c r="A420" s="56"/>
      <c r="M420" s="65"/>
    </row>
    <row r="421" spans="1:13" s="17" customFormat="1">
      <c r="A421" s="56"/>
      <c r="M421" s="65"/>
    </row>
    <row r="422" spans="1:13" s="17" customFormat="1">
      <c r="A422" s="56"/>
      <c r="M422" s="65"/>
    </row>
    <row r="423" spans="1:13" s="17" customFormat="1">
      <c r="A423" s="56"/>
      <c r="M423" s="65"/>
    </row>
    <row r="424" spans="1:13" s="17" customFormat="1">
      <c r="A424" s="56"/>
      <c r="M424" s="65"/>
    </row>
    <row r="425" spans="1:13" s="17" customFormat="1">
      <c r="A425" s="56"/>
      <c r="M425" s="65"/>
    </row>
    <row r="426" spans="1:13" s="17" customFormat="1">
      <c r="A426" s="56"/>
      <c r="M426" s="65"/>
    </row>
    <row r="427" spans="1:13" s="17" customFormat="1">
      <c r="A427" s="56"/>
      <c r="M427" s="65"/>
    </row>
    <row r="428" spans="1:13" s="17" customFormat="1">
      <c r="A428" s="56"/>
      <c r="M428" s="65"/>
    </row>
    <row r="429" spans="1:13" s="17" customFormat="1">
      <c r="A429" s="56"/>
      <c r="M429" s="65"/>
    </row>
    <row r="430" spans="1:13" s="17" customFormat="1">
      <c r="A430" s="56"/>
      <c r="M430" s="65"/>
    </row>
    <row r="431" spans="1:13" s="17" customFormat="1">
      <c r="A431" s="56"/>
      <c r="M431" s="65"/>
    </row>
    <row r="432" spans="1:13" s="17" customFormat="1">
      <c r="A432" s="56"/>
      <c r="M432" s="65"/>
    </row>
    <row r="433" spans="1:13" s="17" customFormat="1">
      <c r="A433" s="56"/>
      <c r="M433" s="65"/>
    </row>
    <row r="434" spans="1:13" s="17" customFormat="1">
      <c r="A434" s="56"/>
      <c r="M434" s="65"/>
    </row>
    <row r="435" spans="1:13" s="17" customFormat="1">
      <c r="A435" s="56"/>
      <c r="M435" s="65"/>
    </row>
    <row r="436" spans="1:13" s="17" customFormat="1">
      <c r="A436" s="56"/>
      <c r="M436" s="65"/>
    </row>
    <row r="437" spans="1:13" s="17" customFormat="1">
      <c r="A437" s="56"/>
      <c r="M437" s="65"/>
    </row>
    <row r="438" spans="1:13" s="17" customFormat="1">
      <c r="A438" s="56"/>
      <c r="M438" s="65"/>
    </row>
    <row r="439" spans="1:13" s="17" customFormat="1">
      <c r="A439" s="56"/>
      <c r="M439" s="65"/>
    </row>
    <row r="440" spans="1:13" s="17" customFormat="1">
      <c r="A440" s="56"/>
      <c r="M440" s="65"/>
    </row>
    <row r="441" spans="1:13" s="17" customFormat="1">
      <c r="A441" s="56"/>
      <c r="M441" s="65"/>
    </row>
    <row r="442" spans="1:13" s="17" customFormat="1">
      <c r="A442" s="56"/>
      <c r="M442" s="65"/>
    </row>
    <row r="443" spans="1:13" s="17" customFormat="1">
      <c r="A443" s="56"/>
      <c r="M443" s="65"/>
    </row>
    <row r="444" spans="1:13" s="17" customFormat="1">
      <c r="A444" s="56"/>
      <c r="M444" s="65"/>
    </row>
    <row r="445" spans="1:13" s="17" customFormat="1">
      <c r="A445" s="56"/>
      <c r="M445" s="65"/>
    </row>
    <row r="446" spans="1:13" s="17" customFormat="1">
      <c r="A446" s="56"/>
      <c r="M446" s="65"/>
    </row>
    <row r="447" spans="1:13" s="17" customFormat="1">
      <c r="A447" s="56"/>
      <c r="M447" s="65"/>
    </row>
    <row r="448" spans="1:13" s="17" customFormat="1">
      <c r="A448" s="56"/>
      <c r="M448" s="65"/>
    </row>
    <row r="449" spans="1:13" s="17" customFormat="1">
      <c r="A449" s="56"/>
      <c r="M449" s="65"/>
    </row>
    <row r="450" spans="1:13" s="17" customFormat="1">
      <c r="A450" s="56"/>
      <c r="M450" s="65"/>
    </row>
    <row r="451" spans="1:13" s="17" customFormat="1">
      <c r="A451" s="56"/>
      <c r="M451" s="65"/>
    </row>
    <row r="452" spans="1:13" s="17" customFormat="1">
      <c r="A452" s="56"/>
      <c r="M452" s="65"/>
    </row>
    <row r="453" spans="1:13" s="17" customFormat="1">
      <c r="A453" s="56"/>
      <c r="M453" s="65"/>
    </row>
    <row r="454" spans="1:13" s="17" customFormat="1">
      <c r="A454" s="56"/>
      <c r="M454" s="65"/>
    </row>
    <row r="455" spans="1:13" s="17" customFormat="1">
      <c r="A455" s="56"/>
      <c r="M455" s="65"/>
    </row>
    <row r="456" spans="1:13" s="17" customFormat="1">
      <c r="A456" s="56"/>
      <c r="M456" s="65"/>
    </row>
    <row r="457" spans="1:13" s="17" customFormat="1">
      <c r="A457" s="56"/>
      <c r="M457" s="65"/>
    </row>
    <row r="458" spans="1:13" s="17" customFormat="1">
      <c r="A458" s="56"/>
      <c r="M458" s="65"/>
    </row>
    <row r="459" spans="1:13" s="17" customFormat="1">
      <c r="A459" s="56"/>
      <c r="M459" s="65"/>
    </row>
    <row r="460" spans="1:13" s="17" customFormat="1">
      <c r="A460" s="56"/>
      <c r="M460" s="65"/>
    </row>
    <row r="461" spans="1:13" s="17" customFormat="1">
      <c r="A461" s="56"/>
      <c r="M461" s="65"/>
    </row>
    <row r="462" spans="1:13" s="17" customFormat="1">
      <c r="A462" s="56"/>
      <c r="M462" s="65"/>
    </row>
    <row r="463" spans="1:13" s="17" customFormat="1">
      <c r="A463" s="56"/>
      <c r="M463" s="65"/>
    </row>
    <row r="464" spans="1:13" s="17" customFormat="1">
      <c r="A464" s="56"/>
      <c r="M464" s="65"/>
    </row>
    <row r="465" spans="1:13" s="17" customFormat="1">
      <c r="A465" s="56"/>
      <c r="M465" s="65"/>
    </row>
    <row r="466" spans="1:13" s="17" customFormat="1">
      <c r="A466" s="56"/>
      <c r="M466" s="65"/>
    </row>
    <row r="467" spans="1:13" s="17" customFormat="1">
      <c r="A467" s="56"/>
      <c r="M467" s="65"/>
    </row>
    <row r="468" spans="1:13" s="17" customFormat="1">
      <c r="A468" s="56"/>
      <c r="M468" s="65"/>
    </row>
    <row r="469" spans="1:13" s="17" customFormat="1">
      <c r="A469" s="56"/>
      <c r="M469" s="65"/>
    </row>
    <row r="470" spans="1:13" s="17" customFormat="1">
      <c r="A470" s="56"/>
      <c r="M470" s="65"/>
    </row>
    <row r="471" spans="1:13" s="17" customFormat="1">
      <c r="A471" s="56"/>
      <c r="M471" s="65"/>
    </row>
    <row r="472" spans="1:13" s="17" customFormat="1">
      <c r="A472" s="56"/>
      <c r="M472" s="65"/>
    </row>
    <row r="473" spans="1:13" s="17" customFormat="1">
      <c r="A473" s="56"/>
      <c r="M473" s="65"/>
    </row>
    <row r="474" spans="1:13" s="17" customFormat="1">
      <c r="A474" s="56"/>
      <c r="M474" s="65"/>
    </row>
    <row r="475" spans="1:13" s="17" customFormat="1">
      <c r="A475" s="56"/>
      <c r="M475" s="65"/>
    </row>
    <row r="476" spans="1:13" s="17" customFormat="1">
      <c r="A476" s="56"/>
      <c r="M476" s="65"/>
    </row>
    <row r="477" spans="1:13" s="17" customFormat="1">
      <c r="A477" s="56"/>
      <c r="M477" s="65"/>
    </row>
    <row r="478" spans="1:13" s="17" customFormat="1">
      <c r="A478" s="56"/>
      <c r="M478" s="65"/>
    </row>
    <row r="479" spans="1:13" s="17" customFormat="1">
      <c r="A479" s="56"/>
      <c r="M479" s="65"/>
    </row>
    <row r="480" spans="1:13" s="17" customFormat="1">
      <c r="A480" s="56"/>
      <c r="M480" s="65"/>
    </row>
    <row r="481" spans="1:13" s="17" customFormat="1">
      <c r="A481" s="56"/>
      <c r="M481" s="65"/>
    </row>
    <row r="482" spans="1:13" s="17" customFormat="1">
      <c r="A482" s="56"/>
      <c r="M482" s="65"/>
    </row>
    <row r="483" spans="1:13" s="17" customFormat="1">
      <c r="A483" s="56"/>
      <c r="M483" s="65"/>
    </row>
    <row r="484" spans="1:13" s="17" customFormat="1">
      <c r="A484" s="56"/>
      <c r="M484" s="65"/>
    </row>
    <row r="485" spans="1:13" s="17" customFormat="1">
      <c r="A485" s="56"/>
      <c r="M485" s="65"/>
    </row>
    <row r="486" spans="1:13" s="17" customFormat="1">
      <c r="A486" s="56"/>
      <c r="M486" s="65"/>
    </row>
    <row r="487" spans="1:13" s="17" customFormat="1">
      <c r="A487" s="56"/>
      <c r="M487" s="65"/>
    </row>
    <row r="488" spans="1:13" s="17" customFormat="1">
      <c r="A488" s="56"/>
      <c r="M488" s="65"/>
    </row>
    <row r="489" spans="1:13" s="17" customFormat="1">
      <c r="A489" s="56"/>
      <c r="M489" s="65"/>
    </row>
    <row r="490" spans="1:13" s="17" customFormat="1">
      <c r="A490" s="56"/>
      <c r="M490" s="65"/>
    </row>
    <row r="491" spans="1:13" s="17" customFormat="1">
      <c r="A491" s="56"/>
      <c r="M491" s="65"/>
    </row>
    <row r="492" spans="1:13" s="17" customFormat="1">
      <c r="A492" s="56"/>
      <c r="M492" s="65"/>
    </row>
    <row r="493" spans="1:13" s="17" customFormat="1">
      <c r="A493" s="56"/>
      <c r="M493" s="65"/>
    </row>
    <row r="494" spans="1:13" s="17" customFormat="1">
      <c r="A494" s="56"/>
      <c r="M494" s="65"/>
    </row>
    <row r="495" spans="1:13" s="17" customFormat="1">
      <c r="A495" s="56"/>
      <c r="M495" s="65"/>
    </row>
    <row r="496" spans="1:13" s="17" customFormat="1">
      <c r="A496" s="56"/>
      <c r="M496" s="65"/>
    </row>
    <row r="497" spans="1:13" s="17" customFormat="1">
      <c r="A497" s="56"/>
      <c r="M497" s="65"/>
    </row>
    <row r="498" spans="1:13" s="17" customFormat="1">
      <c r="A498" s="56"/>
      <c r="M498" s="65"/>
    </row>
    <row r="499" spans="1:13" s="17" customFormat="1">
      <c r="A499" s="56"/>
      <c r="M499" s="65"/>
    </row>
    <row r="500" spans="1:13" s="17" customFormat="1">
      <c r="A500" s="56"/>
      <c r="M500" s="65"/>
    </row>
    <row r="501" spans="1:13" s="17" customFormat="1">
      <c r="A501" s="56"/>
      <c r="M501" s="65"/>
    </row>
    <row r="502" spans="1:13" s="17" customFormat="1">
      <c r="A502" s="56"/>
      <c r="M502" s="65"/>
    </row>
    <row r="503" spans="1:13" s="17" customFormat="1">
      <c r="A503" s="56"/>
      <c r="M503" s="65"/>
    </row>
    <row r="504" spans="1:13" s="17" customFormat="1">
      <c r="A504" s="56"/>
      <c r="M504" s="65"/>
    </row>
    <row r="505" spans="1:13" s="17" customFormat="1">
      <c r="A505" s="56"/>
      <c r="M505" s="65"/>
    </row>
    <row r="506" spans="1:13" s="17" customFormat="1">
      <c r="A506" s="56"/>
      <c r="M506" s="65"/>
    </row>
    <row r="507" spans="1:13" s="17" customFormat="1">
      <c r="A507" s="56"/>
      <c r="M507" s="65"/>
    </row>
    <row r="508" spans="1:13" s="17" customFormat="1">
      <c r="A508" s="56"/>
      <c r="M508" s="65"/>
    </row>
    <row r="509" spans="1:13" s="17" customFormat="1">
      <c r="A509" s="56"/>
      <c r="M509" s="65"/>
    </row>
    <row r="510" spans="1:13" s="17" customFormat="1">
      <c r="A510" s="56"/>
      <c r="M510" s="65"/>
    </row>
    <row r="511" spans="1:13" s="17" customFormat="1">
      <c r="A511" s="56"/>
      <c r="M511" s="65"/>
    </row>
    <row r="512" spans="1:13" s="17" customFormat="1">
      <c r="A512" s="56"/>
      <c r="M512" s="65"/>
    </row>
    <row r="513" spans="1:13" s="17" customFormat="1">
      <c r="A513" s="56"/>
      <c r="M513" s="65"/>
    </row>
    <row r="514" spans="1:13" s="17" customFormat="1">
      <c r="A514" s="56"/>
      <c r="M514" s="65"/>
    </row>
    <row r="515" spans="1:13" s="17" customFormat="1">
      <c r="A515" s="56"/>
      <c r="M515" s="65"/>
    </row>
    <row r="516" spans="1:13" s="17" customFormat="1">
      <c r="A516" s="56"/>
      <c r="M516" s="65"/>
    </row>
    <row r="517" spans="1:13" s="17" customFormat="1">
      <c r="A517" s="56"/>
      <c r="M517" s="65"/>
    </row>
    <row r="518" spans="1:13" s="17" customFormat="1">
      <c r="A518" s="56"/>
      <c r="M518" s="65"/>
    </row>
    <row r="519" spans="1:13" s="17" customFormat="1">
      <c r="A519" s="56"/>
      <c r="M519" s="65"/>
    </row>
    <row r="520" spans="1:13" s="17" customFormat="1">
      <c r="A520" s="56"/>
      <c r="M520" s="65"/>
    </row>
    <row r="521" spans="1:13" s="17" customFormat="1">
      <c r="A521" s="56"/>
      <c r="M521" s="65"/>
    </row>
    <row r="522" spans="1:13" s="17" customFormat="1">
      <c r="A522" s="56"/>
      <c r="M522" s="65"/>
    </row>
    <row r="523" spans="1:13" s="17" customFormat="1">
      <c r="A523" s="56"/>
      <c r="M523" s="65"/>
    </row>
    <row r="524" spans="1:13" s="17" customFormat="1">
      <c r="A524" s="56"/>
      <c r="M524" s="65"/>
    </row>
    <row r="525" spans="1:13" s="17" customFormat="1">
      <c r="A525" s="56"/>
      <c r="M525" s="65"/>
    </row>
    <row r="526" spans="1:13" s="17" customFormat="1">
      <c r="A526" s="56"/>
      <c r="M526" s="65"/>
    </row>
    <row r="527" spans="1:13" s="17" customFormat="1">
      <c r="A527" s="56"/>
      <c r="M527" s="65"/>
    </row>
    <row r="528" spans="1:13" s="17" customFormat="1">
      <c r="A528" s="56"/>
      <c r="M528" s="65"/>
    </row>
    <row r="529" spans="1:13" s="17" customFormat="1">
      <c r="A529" s="56"/>
      <c r="M529" s="65"/>
    </row>
    <row r="530" spans="1:13" s="17" customFormat="1">
      <c r="A530" s="56"/>
      <c r="M530" s="65"/>
    </row>
    <row r="531" spans="1:13" s="17" customFormat="1">
      <c r="A531" s="56"/>
      <c r="M531" s="65"/>
    </row>
    <row r="532" spans="1:13" s="17" customFormat="1">
      <c r="A532" s="56"/>
      <c r="M532" s="65"/>
    </row>
    <row r="533" spans="1:13" s="17" customFormat="1">
      <c r="A533" s="56"/>
      <c r="M533" s="65"/>
    </row>
    <row r="534" spans="1:13" s="17" customFormat="1">
      <c r="A534" s="56"/>
      <c r="M534" s="65"/>
    </row>
    <row r="535" spans="1:13" s="17" customFormat="1">
      <c r="A535" s="56"/>
      <c r="M535" s="65"/>
    </row>
    <row r="536" spans="1:13" s="17" customFormat="1">
      <c r="A536" s="56"/>
      <c r="M536" s="65"/>
    </row>
    <row r="537" spans="1:13" s="17" customFormat="1">
      <c r="A537" s="56"/>
      <c r="M537" s="65"/>
    </row>
    <row r="538" spans="1:13" s="17" customFormat="1">
      <c r="A538" s="56"/>
      <c r="M538" s="65"/>
    </row>
    <row r="539" spans="1:13" s="17" customFormat="1">
      <c r="A539" s="56"/>
      <c r="M539" s="65"/>
    </row>
    <row r="540" spans="1:13" s="17" customFormat="1">
      <c r="A540" s="56"/>
      <c r="M540" s="65"/>
    </row>
    <row r="541" spans="1:13" s="17" customFormat="1">
      <c r="A541" s="56"/>
      <c r="M541" s="65"/>
    </row>
    <row r="542" spans="1:13" s="17" customFormat="1">
      <c r="A542" s="56"/>
      <c r="M542" s="65"/>
    </row>
    <row r="543" spans="1:13" s="17" customFormat="1">
      <c r="A543" s="56"/>
      <c r="M543" s="65"/>
    </row>
    <row r="544" spans="1:13" s="17" customFormat="1">
      <c r="A544" s="56"/>
      <c r="M544" s="65"/>
    </row>
    <row r="545" spans="1:13" s="17" customFormat="1">
      <c r="A545" s="56"/>
      <c r="M545" s="65"/>
    </row>
    <row r="546" spans="1:13" s="17" customFormat="1">
      <c r="A546" s="56"/>
      <c r="M546" s="65"/>
    </row>
    <row r="547" spans="1:13" s="17" customFormat="1">
      <c r="A547" s="56"/>
      <c r="M547" s="65"/>
    </row>
    <row r="548" spans="1:13" s="17" customFormat="1">
      <c r="A548" s="56"/>
      <c r="M548" s="65"/>
    </row>
    <row r="549" spans="1:13" s="17" customFormat="1">
      <c r="A549" s="56"/>
      <c r="M549" s="65"/>
    </row>
    <row r="550" spans="1:13" s="17" customFormat="1">
      <c r="A550" s="56"/>
      <c r="M550" s="65"/>
    </row>
    <row r="551" spans="1:13" s="17" customFormat="1">
      <c r="A551" s="56"/>
      <c r="M551" s="65"/>
    </row>
    <row r="552" spans="1:13" s="17" customFormat="1">
      <c r="A552" s="56"/>
      <c r="M552" s="65"/>
    </row>
    <row r="553" spans="1:13" s="17" customFormat="1">
      <c r="A553" s="56"/>
      <c r="M553" s="65"/>
    </row>
    <row r="554" spans="1:13" s="17" customFormat="1">
      <c r="A554" s="56"/>
      <c r="M554" s="65"/>
    </row>
    <row r="555" spans="1:13" s="17" customFormat="1">
      <c r="A555" s="56"/>
      <c r="M555" s="65"/>
    </row>
    <row r="556" spans="1:13" s="17" customFormat="1">
      <c r="A556" s="56"/>
      <c r="M556" s="65"/>
    </row>
    <row r="557" spans="1:13" s="17" customFormat="1">
      <c r="A557" s="56"/>
      <c r="M557" s="65"/>
    </row>
    <row r="558" spans="1:13" s="17" customFormat="1">
      <c r="A558" s="56"/>
      <c r="M558" s="65"/>
    </row>
    <row r="559" spans="1:13" s="17" customFormat="1">
      <c r="A559" s="56"/>
      <c r="M559" s="65"/>
    </row>
    <row r="560" spans="1:13" s="17" customFormat="1">
      <c r="A560" s="56"/>
      <c r="M560" s="65"/>
    </row>
    <row r="561" spans="1:13" s="17" customFormat="1">
      <c r="A561" s="56"/>
      <c r="M561" s="65"/>
    </row>
    <row r="562" spans="1:13" s="17" customFormat="1">
      <c r="A562" s="56"/>
      <c r="M562" s="65"/>
    </row>
    <row r="563" spans="1:13" s="17" customFormat="1">
      <c r="A563" s="56"/>
      <c r="M563" s="65"/>
    </row>
    <row r="564" spans="1:13" s="17" customFormat="1">
      <c r="A564" s="56"/>
      <c r="M564" s="65"/>
    </row>
    <row r="565" spans="1:13" s="17" customFormat="1">
      <c r="A565" s="56"/>
      <c r="M565" s="65"/>
    </row>
    <row r="566" spans="1:13" s="17" customFormat="1">
      <c r="A566" s="56"/>
      <c r="M566" s="65"/>
    </row>
    <row r="567" spans="1:13" s="17" customFormat="1">
      <c r="A567" s="56"/>
      <c r="M567" s="65"/>
    </row>
    <row r="568" spans="1:13" s="17" customFormat="1">
      <c r="A568" s="56"/>
      <c r="M568" s="65"/>
    </row>
    <row r="569" spans="1:13" s="17" customFormat="1">
      <c r="A569" s="56"/>
      <c r="M569" s="65"/>
    </row>
    <row r="570" spans="1:13" s="17" customFormat="1">
      <c r="A570" s="56"/>
      <c r="M570" s="65"/>
    </row>
    <row r="571" spans="1:13" s="17" customFormat="1">
      <c r="A571" s="56"/>
      <c r="M571" s="65"/>
    </row>
    <row r="572" spans="1:13" s="17" customFormat="1">
      <c r="A572" s="56"/>
      <c r="M572" s="65"/>
    </row>
    <row r="573" spans="1:13" s="17" customFormat="1">
      <c r="A573" s="56"/>
      <c r="M573" s="65"/>
    </row>
    <row r="574" spans="1:13" s="17" customFormat="1">
      <c r="A574" s="56"/>
      <c r="M574" s="65"/>
    </row>
    <row r="575" spans="1:13" s="17" customFormat="1">
      <c r="A575" s="56"/>
      <c r="M575" s="65"/>
    </row>
    <row r="576" spans="1:13" s="17" customFormat="1">
      <c r="A576" s="56"/>
      <c r="M576" s="65"/>
    </row>
    <row r="577" spans="1:13" s="17" customFormat="1">
      <c r="A577" s="56"/>
      <c r="M577" s="65"/>
    </row>
    <row r="578" spans="1:13" s="17" customFormat="1">
      <c r="A578" s="56"/>
      <c r="M578" s="65"/>
    </row>
    <row r="579" spans="1:13" s="17" customFormat="1">
      <c r="A579" s="56"/>
      <c r="M579" s="65"/>
    </row>
    <row r="580" spans="1:13" s="17" customFormat="1">
      <c r="A580" s="56"/>
      <c r="M580" s="65"/>
    </row>
    <row r="581" spans="1:13" s="17" customFormat="1">
      <c r="A581" s="56"/>
      <c r="M581" s="65"/>
    </row>
    <row r="582" spans="1:13" s="17" customFormat="1">
      <c r="A582" s="56"/>
      <c r="M582" s="65"/>
    </row>
    <row r="583" spans="1:13" s="17" customFormat="1">
      <c r="A583" s="56"/>
      <c r="M583" s="65"/>
    </row>
    <row r="584" spans="1:13" s="17" customFormat="1">
      <c r="A584" s="56"/>
      <c r="M584" s="65"/>
    </row>
    <row r="585" spans="1:13" s="17" customFormat="1">
      <c r="A585" s="56"/>
      <c r="M585" s="65"/>
    </row>
    <row r="586" spans="1:13" s="17" customFormat="1">
      <c r="A586" s="56"/>
      <c r="M586" s="65"/>
    </row>
    <row r="587" spans="1:13" s="17" customFormat="1">
      <c r="A587" s="56"/>
      <c r="M587" s="65"/>
    </row>
    <row r="588" spans="1:13" s="17" customFormat="1">
      <c r="A588" s="56"/>
      <c r="M588" s="65"/>
    </row>
    <row r="589" spans="1:13" s="17" customFormat="1">
      <c r="A589" s="56"/>
      <c r="M589" s="65"/>
    </row>
    <row r="590" spans="1:13" s="17" customFormat="1">
      <c r="A590" s="56"/>
      <c r="M590" s="65"/>
    </row>
    <row r="591" spans="1:13" s="17" customFormat="1">
      <c r="A591" s="56"/>
      <c r="M591" s="65"/>
    </row>
    <row r="592" spans="1:13" s="17" customFormat="1">
      <c r="A592" s="56"/>
      <c r="M592" s="65"/>
    </row>
    <row r="593" spans="1:13" s="17" customFormat="1">
      <c r="A593" s="56"/>
      <c r="M593" s="65"/>
    </row>
    <row r="594" spans="1:13" s="17" customFormat="1">
      <c r="A594" s="56"/>
      <c r="M594" s="65"/>
    </row>
    <row r="595" spans="1:13" s="17" customFormat="1">
      <c r="A595" s="56"/>
      <c r="M595" s="65"/>
    </row>
    <row r="596" spans="1:13" s="17" customFormat="1">
      <c r="A596" s="56"/>
      <c r="M596" s="65"/>
    </row>
    <row r="597" spans="1:13" s="17" customFormat="1">
      <c r="A597" s="56"/>
      <c r="M597" s="65"/>
    </row>
    <row r="598" spans="1:13" s="17" customFormat="1">
      <c r="A598" s="56"/>
      <c r="M598" s="65"/>
    </row>
    <row r="599" spans="1:13" s="17" customFormat="1">
      <c r="A599" s="56"/>
      <c r="M599" s="65"/>
    </row>
    <row r="600" spans="1:13" s="17" customFormat="1">
      <c r="A600" s="56"/>
      <c r="M600" s="65"/>
    </row>
    <row r="601" spans="1:13" s="17" customFormat="1">
      <c r="A601" s="56"/>
      <c r="M601" s="65"/>
    </row>
    <row r="602" spans="1:13" s="17" customFormat="1">
      <c r="A602" s="56"/>
      <c r="M602" s="65"/>
    </row>
    <row r="603" spans="1:13" s="17" customFormat="1">
      <c r="A603" s="56"/>
      <c r="M603" s="65"/>
    </row>
    <row r="604" spans="1:13" s="17" customFormat="1">
      <c r="A604" s="56"/>
      <c r="M604" s="65"/>
    </row>
    <row r="605" spans="1:13" s="17" customFormat="1">
      <c r="A605" s="56"/>
      <c r="M605" s="65"/>
    </row>
    <row r="606" spans="1:13" s="17" customFormat="1">
      <c r="A606" s="56"/>
      <c r="M606" s="65"/>
    </row>
    <row r="607" spans="1:13" s="17" customFormat="1">
      <c r="A607" s="56"/>
      <c r="M607" s="65"/>
    </row>
    <row r="608" spans="1:13" s="17" customFormat="1">
      <c r="A608" s="56"/>
      <c r="M608" s="65"/>
    </row>
    <row r="609" spans="1:13" s="17" customFormat="1">
      <c r="A609" s="56"/>
      <c r="M609" s="65"/>
    </row>
    <row r="610" spans="1:13" s="17" customFormat="1">
      <c r="A610" s="56"/>
      <c r="M610" s="65"/>
    </row>
    <row r="611" spans="1:13" s="17" customFormat="1">
      <c r="A611" s="56"/>
      <c r="M611" s="65"/>
    </row>
    <row r="612" spans="1:13" s="17" customFormat="1">
      <c r="A612" s="56"/>
      <c r="M612" s="65"/>
    </row>
    <row r="613" spans="1:13" s="17" customFormat="1">
      <c r="A613" s="56"/>
      <c r="M613" s="65"/>
    </row>
    <row r="614" spans="1:13" s="17" customFormat="1">
      <c r="A614" s="56"/>
      <c r="M614" s="65"/>
    </row>
    <row r="615" spans="1:13" s="17" customFormat="1">
      <c r="A615" s="56"/>
      <c r="M615" s="65"/>
    </row>
    <row r="616" spans="1:13" s="17" customFormat="1">
      <c r="A616" s="56"/>
      <c r="M616" s="65"/>
    </row>
    <row r="617" spans="1:13" s="17" customFormat="1">
      <c r="A617" s="56"/>
      <c r="M617" s="65"/>
    </row>
    <row r="618" spans="1:13" s="17" customFormat="1">
      <c r="A618" s="56"/>
      <c r="M618" s="65"/>
    </row>
    <row r="619" spans="1:13" s="17" customFormat="1">
      <c r="A619" s="56"/>
      <c r="M619" s="65"/>
    </row>
    <row r="620" spans="1:13" s="17" customFormat="1">
      <c r="A620" s="56"/>
      <c r="M620" s="65"/>
    </row>
    <row r="621" spans="1:13" s="17" customFormat="1">
      <c r="A621" s="56"/>
      <c r="M621" s="65"/>
    </row>
    <row r="622" spans="1:13" s="17" customFormat="1">
      <c r="A622" s="56"/>
      <c r="M622" s="65"/>
    </row>
    <row r="623" spans="1:13" s="17" customFormat="1">
      <c r="A623" s="56"/>
      <c r="M623" s="65"/>
    </row>
    <row r="624" spans="1:13" s="17" customFormat="1">
      <c r="A624" s="56"/>
      <c r="M624" s="65"/>
    </row>
    <row r="625" spans="1:13" s="17" customFormat="1">
      <c r="A625" s="56"/>
      <c r="M625" s="65"/>
    </row>
    <row r="626" spans="1:13" s="17" customFormat="1">
      <c r="A626" s="56"/>
      <c r="M626" s="65"/>
    </row>
    <row r="627" spans="1:13" s="17" customFormat="1">
      <c r="A627" s="56"/>
      <c r="M627" s="65"/>
    </row>
    <row r="628" spans="1:13" s="17" customFormat="1">
      <c r="A628" s="56"/>
      <c r="M628" s="65"/>
    </row>
    <row r="629" spans="1:13" s="17" customFormat="1">
      <c r="A629" s="56"/>
      <c r="M629" s="65"/>
    </row>
    <row r="630" spans="1:13" s="17" customFormat="1">
      <c r="A630" s="56"/>
      <c r="M630" s="65"/>
    </row>
    <row r="631" spans="1:13" s="17" customFormat="1">
      <c r="A631" s="56"/>
      <c r="M631" s="65"/>
    </row>
    <row r="632" spans="1:13" s="17" customFormat="1">
      <c r="A632" s="56"/>
      <c r="M632" s="65"/>
    </row>
    <row r="633" spans="1:13" s="17" customFormat="1">
      <c r="A633" s="56"/>
      <c r="M633" s="65"/>
    </row>
    <row r="634" spans="1:13" s="17" customFormat="1">
      <c r="A634" s="56"/>
      <c r="M634" s="65"/>
    </row>
    <row r="635" spans="1:13" s="17" customFormat="1">
      <c r="A635" s="56"/>
      <c r="M635" s="65"/>
    </row>
    <row r="636" spans="1:13" s="17" customFormat="1">
      <c r="A636" s="56"/>
      <c r="M636" s="65"/>
    </row>
    <row r="637" spans="1:13" s="17" customFormat="1">
      <c r="A637" s="56"/>
      <c r="M637" s="65"/>
    </row>
    <row r="638" spans="1:13" s="17" customFormat="1">
      <c r="A638" s="56"/>
      <c r="M638" s="65"/>
    </row>
    <row r="639" spans="1:13" s="17" customFormat="1">
      <c r="A639" s="56"/>
      <c r="M639" s="65"/>
    </row>
    <row r="640" spans="1:13" s="17" customFormat="1">
      <c r="A640" s="56"/>
      <c r="M640" s="65"/>
    </row>
    <row r="641" spans="1:13" s="17" customFormat="1">
      <c r="A641" s="56"/>
      <c r="M641" s="65"/>
    </row>
    <row r="642" spans="1:13" s="17" customFormat="1">
      <c r="A642" s="56"/>
      <c r="M642" s="65"/>
    </row>
    <row r="643" spans="1:13" s="17" customFormat="1">
      <c r="A643" s="56"/>
      <c r="M643" s="65"/>
    </row>
    <row r="644" spans="1:13" s="17" customFormat="1">
      <c r="A644" s="56"/>
      <c r="M644" s="65"/>
    </row>
    <row r="645" spans="1:13" s="17" customFormat="1">
      <c r="A645" s="56"/>
      <c r="M645" s="65"/>
    </row>
    <row r="646" spans="1:13" s="17" customFormat="1">
      <c r="A646" s="56"/>
      <c r="M646" s="65"/>
    </row>
    <row r="647" spans="1:13" s="17" customFormat="1">
      <c r="A647" s="56"/>
      <c r="M647" s="65"/>
    </row>
    <row r="648" spans="1:13" s="17" customFormat="1">
      <c r="A648" s="56"/>
      <c r="M648" s="65"/>
    </row>
    <row r="649" spans="1:13" s="17" customFormat="1">
      <c r="A649" s="56"/>
      <c r="M649" s="65"/>
    </row>
    <row r="650" spans="1:13" s="17" customFormat="1">
      <c r="A650" s="56"/>
      <c r="M650" s="65"/>
    </row>
    <row r="651" spans="1:13" s="17" customFormat="1">
      <c r="A651" s="56"/>
      <c r="M651" s="65"/>
    </row>
    <row r="652" spans="1:13" s="17" customFormat="1">
      <c r="A652" s="56"/>
      <c r="M652" s="65"/>
    </row>
    <row r="653" spans="1:13" s="17" customFormat="1">
      <c r="A653" s="56"/>
      <c r="M653" s="65"/>
    </row>
    <row r="654" spans="1:13" s="17" customFormat="1">
      <c r="A654" s="56"/>
      <c r="M654" s="65"/>
    </row>
    <row r="655" spans="1:13" s="17" customFormat="1">
      <c r="A655" s="56"/>
      <c r="M655" s="65"/>
    </row>
    <row r="656" spans="1:13" s="17" customFormat="1">
      <c r="A656" s="56"/>
      <c r="M656" s="65"/>
    </row>
    <row r="657" spans="1:13" s="17" customFormat="1">
      <c r="A657" s="56"/>
      <c r="M657" s="65"/>
    </row>
    <row r="658" spans="1:13" s="17" customFormat="1">
      <c r="A658" s="56"/>
      <c r="M658" s="65"/>
    </row>
    <row r="659" spans="1:13" s="17" customFormat="1">
      <c r="A659" s="56"/>
      <c r="M659" s="65"/>
    </row>
    <row r="660" spans="1:13" s="17" customFormat="1">
      <c r="A660" s="56"/>
      <c r="M660" s="65"/>
    </row>
    <row r="661" spans="1:13" s="17" customFormat="1">
      <c r="A661" s="56"/>
      <c r="M661" s="65"/>
    </row>
    <row r="662" spans="1:13" s="17" customFormat="1">
      <c r="A662" s="56"/>
      <c r="M662" s="65"/>
    </row>
    <row r="663" spans="1:13" s="17" customFormat="1">
      <c r="A663" s="56"/>
      <c r="M663" s="65"/>
    </row>
    <row r="664" spans="1:13" s="17" customFormat="1">
      <c r="A664" s="56"/>
      <c r="M664" s="65"/>
    </row>
    <row r="665" spans="1:13" s="17" customFormat="1">
      <c r="A665" s="56"/>
      <c r="M665" s="65"/>
    </row>
    <row r="666" spans="1:13" s="17" customFormat="1">
      <c r="A666" s="56"/>
      <c r="M666" s="65"/>
    </row>
    <row r="667" spans="1:13" s="17" customFormat="1">
      <c r="A667" s="56"/>
      <c r="M667" s="65"/>
    </row>
    <row r="668" spans="1:13" s="17" customFormat="1">
      <c r="A668" s="56"/>
      <c r="M668" s="65"/>
    </row>
    <row r="669" spans="1:13" s="17" customFormat="1">
      <c r="A669" s="56"/>
      <c r="M669" s="65"/>
    </row>
    <row r="670" spans="1:13" s="17" customFormat="1">
      <c r="A670" s="56"/>
      <c r="M670" s="65"/>
    </row>
    <row r="671" spans="1:13" s="17" customFormat="1">
      <c r="A671" s="56"/>
      <c r="M671" s="65"/>
    </row>
    <row r="672" spans="1:13" s="17" customFormat="1">
      <c r="A672" s="56"/>
      <c r="M672" s="65"/>
    </row>
    <row r="673" spans="1:13" s="17" customFormat="1">
      <c r="A673" s="56"/>
      <c r="M673" s="65"/>
    </row>
    <row r="674" spans="1:13" s="17" customFormat="1">
      <c r="A674" s="56"/>
      <c r="M674" s="65"/>
    </row>
    <row r="675" spans="1:13" s="17" customFormat="1">
      <c r="A675" s="56"/>
      <c r="M675" s="65"/>
    </row>
    <row r="676" spans="1:13" s="17" customFormat="1">
      <c r="A676" s="56"/>
      <c r="M676" s="65"/>
    </row>
    <row r="677" spans="1:13" s="17" customFormat="1">
      <c r="A677" s="56"/>
      <c r="M677" s="65"/>
    </row>
    <row r="678" spans="1:13" s="17" customFormat="1">
      <c r="A678" s="56"/>
      <c r="M678" s="65"/>
    </row>
    <row r="679" spans="1:13" s="17" customFormat="1">
      <c r="A679" s="56"/>
      <c r="M679" s="65"/>
    </row>
    <row r="680" spans="1:13" s="17" customFormat="1">
      <c r="A680" s="56"/>
      <c r="M680" s="65"/>
    </row>
    <row r="681" spans="1:13" s="17" customFormat="1">
      <c r="A681" s="56"/>
      <c r="M681" s="65"/>
    </row>
    <row r="682" spans="1:13" s="17" customFormat="1">
      <c r="A682" s="56"/>
      <c r="M682" s="65"/>
    </row>
    <row r="683" spans="1:13" s="17" customFormat="1">
      <c r="A683" s="56"/>
      <c r="M683" s="65"/>
    </row>
    <row r="684" spans="1:13" s="17" customFormat="1">
      <c r="A684" s="56"/>
      <c r="M684" s="65"/>
    </row>
    <row r="685" spans="1:13" s="17" customFormat="1">
      <c r="A685" s="56"/>
      <c r="M685" s="65"/>
    </row>
    <row r="686" spans="1:13" s="17" customFormat="1">
      <c r="A686" s="56"/>
      <c r="M686" s="65"/>
    </row>
    <row r="687" spans="1:13" s="17" customFormat="1">
      <c r="A687" s="56"/>
      <c r="M687" s="65"/>
    </row>
    <row r="688" spans="1:13" s="17" customFormat="1">
      <c r="A688" s="56"/>
      <c r="M688" s="65"/>
    </row>
    <row r="689" spans="1:13" s="17" customFormat="1">
      <c r="A689" s="56"/>
      <c r="M689" s="65"/>
    </row>
    <row r="690" spans="1:13" s="17" customFormat="1">
      <c r="A690" s="56"/>
      <c r="M690" s="65"/>
    </row>
    <row r="691" spans="1:13" s="17" customFormat="1">
      <c r="A691" s="56"/>
      <c r="M691" s="65"/>
    </row>
    <row r="692" spans="1:13" s="17" customFormat="1">
      <c r="A692" s="56"/>
      <c r="M692" s="65"/>
    </row>
    <row r="693" spans="1:13" s="17" customFormat="1">
      <c r="A693" s="56"/>
      <c r="M693" s="65"/>
    </row>
    <row r="694" spans="1:13" s="17" customFormat="1">
      <c r="A694" s="56"/>
      <c r="M694" s="65"/>
    </row>
    <row r="695" spans="1:13" s="17" customFormat="1">
      <c r="A695" s="56"/>
      <c r="M695" s="65"/>
    </row>
    <row r="696" spans="1:13" s="17" customFormat="1">
      <c r="A696" s="56"/>
      <c r="M696" s="65"/>
    </row>
    <row r="697" spans="1:13" s="17" customFormat="1">
      <c r="A697" s="56"/>
      <c r="M697" s="65"/>
    </row>
    <row r="698" spans="1:13" s="17" customFormat="1">
      <c r="A698" s="56"/>
      <c r="M698" s="65"/>
    </row>
    <row r="699" spans="1:13" s="17" customFormat="1">
      <c r="A699" s="56"/>
      <c r="M699" s="65"/>
    </row>
    <row r="700" spans="1:13" s="17" customFormat="1">
      <c r="A700" s="56"/>
      <c r="M700" s="65"/>
    </row>
    <row r="701" spans="1:13" s="17" customFormat="1">
      <c r="A701" s="56"/>
      <c r="M701" s="65"/>
    </row>
    <row r="702" spans="1:13" s="17" customFormat="1">
      <c r="A702" s="56"/>
      <c r="M702" s="65"/>
    </row>
    <row r="703" spans="1:13" s="17" customFormat="1">
      <c r="A703" s="56"/>
      <c r="M703" s="65"/>
    </row>
    <row r="704" spans="1:13" s="17" customFormat="1">
      <c r="A704" s="56"/>
      <c r="M704" s="65"/>
    </row>
    <row r="705" spans="1:13" s="17" customFormat="1">
      <c r="A705" s="56"/>
      <c r="M705" s="65"/>
    </row>
    <row r="706" spans="1:13" s="17" customFormat="1">
      <c r="A706" s="56"/>
      <c r="M706" s="65"/>
    </row>
    <row r="707" spans="1:13" s="17" customFormat="1">
      <c r="A707" s="56"/>
      <c r="M707" s="65"/>
    </row>
    <row r="708" spans="1:13" s="17" customFormat="1">
      <c r="A708" s="56"/>
      <c r="M708" s="65"/>
    </row>
    <row r="709" spans="1:13" s="17" customFormat="1">
      <c r="A709" s="56"/>
      <c r="M709" s="65"/>
    </row>
    <row r="710" spans="1:13" s="17" customFormat="1">
      <c r="A710" s="56"/>
      <c r="M710" s="65"/>
    </row>
    <row r="711" spans="1:13" s="17" customFormat="1">
      <c r="A711" s="56"/>
      <c r="M711" s="65"/>
    </row>
    <row r="712" spans="1:13" s="17" customFormat="1">
      <c r="A712" s="56"/>
      <c r="M712" s="65"/>
    </row>
    <row r="713" spans="1:13" s="17" customFormat="1">
      <c r="A713" s="56"/>
      <c r="M713" s="65"/>
    </row>
    <row r="714" spans="1:13" s="17" customFormat="1">
      <c r="A714" s="56"/>
      <c r="M714" s="65"/>
    </row>
    <row r="715" spans="1:13" s="17" customFormat="1">
      <c r="A715" s="56"/>
      <c r="M715" s="65"/>
    </row>
    <row r="716" spans="1:13" s="17" customFormat="1">
      <c r="A716" s="56"/>
      <c r="M716" s="65"/>
    </row>
    <row r="717" spans="1:13" s="17" customFormat="1">
      <c r="A717" s="56"/>
      <c r="M717" s="65"/>
    </row>
    <row r="718" spans="1:13" s="17" customFormat="1">
      <c r="A718" s="56"/>
      <c r="M718" s="65"/>
    </row>
    <row r="719" spans="1:13" s="17" customFormat="1">
      <c r="A719" s="56"/>
      <c r="M719" s="65"/>
    </row>
    <row r="720" spans="1:13" s="17" customFormat="1">
      <c r="A720" s="56"/>
      <c r="M720" s="65"/>
    </row>
    <row r="721" spans="1:13" s="17" customFormat="1">
      <c r="A721" s="56"/>
      <c r="M721" s="65"/>
    </row>
    <row r="722" spans="1:13" s="17" customFormat="1">
      <c r="A722" s="56"/>
      <c r="M722" s="65"/>
    </row>
    <row r="723" spans="1:13" s="17" customFormat="1">
      <c r="A723" s="56"/>
      <c r="M723" s="65"/>
    </row>
    <row r="724" spans="1:13" s="17" customFormat="1">
      <c r="A724" s="56"/>
      <c r="M724" s="65"/>
    </row>
    <row r="725" spans="1:13" s="17" customFormat="1">
      <c r="A725" s="56"/>
      <c r="M725" s="65"/>
    </row>
    <row r="726" spans="1:13" s="17" customFormat="1">
      <c r="A726" s="56"/>
      <c r="M726" s="65"/>
    </row>
    <row r="727" spans="1:13" s="17" customFormat="1">
      <c r="A727" s="56"/>
      <c r="M727" s="65"/>
    </row>
    <row r="728" spans="1:13" s="17" customFormat="1">
      <c r="A728" s="56"/>
      <c r="M728" s="65"/>
    </row>
    <row r="729" spans="1:13" s="17" customFormat="1">
      <c r="A729" s="56"/>
      <c r="M729" s="65"/>
    </row>
    <row r="730" spans="1:13" s="17" customFormat="1">
      <c r="A730" s="56"/>
      <c r="M730" s="65"/>
    </row>
    <row r="731" spans="1:13" s="17" customFormat="1">
      <c r="A731" s="56"/>
      <c r="M731" s="65"/>
    </row>
    <row r="732" spans="1:13" s="17" customFormat="1">
      <c r="A732" s="56"/>
      <c r="M732" s="65"/>
    </row>
    <row r="733" spans="1:13" s="17" customFormat="1">
      <c r="A733" s="56"/>
      <c r="M733" s="65"/>
    </row>
    <row r="734" spans="1:13" s="17" customFormat="1">
      <c r="A734" s="56"/>
      <c r="M734" s="65"/>
    </row>
    <row r="735" spans="1:13" s="17" customFormat="1">
      <c r="A735" s="56"/>
      <c r="M735" s="65"/>
    </row>
    <row r="736" spans="1:13" s="17" customFormat="1">
      <c r="A736" s="56"/>
      <c r="M736" s="65"/>
    </row>
    <row r="737" spans="1:13" s="17" customFormat="1">
      <c r="A737" s="56"/>
      <c r="M737" s="65"/>
    </row>
    <row r="738" spans="1:13" s="17" customFormat="1">
      <c r="A738" s="56"/>
      <c r="M738" s="65"/>
    </row>
    <row r="739" spans="1:13" s="17" customFormat="1">
      <c r="A739" s="56"/>
      <c r="M739" s="65"/>
    </row>
    <row r="740" spans="1:13" s="17" customFormat="1">
      <c r="A740" s="56"/>
      <c r="M740" s="65"/>
    </row>
    <row r="741" spans="1:13" s="17" customFormat="1">
      <c r="A741" s="56"/>
      <c r="M741" s="65"/>
    </row>
    <row r="742" spans="1:13" s="17" customFormat="1">
      <c r="A742" s="56"/>
      <c r="M742" s="65"/>
    </row>
    <row r="743" spans="1:13" s="17" customFormat="1">
      <c r="A743" s="56"/>
      <c r="M743" s="65"/>
    </row>
    <row r="744" spans="1:13" s="17" customFormat="1">
      <c r="A744" s="56"/>
      <c r="M744" s="65"/>
    </row>
    <row r="745" spans="1:13" s="17" customFormat="1">
      <c r="A745" s="56"/>
      <c r="M745" s="65"/>
    </row>
    <row r="746" spans="1:13" s="17" customFormat="1">
      <c r="A746" s="56"/>
      <c r="M746" s="65"/>
    </row>
    <row r="747" spans="1:13" s="17" customFormat="1">
      <c r="A747" s="56"/>
      <c r="M747" s="65"/>
    </row>
    <row r="748" spans="1:13" s="17" customFormat="1">
      <c r="A748" s="56"/>
      <c r="M748" s="65"/>
    </row>
    <row r="749" spans="1:13" s="17" customFormat="1">
      <c r="A749" s="56"/>
      <c r="M749" s="65"/>
    </row>
    <row r="750" spans="1:13" s="17" customFormat="1">
      <c r="A750" s="56"/>
      <c r="M750" s="65"/>
    </row>
    <row r="751" spans="1:13" s="17" customFormat="1">
      <c r="A751" s="56"/>
      <c r="M751" s="65"/>
    </row>
    <row r="752" spans="1:13" s="17" customFormat="1">
      <c r="A752" s="56"/>
      <c r="M752" s="65"/>
    </row>
    <row r="753" spans="1:13" s="17" customFormat="1">
      <c r="A753" s="56"/>
      <c r="M753" s="65"/>
    </row>
    <row r="754" spans="1:13" s="17" customFormat="1">
      <c r="A754" s="56"/>
      <c r="M754" s="65"/>
    </row>
    <row r="755" spans="1:13" s="17" customFormat="1">
      <c r="A755" s="56"/>
      <c r="M755" s="65"/>
    </row>
    <row r="756" spans="1:13" s="17" customFormat="1">
      <c r="A756" s="56"/>
      <c r="M756" s="65"/>
    </row>
    <row r="757" spans="1:13" s="17" customFormat="1">
      <c r="A757" s="56"/>
      <c r="M757" s="65"/>
    </row>
    <row r="758" spans="1:13" s="17" customFormat="1">
      <c r="A758" s="56"/>
      <c r="M758" s="65"/>
    </row>
    <row r="759" spans="1:13" s="17" customFormat="1">
      <c r="A759" s="56"/>
      <c r="M759" s="65"/>
    </row>
    <row r="760" spans="1:13" s="17" customFormat="1">
      <c r="A760" s="56"/>
      <c r="M760" s="65"/>
    </row>
    <row r="761" spans="1:13" s="17" customFormat="1">
      <c r="A761" s="56"/>
      <c r="M761" s="65"/>
    </row>
    <row r="762" spans="1:13" s="17" customFormat="1">
      <c r="A762" s="56"/>
      <c r="M762" s="65"/>
    </row>
    <row r="763" spans="1:13" s="17" customFormat="1">
      <c r="A763" s="56"/>
      <c r="M763" s="65"/>
    </row>
    <row r="764" spans="1:13" s="17" customFormat="1">
      <c r="A764" s="56"/>
      <c r="M764" s="65"/>
    </row>
    <row r="765" spans="1:13" s="17" customFormat="1">
      <c r="A765" s="56"/>
      <c r="M765" s="65"/>
    </row>
    <row r="766" spans="1:13" s="17" customFormat="1">
      <c r="A766" s="56"/>
      <c r="M766" s="65"/>
    </row>
    <row r="767" spans="1:13" s="17" customFormat="1">
      <c r="A767" s="56"/>
      <c r="M767" s="65"/>
    </row>
    <row r="768" spans="1:13" s="17" customFormat="1">
      <c r="A768" s="56"/>
      <c r="M768" s="65"/>
    </row>
    <row r="769" spans="1:13" s="17" customFormat="1">
      <c r="A769" s="56"/>
      <c r="M769" s="65"/>
    </row>
    <row r="770" spans="1:13" s="17" customFormat="1">
      <c r="A770" s="56"/>
      <c r="M770" s="65"/>
    </row>
    <row r="771" spans="1:13" s="17" customFormat="1">
      <c r="A771" s="56"/>
      <c r="M771" s="65"/>
    </row>
    <row r="772" spans="1:13" s="17" customFormat="1">
      <c r="A772" s="56"/>
      <c r="M772" s="65"/>
    </row>
    <row r="773" spans="1:13" s="17" customFormat="1">
      <c r="A773" s="56"/>
      <c r="M773" s="65"/>
    </row>
    <row r="774" spans="1:13" s="17" customFormat="1">
      <c r="A774" s="56"/>
      <c r="M774" s="65"/>
    </row>
    <row r="775" spans="1:13" s="17" customFormat="1">
      <c r="A775" s="56"/>
      <c r="M775" s="65"/>
    </row>
    <row r="776" spans="1:13" s="17" customFormat="1">
      <c r="A776" s="56"/>
      <c r="M776" s="65"/>
    </row>
    <row r="777" spans="1:13" s="17" customFormat="1">
      <c r="A777" s="56"/>
      <c r="M777" s="65"/>
    </row>
    <row r="778" spans="1:13" s="17" customFormat="1">
      <c r="A778" s="56"/>
      <c r="M778" s="65"/>
    </row>
    <row r="779" spans="1:13" s="17" customFormat="1">
      <c r="A779" s="56"/>
      <c r="M779" s="65"/>
    </row>
    <row r="780" spans="1:13" s="17" customFormat="1">
      <c r="A780" s="56"/>
      <c r="M780" s="65"/>
    </row>
    <row r="781" spans="1:13" s="17" customFormat="1">
      <c r="A781" s="56"/>
      <c r="M781" s="65"/>
    </row>
    <row r="782" spans="1:13" s="17" customFormat="1">
      <c r="A782" s="56"/>
      <c r="M782" s="65"/>
    </row>
    <row r="783" spans="1:13" s="17" customFormat="1">
      <c r="A783" s="56"/>
      <c r="M783" s="65"/>
    </row>
    <row r="784" spans="1:13" s="17" customFormat="1">
      <c r="A784" s="56"/>
      <c r="M784" s="65"/>
    </row>
    <row r="785" spans="1:13" s="17" customFormat="1">
      <c r="A785" s="56"/>
      <c r="M785" s="65"/>
    </row>
    <row r="786" spans="1:13" s="17" customFormat="1">
      <c r="A786" s="56"/>
      <c r="M786" s="65"/>
    </row>
    <row r="787" spans="1:13" s="17" customFormat="1">
      <c r="A787" s="56"/>
      <c r="M787" s="65"/>
    </row>
    <row r="788" spans="1:13" s="17" customFormat="1">
      <c r="A788" s="56"/>
      <c r="M788" s="65"/>
    </row>
    <row r="789" spans="1:13" s="17" customFormat="1">
      <c r="A789" s="56"/>
      <c r="M789" s="65"/>
    </row>
    <row r="790" spans="1:13" s="17" customFormat="1">
      <c r="A790" s="56"/>
      <c r="M790" s="65"/>
    </row>
    <row r="791" spans="1:13" s="17" customFormat="1">
      <c r="A791" s="56"/>
      <c r="M791" s="65"/>
    </row>
    <row r="792" spans="1:13" s="17" customFormat="1">
      <c r="A792" s="56"/>
      <c r="M792" s="65"/>
    </row>
    <row r="793" spans="1:13" s="17" customFormat="1">
      <c r="A793" s="56"/>
      <c r="M793" s="65"/>
    </row>
    <row r="794" spans="1:13" s="17" customFormat="1">
      <c r="A794" s="56"/>
      <c r="M794" s="65"/>
    </row>
    <row r="795" spans="1:13" s="17" customFormat="1">
      <c r="A795" s="56"/>
      <c r="M795" s="65"/>
    </row>
    <row r="796" spans="1:13" s="17" customFormat="1">
      <c r="A796" s="56"/>
      <c r="M796" s="65"/>
    </row>
    <row r="797" spans="1:13" s="17" customFormat="1">
      <c r="A797" s="56"/>
      <c r="M797" s="65"/>
    </row>
    <row r="798" spans="1:13" s="17" customFormat="1">
      <c r="A798" s="56"/>
      <c r="M798" s="65"/>
    </row>
    <row r="799" spans="1:13" s="17" customFormat="1">
      <c r="A799" s="56"/>
      <c r="M799" s="65"/>
    </row>
    <row r="800" spans="1:13" s="17" customFormat="1">
      <c r="A800" s="56"/>
      <c r="M800" s="65"/>
    </row>
    <row r="801" spans="1:13" s="17" customFormat="1">
      <c r="A801" s="56"/>
      <c r="M801" s="65"/>
    </row>
    <row r="802" spans="1:13" s="17" customFormat="1">
      <c r="A802" s="56"/>
      <c r="M802" s="65"/>
    </row>
    <row r="803" spans="1:13" s="17" customFormat="1">
      <c r="A803" s="56"/>
      <c r="M803" s="65"/>
    </row>
    <row r="804" spans="1:13" s="17" customFormat="1">
      <c r="A804" s="56"/>
      <c r="M804" s="65"/>
    </row>
    <row r="805" spans="1:13" s="17" customFormat="1">
      <c r="A805" s="56"/>
      <c r="M805" s="65"/>
    </row>
    <row r="806" spans="1:13" s="17" customFormat="1">
      <c r="A806" s="56"/>
      <c r="M806" s="65"/>
    </row>
    <row r="807" spans="1:13" s="17" customFormat="1">
      <c r="A807" s="56"/>
      <c r="M807" s="65"/>
    </row>
    <row r="808" spans="1:13" s="17" customFormat="1">
      <c r="A808" s="56"/>
      <c r="M808" s="65"/>
    </row>
    <row r="809" spans="1:13" s="17" customFormat="1">
      <c r="A809" s="56"/>
      <c r="M809" s="65"/>
    </row>
    <row r="810" spans="1:13" s="17" customFormat="1">
      <c r="A810" s="56"/>
      <c r="M810" s="65"/>
    </row>
    <row r="811" spans="1:13" s="17" customFormat="1">
      <c r="A811" s="56"/>
      <c r="M811" s="65"/>
    </row>
    <row r="812" spans="1:13" s="17" customFormat="1">
      <c r="A812" s="56"/>
      <c r="M812" s="65"/>
    </row>
    <row r="813" spans="1:13" s="17" customFormat="1">
      <c r="A813" s="56"/>
      <c r="M813" s="65"/>
    </row>
    <row r="814" spans="1:13" s="17" customFormat="1">
      <c r="A814" s="56"/>
      <c r="M814" s="65"/>
    </row>
    <row r="815" spans="1:13" s="17" customFormat="1">
      <c r="A815" s="56"/>
      <c r="M815" s="65"/>
    </row>
    <row r="816" spans="1:13" s="17" customFormat="1">
      <c r="A816" s="56"/>
      <c r="M816" s="65"/>
    </row>
    <row r="817" spans="1:13" s="17" customFormat="1">
      <c r="A817" s="56"/>
      <c r="M817" s="65"/>
    </row>
    <row r="818" spans="1:13" s="17" customFormat="1">
      <c r="A818" s="56"/>
      <c r="M818" s="65"/>
    </row>
    <row r="819" spans="1:13" s="17" customFormat="1">
      <c r="A819" s="56"/>
      <c r="M819" s="65"/>
    </row>
    <row r="820" spans="1:13" s="17" customFormat="1">
      <c r="A820" s="56"/>
      <c r="M820" s="65"/>
    </row>
    <row r="821" spans="1:13" s="17" customFormat="1">
      <c r="A821" s="56"/>
      <c r="M821" s="65"/>
    </row>
    <row r="822" spans="1:13" s="17" customFormat="1">
      <c r="A822" s="56"/>
      <c r="M822" s="65"/>
    </row>
    <row r="823" spans="1:13" s="17" customFormat="1">
      <c r="A823" s="56"/>
      <c r="M823" s="65"/>
    </row>
    <row r="824" spans="1:13" s="17" customFormat="1">
      <c r="A824" s="56"/>
      <c r="M824" s="65"/>
    </row>
    <row r="825" spans="1:13" s="17" customFormat="1">
      <c r="A825" s="56"/>
      <c r="M825" s="65"/>
    </row>
    <row r="826" spans="1:13" s="17" customFormat="1">
      <c r="A826" s="56"/>
      <c r="M826" s="65"/>
    </row>
    <row r="827" spans="1:13" s="17" customFormat="1">
      <c r="A827" s="56"/>
      <c r="M827" s="65"/>
    </row>
    <row r="828" spans="1:13" s="17" customFormat="1">
      <c r="A828" s="56"/>
      <c r="M828" s="65"/>
    </row>
    <row r="829" spans="1:13" s="17" customFormat="1">
      <c r="A829" s="56"/>
      <c r="M829" s="65"/>
    </row>
    <row r="830" spans="1:13" s="17" customFormat="1">
      <c r="A830" s="56"/>
      <c r="M830" s="65"/>
    </row>
    <row r="831" spans="1:13" s="17" customFormat="1">
      <c r="A831" s="56"/>
      <c r="M831" s="65"/>
    </row>
    <row r="832" spans="1:13" s="17" customFormat="1">
      <c r="A832" s="56"/>
      <c r="M832" s="65"/>
    </row>
    <row r="833" spans="1:13" s="17" customFormat="1">
      <c r="A833" s="56"/>
      <c r="M833" s="65"/>
    </row>
    <row r="834" spans="1:13" s="17" customFormat="1">
      <c r="A834" s="56"/>
      <c r="M834" s="65"/>
    </row>
    <row r="835" spans="1:13" s="17" customFormat="1">
      <c r="A835" s="56"/>
      <c r="M835" s="65"/>
    </row>
    <row r="836" spans="1:13" s="17" customFormat="1">
      <c r="A836" s="56"/>
      <c r="M836" s="65"/>
    </row>
    <row r="837" spans="1:13" s="17" customFormat="1">
      <c r="A837" s="56"/>
      <c r="M837" s="65"/>
    </row>
    <row r="838" spans="1:13" s="17" customFormat="1">
      <c r="A838" s="56"/>
      <c r="M838" s="65"/>
    </row>
    <row r="839" spans="1:13" s="17" customFormat="1">
      <c r="A839" s="56"/>
      <c r="M839" s="65"/>
    </row>
    <row r="840" spans="1:13" s="17" customFormat="1">
      <c r="A840" s="56"/>
      <c r="M840" s="65"/>
    </row>
    <row r="841" spans="1:13" s="17" customFormat="1">
      <c r="A841" s="56"/>
      <c r="M841" s="65"/>
    </row>
    <row r="842" spans="1:13" s="17" customFormat="1">
      <c r="A842" s="56"/>
      <c r="M842" s="65"/>
    </row>
    <row r="843" spans="1:13" s="17" customFormat="1">
      <c r="A843" s="56"/>
      <c r="M843" s="65"/>
    </row>
    <row r="844" spans="1:13" s="17" customFormat="1">
      <c r="A844" s="56"/>
      <c r="M844" s="65"/>
    </row>
    <row r="845" spans="1:13" s="17" customFormat="1">
      <c r="A845" s="56"/>
      <c r="M845" s="65"/>
    </row>
    <row r="846" spans="1:13" s="17" customFormat="1">
      <c r="A846" s="56"/>
      <c r="M846" s="65"/>
    </row>
    <row r="847" spans="1:13" s="17" customFormat="1">
      <c r="A847" s="56"/>
      <c r="M847" s="65"/>
    </row>
    <row r="848" spans="1:13" s="17" customFormat="1">
      <c r="A848" s="56"/>
      <c r="M848" s="65"/>
    </row>
    <row r="849" spans="1:13" s="17" customFormat="1">
      <c r="A849" s="56"/>
      <c r="M849" s="65"/>
    </row>
    <row r="850" spans="1:13" s="17" customFormat="1">
      <c r="A850" s="56"/>
      <c r="M850" s="65"/>
    </row>
    <row r="851" spans="1:13" s="17" customFormat="1">
      <c r="A851" s="56"/>
      <c r="M851" s="65"/>
    </row>
    <row r="852" spans="1:13" s="17" customFormat="1">
      <c r="A852" s="56"/>
      <c r="M852" s="65"/>
    </row>
    <row r="853" spans="1:13" s="17" customFormat="1">
      <c r="A853" s="56"/>
      <c r="M853" s="65"/>
    </row>
    <row r="854" spans="1:13" s="17" customFormat="1">
      <c r="A854" s="56"/>
      <c r="M854" s="65"/>
    </row>
    <row r="855" spans="1:13" s="17" customFormat="1">
      <c r="A855" s="56"/>
      <c r="M855" s="65"/>
    </row>
    <row r="856" spans="1:13" s="17" customFormat="1">
      <c r="A856" s="56"/>
      <c r="M856" s="65"/>
    </row>
    <row r="857" spans="1:13" s="17" customFormat="1">
      <c r="A857" s="56"/>
      <c r="M857" s="65"/>
    </row>
    <row r="858" spans="1:13" s="17" customFormat="1">
      <c r="A858" s="56"/>
      <c r="M858" s="65"/>
    </row>
    <row r="859" spans="1:13" s="17" customFormat="1">
      <c r="A859" s="56"/>
      <c r="M859" s="65"/>
    </row>
    <row r="860" spans="1:13" s="17" customFormat="1">
      <c r="A860" s="56"/>
      <c r="M860" s="65"/>
    </row>
    <row r="861" spans="1:13" s="17" customFormat="1">
      <c r="A861" s="56"/>
      <c r="M861" s="65"/>
    </row>
    <row r="862" spans="1:13" s="17" customFormat="1">
      <c r="A862" s="56"/>
      <c r="M862" s="65"/>
    </row>
    <row r="863" spans="1:13" s="17" customFormat="1">
      <c r="A863" s="56"/>
      <c r="M863" s="65"/>
    </row>
    <row r="864" spans="1:13" s="17" customFormat="1">
      <c r="A864" s="56"/>
      <c r="M864" s="65"/>
    </row>
    <row r="865" spans="1:13" s="17" customFormat="1">
      <c r="A865" s="56"/>
      <c r="M865" s="65"/>
    </row>
    <row r="866" spans="1:13" s="17" customFormat="1">
      <c r="A866" s="56"/>
      <c r="M866" s="65"/>
    </row>
    <row r="867" spans="1:13" s="17" customFormat="1">
      <c r="A867" s="56"/>
      <c r="M867" s="65"/>
    </row>
    <row r="868" spans="1:13" s="17" customFormat="1">
      <c r="A868" s="56"/>
      <c r="M868" s="65"/>
    </row>
    <row r="869" spans="1:13" s="17" customFormat="1">
      <c r="A869" s="56"/>
      <c r="M869" s="65"/>
    </row>
    <row r="870" spans="1:13" s="17" customFormat="1">
      <c r="A870" s="56"/>
      <c r="M870" s="65"/>
    </row>
    <row r="871" spans="1:13" s="17" customFormat="1">
      <c r="A871" s="56"/>
      <c r="M871" s="65"/>
    </row>
    <row r="872" spans="1:13" s="17" customFormat="1">
      <c r="A872" s="56"/>
      <c r="M872" s="65"/>
    </row>
    <row r="873" spans="1:13" s="17" customFormat="1">
      <c r="A873" s="56"/>
      <c r="M873" s="65"/>
    </row>
    <row r="874" spans="1:13" s="17" customFormat="1">
      <c r="A874" s="56"/>
      <c r="M874" s="65"/>
    </row>
    <row r="875" spans="1:13" s="17" customFormat="1">
      <c r="A875" s="56"/>
      <c r="M875" s="65"/>
    </row>
    <row r="876" spans="1:13" s="17" customFormat="1">
      <c r="A876" s="56"/>
      <c r="M876" s="65"/>
    </row>
    <row r="877" spans="1:13" s="17" customFormat="1">
      <c r="A877" s="56"/>
      <c r="M877" s="65"/>
    </row>
    <row r="878" spans="1:13" s="17" customFormat="1">
      <c r="A878" s="56"/>
      <c r="M878" s="65"/>
    </row>
    <row r="879" spans="1:13" s="17" customFormat="1">
      <c r="A879" s="56"/>
      <c r="M879" s="65"/>
    </row>
    <row r="880" spans="1:13" s="17" customFormat="1">
      <c r="A880" s="56"/>
      <c r="M880" s="65"/>
    </row>
    <row r="881" spans="1:13" s="17" customFormat="1">
      <c r="A881" s="56"/>
      <c r="M881" s="65"/>
    </row>
    <row r="882" spans="1:13" s="17" customFormat="1">
      <c r="A882" s="56"/>
      <c r="M882" s="65"/>
    </row>
    <row r="883" spans="1:13" s="17" customFormat="1">
      <c r="A883" s="56"/>
      <c r="M883" s="65"/>
    </row>
    <row r="884" spans="1:13" s="17" customFormat="1">
      <c r="A884" s="56"/>
      <c r="M884" s="65"/>
    </row>
    <row r="885" spans="1:13" s="17" customFormat="1">
      <c r="A885" s="56"/>
      <c r="M885" s="65"/>
    </row>
    <row r="886" spans="1:13" s="17" customFormat="1">
      <c r="A886" s="56"/>
      <c r="M886" s="65"/>
    </row>
    <row r="887" spans="1:13" s="17" customFormat="1">
      <c r="A887" s="56"/>
      <c r="M887" s="65"/>
    </row>
    <row r="888" spans="1:13" s="17" customFormat="1">
      <c r="A888" s="56"/>
      <c r="M888" s="65"/>
    </row>
    <row r="889" spans="1:13" s="17" customFormat="1">
      <c r="A889" s="56"/>
      <c r="M889" s="65"/>
    </row>
    <row r="890" spans="1:13" s="17" customFormat="1">
      <c r="A890" s="56"/>
      <c r="M890" s="65"/>
    </row>
    <row r="891" spans="1:13" s="17" customFormat="1">
      <c r="A891" s="56"/>
      <c r="M891" s="65"/>
    </row>
    <row r="892" spans="1:13" s="17" customFormat="1">
      <c r="A892" s="56"/>
      <c r="M892" s="65"/>
    </row>
    <row r="893" spans="1:13" s="17" customFormat="1">
      <c r="A893" s="56"/>
      <c r="M893" s="65"/>
    </row>
    <row r="894" spans="1:13" s="17" customFormat="1">
      <c r="A894" s="56"/>
      <c r="M894" s="65"/>
    </row>
    <row r="895" spans="1:13" s="17" customFormat="1">
      <c r="A895" s="56"/>
      <c r="M895" s="65"/>
    </row>
    <row r="896" spans="1:13" s="17" customFormat="1">
      <c r="A896" s="56"/>
      <c r="M896" s="65"/>
    </row>
    <row r="897" spans="1:13" s="17" customFormat="1">
      <c r="A897" s="56"/>
      <c r="M897" s="65"/>
    </row>
    <row r="898" spans="1:13" s="17" customFormat="1">
      <c r="A898" s="56"/>
      <c r="M898" s="65"/>
    </row>
    <row r="899" spans="1:13" s="17" customFormat="1">
      <c r="A899" s="56"/>
      <c r="M899" s="65"/>
    </row>
    <row r="900" spans="1:13" s="17" customFormat="1">
      <c r="A900" s="56"/>
      <c r="M900" s="65"/>
    </row>
    <row r="901" spans="1:13" s="17" customFormat="1">
      <c r="A901" s="56"/>
      <c r="M901" s="65"/>
    </row>
    <row r="902" spans="1:13" s="17" customFormat="1">
      <c r="A902" s="56"/>
      <c r="M902" s="65"/>
    </row>
    <row r="903" spans="1:13" s="17" customFormat="1">
      <c r="A903" s="56"/>
      <c r="M903" s="65"/>
    </row>
    <row r="904" spans="1:13" s="17" customFormat="1">
      <c r="A904" s="56"/>
      <c r="M904" s="65"/>
    </row>
    <row r="905" spans="1:13" s="17" customFormat="1">
      <c r="A905" s="56"/>
      <c r="M905" s="65"/>
    </row>
    <row r="906" spans="1:13" s="17" customFormat="1">
      <c r="A906" s="56"/>
      <c r="M906" s="65"/>
    </row>
    <row r="907" spans="1:13" s="17" customFormat="1">
      <c r="A907" s="56"/>
      <c r="M907" s="65"/>
    </row>
    <row r="908" spans="1:13" s="17" customFormat="1">
      <c r="A908" s="56"/>
      <c r="M908" s="65"/>
    </row>
    <row r="909" spans="1:13" s="17" customFormat="1">
      <c r="A909" s="56"/>
      <c r="M909" s="65"/>
    </row>
    <row r="910" spans="1:13" s="17" customFormat="1">
      <c r="A910" s="56"/>
      <c r="M910" s="65"/>
    </row>
    <row r="911" spans="1:13" s="17" customFormat="1">
      <c r="A911" s="56"/>
      <c r="M911" s="65"/>
    </row>
    <row r="912" spans="1:13" s="17" customFormat="1">
      <c r="A912" s="56"/>
      <c r="M912" s="65"/>
    </row>
    <row r="913" spans="1:13" s="17" customFormat="1">
      <c r="A913" s="56"/>
      <c r="M913" s="65"/>
    </row>
    <row r="914" spans="1:13" s="17" customFormat="1">
      <c r="A914" s="56"/>
      <c r="M914" s="65"/>
    </row>
    <row r="915" spans="1:13" s="17" customFormat="1">
      <c r="A915" s="56"/>
      <c r="M915" s="65"/>
    </row>
    <row r="916" spans="1:13" s="17" customFormat="1">
      <c r="A916" s="56"/>
      <c r="M916" s="65"/>
    </row>
    <row r="917" spans="1:13" s="17" customFormat="1">
      <c r="A917" s="56"/>
      <c r="M917" s="65"/>
    </row>
    <row r="918" spans="1:13" s="17" customFormat="1">
      <c r="A918" s="56"/>
      <c r="M918" s="65"/>
    </row>
    <row r="919" spans="1:13" s="17" customFormat="1">
      <c r="A919" s="56"/>
      <c r="M919" s="65"/>
    </row>
    <row r="920" spans="1:13" s="17" customFormat="1">
      <c r="A920" s="56"/>
      <c r="M920" s="65"/>
    </row>
    <row r="921" spans="1:13" s="17" customFormat="1">
      <c r="A921" s="56"/>
      <c r="M921" s="65"/>
    </row>
    <row r="922" spans="1:13" s="17" customFormat="1">
      <c r="A922" s="56"/>
      <c r="M922" s="65"/>
    </row>
    <row r="923" spans="1:13" s="17" customFormat="1">
      <c r="A923" s="56"/>
      <c r="M923" s="65"/>
    </row>
    <row r="924" spans="1:13" s="17" customFormat="1">
      <c r="A924" s="56"/>
      <c r="M924" s="65"/>
    </row>
    <row r="925" spans="1:13" s="17" customFormat="1">
      <c r="A925" s="56"/>
      <c r="M925" s="65"/>
    </row>
    <row r="926" spans="1:13" s="17" customFormat="1">
      <c r="A926" s="56"/>
      <c r="M926" s="65"/>
    </row>
    <row r="927" spans="1:13" s="17" customFormat="1">
      <c r="A927" s="56"/>
      <c r="M927" s="65"/>
    </row>
    <row r="928" spans="1:13" s="17" customFormat="1">
      <c r="A928" s="56"/>
      <c r="M928" s="65"/>
    </row>
    <row r="929" spans="1:13" s="17" customFormat="1">
      <c r="A929" s="56"/>
      <c r="M929" s="65"/>
    </row>
    <row r="930" spans="1:13" s="17" customFormat="1">
      <c r="A930" s="56"/>
      <c r="M930" s="65"/>
    </row>
    <row r="931" spans="1:13" s="17" customFormat="1">
      <c r="A931" s="56"/>
      <c r="M931" s="65"/>
    </row>
    <row r="932" spans="1:13" s="17" customFormat="1">
      <c r="A932" s="56"/>
      <c r="M932" s="65"/>
    </row>
    <row r="933" spans="1:13" s="17" customFormat="1">
      <c r="A933" s="56"/>
      <c r="M933" s="65"/>
    </row>
    <row r="934" spans="1:13" s="17" customFormat="1">
      <c r="A934" s="56"/>
      <c r="M934" s="65"/>
    </row>
    <row r="935" spans="1:13" s="17" customFormat="1">
      <c r="A935" s="56"/>
      <c r="M935" s="65"/>
    </row>
    <row r="936" spans="1:13" s="17" customFormat="1">
      <c r="A936" s="56"/>
      <c r="M936" s="65"/>
    </row>
    <row r="937" spans="1:13" s="17" customFormat="1">
      <c r="A937" s="56"/>
      <c r="M937" s="65"/>
    </row>
    <row r="938" spans="1:13" s="17" customFormat="1">
      <c r="A938" s="56"/>
      <c r="M938" s="65"/>
    </row>
    <row r="939" spans="1:13" s="17" customFormat="1">
      <c r="A939" s="56"/>
      <c r="M939" s="65"/>
    </row>
    <row r="940" spans="1:13" s="17" customFormat="1">
      <c r="A940" s="56"/>
      <c r="M940" s="65"/>
    </row>
    <row r="941" spans="1:13" s="17" customFormat="1">
      <c r="A941" s="56"/>
      <c r="M941" s="65"/>
    </row>
    <row r="942" spans="1:13" s="17" customFormat="1">
      <c r="A942" s="56"/>
      <c r="M942" s="65"/>
    </row>
    <row r="943" spans="1:13" s="17" customFormat="1">
      <c r="A943" s="56"/>
      <c r="M943" s="65"/>
    </row>
    <row r="944" spans="1:13" s="17" customFormat="1">
      <c r="A944" s="56"/>
      <c r="M944" s="65"/>
    </row>
    <row r="945" spans="1:13" s="17" customFormat="1">
      <c r="A945" s="56"/>
      <c r="M945" s="65"/>
    </row>
    <row r="946" spans="1:13" s="17" customFormat="1">
      <c r="A946" s="56"/>
      <c r="M946" s="65"/>
    </row>
    <row r="947" spans="1:13" s="17" customFormat="1">
      <c r="A947" s="56"/>
      <c r="M947" s="65"/>
    </row>
    <row r="948" spans="1:13" s="17" customFormat="1">
      <c r="A948" s="56"/>
      <c r="M948" s="65"/>
    </row>
    <row r="949" spans="1:13" s="17" customFormat="1">
      <c r="A949" s="56"/>
      <c r="M949" s="65"/>
    </row>
    <row r="950" spans="1:13" s="17" customFormat="1">
      <c r="A950" s="56"/>
      <c r="M950" s="65"/>
    </row>
    <row r="951" spans="1:13" s="17" customFormat="1">
      <c r="A951" s="56"/>
      <c r="M951" s="65"/>
    </row>
    <row r="952" spans="1:13" s="17" customFormat="1">
      <c r="A952" s="56"/>
      <c r="M952" s="65"/>
    </row>
    <row r="953" spans="1:13" s="17" customFormat="1">
      <c r="A953" s="56"/>
      <c r="M953" s="65"/>
    </row>
    <row r="954" spans="1:13" s="17" customFormat="1">
      <c r="A954" s="56"/>
      <c r="M954" s="65"/>
    </row>
    <row r="955" spans="1:13" s="17" customFormat="1">
      <c r="A955" s="56"/>
      <c r="M955" s="65"/>
    </row>
    <row r="956" spans="1:13" s="17" customFormat="1">
      <c r="A956" s="56"/>
      <c r="M956" s="65"/>
    </row>
    <row r="957" spans="1:13" s="17" customFormat="1">
      <c r="A957" s="56"/>
      <c r="M957" s="65"/>
    </row>
    <row r="958" spans="1:13" s="17" customFormat="1">
      <c r="A958" s="56"/>
      <c r="M958" s="65"/>
    </row>
    <row r="959" spans="1:13" s="17" customFormat="1">
      <c r="A959" s="56"/>
      <c r="M959" s="65"/>
    </row>
    <row r="960" spans="1:13" s="17" customFormat="1">
      <c r="A960" s="56"/>
      <c r="M960" s="65"/>
    </row>
    <row r="961" spans="1:13" s="17" customFormat="1">
      <c r="A961" s="56"/>
      <c r="M961" s="65"/>
    </row>
    <row r="962" spans="1:13" s="17" customFormat="1">
      <c r="A962" s="56"/>
      <c r="M962" s="65"/>
    </row>
    <row r="963" spans="1:13" s="17" customFormat="1">
      <c r="A963" s="56"/>
      <c r="M963" s="65"/>
    </row>
    <row r="964" spans="1:13" s="17" customFormat="1">
      <c r="A964" s="56"/>
      <c r="M964" s="65"/>
    </row>
    <row r="965" spans="1:13" s="17" customFormat="1">
      <c r="A965" s="56"/>
      <c r="M965" s="65"/>
    </row>
    <row r="966" spans="1:13" s="17" customFormat="1">
      <c r="A966" s="56"/>
      <c r="M966" s="65"/>
    </row>
    <row r="967" spans="1:13" s="17" customFormat="1">
      <c r="A967" s="56"/>
      <c r="M967" s="65"/>
    </row>
    <row r="968" spans="1:13" s="17" customFormat="1">
      <c r="A968" s="56"/>
      <c r="M968" s="65"/>
    </row>
    <row r="969" spans="1:13" s="17" customFormat="1">
      <c r="A969" s="56"/>
      <c r="M969" s="65"/>
    </row>
    <row r="970" spans="1:13" s="17" customFormat="1">
      <c r="A970" s="56"/>
      <c r="M970" s="65"/>
    </row>
    <row r="971" spans="1:13" s="17" customFormat="1">
      <c r="A971" s="56"/>
      <c r="M971" s="65"/>
    </row>
    <row r="972" spans="1:13" s="17" customFormat="1">
      <c r="A972" s="56"/>
      <c r="M972" s="65"/>
    </row>
    <row r="973" spans="1:13" s="17" customFormat="1">
      <c r="A973" s="56"/>
      <c r="M973" s="65"/>
    </row>
    <row r="974" spans="1:13" s="17" customFormat="1">
      <c r="A974" s="56"/>
      <c r="M974" s="65"/>
    </row>
    <row r="975" spans="1:13" s="17" customFormat="1">
      <c r="A975" s="56"/>
      <c r="M975" s="65"/>
    </row>
    <row r="976" spans="1:13" s="17" customFormat="1">
      <c r="A976" s="56"/>
      <c r="M976" s="65"/>
    </row>
    <row r="977" spans="1:13" s="17" customFormat="1">
      <c r="A977" s="56"/>
      <c r="M977" s="65"/>
    </row>
    <row r="978" spans="1:13" s="17" customFormat="1">
      <c r="A978" s="56"/>
      <c r="M978" s="65"/>
    </row>
    <row r="979" spans="1:13" s="17" customFormat="1">
      <c r="A979" s="56"/>
      <c r="M979" s="65"/>
    </row>
    <row r="980" spans="1:13" s="17" customFormat="1">
      <c r="A980" s="56"/>
      <c r="M980" s="65"/>
    </row>
    <row r="981" spans="1:13" s="17" customFormat="1">
      <c r="A981" s="56"/>
      <c r="M981" s="65"/>
    </row>
    <row r="982" spans="1:13" s="17" customFormat="1">
      <c r="A982" s="56"/>
      <c r="M982" s="65"/>
    </row>
    <row r="983" spans="1:13" s="17" customFormat="1">
      <c r="A983" s="56"/>
      <c r="M983" s="65"/>
    </row>
    <row r="984" spans="1:13" s="17" customFormat="1">
      <c r="A984" s="56"/>
      <c r="M984" s="65"/>
    </row>
    <row r="985" spans="1:13" s="17" customFormat="1">
      <c r="A985" s="56"/>
      <c r="M985" s="65"/>
    </row>
    <row r="986" spans="1:13" s="17" customFormat="1">
      <c r="A986" s="56"/>
      <c r="M986" s="65"/>
    </row>
    <row r="987" spans="1:13" s="17" customFormat="1">
      <c r="A987" s="56"/>
      <c r="M987" s="65"/>
    </row>
    <row r="988" spans="1:13" s="17" customFormat="1">
      <c r="A988" s="56"/>
      <c r="M988" s="65"/>
    </row>
    <row r="989" spans="1:13" s="17" customFormat="1">
      <c r="A989" s="56"/>
      <c r="M989" s="65"/>
    </row>
    <row r="990" spans="1:13" s="17" customFormat="1">
      <c r="A990" s="56"/>
      <c r="M990" s="65"/>
    </row>
    <row r="991" spans="1:13" s="17" customFormat="1">
      <c r="A991" s="56"/>
      <c r="M991" s="65"/>
    </row>
    <row r="992" spans="1:13" s="17" customFormat="1">
      <c r="A992" s="56"/>
      <c r="M992" s="65"/>
    </row>
    <row r="993" spans="1:13" s="17" customFormat="1">
      <c r="A993" s="56"/>
      <c r="M993" s="65"/>
    </row>
    <row r="994" spans="1:13" s="17" customFormat="1">
      <c r="A994" s="56"/>
      <c r="M994" s="65"/>
    </row>
    <row r="995" spans="1:13" s="17" customFormat="1">
      <c r="A995" s="56"/>
      <c r="M995" s="65"/>
    </row>
    <row r="996" spans="1:13" s="17" customFormat="1">
      <c r="A996" s="56"/>
      <c r="M996" s="65"/>
    </row>
    <row r="997" spans="1:13" s="17" customFormat="1">
      <c r="A997" s="56"/>
      <c r="M997" s="65"/>
    </row>
    <row r="998" spans="1:13" s="17" customFormat="1">
      <c r="A998" s="56"/>
      <c r="M998" s="65"/>
    </row>
    <row r="999" spans="1:13" s="17" customFormat="1">
      <c r="A999" s="56"/>
      <c r="M999" s="65"/>
    </row>
    <row r="1000" spans="1:13" s="17" customFormat="1">
      <c r="A1000" s="56"/>
      <c r="M1000" s="65"/>
    </row>
    <row r="1001" spans="1:13" s="17" customFormat="1">
      <c r="A1001" s="56"/>
      <c r="M1001" s="65"/>
    </row>
    <row r="1002" spans="1:13" s="17" customFormat="1">
      <c r="A1002" s="56"/>
      <c r="M1002" s="65"/>
    </row>
    <row r="1003" spans="1:13" s="17" customFormat="1">
      <c r="A1003" s="56"/>
      <c r="M1003" s="65"/>
    </row>
    <row r="1004" spans="1:13" s="17" customFormat="1">
      <c r="A1004" s="56"/>
      <c r="M1004" s="65"/>
    </row>
    <row r="1005" spans="1:13" s="17" customFormat="1">
      <c r="A1005" s="56"/>
      <c r="M1005" s="65"/>
    </row>
    <row r="1006" spans="1:13" s="17" customFormat="1">
      <c r="A1006" s="56"/>
      <c r="M1006" s="65"/>
    </row>
    <row r="1007" spans="1:13" s="17" customFormat="1">
      <c r="A1007" s="56"/>
      <c r="M1007" s="65"/>
    </row>
    <row r="1008" spans="1:13" s="17" customFormat="1">
      <c r="A1008" s="56"/>
      <c r="M1008" s="65"/>
    </row>
    <row r="1009" spans="1:13" s="17" customFormat="1">
      <c r="A1009" s="56"/>
      <c r="M1009" s="65"/>
    </row>
    <row r="1010" spans="1:13" s="17" customFormat="1">
      <c r="A1010" s="56"/>
      <c r="M1010" s="65"/>
    </row>
    <row r="1011" spans="1:13" s="17" customFormat="1">
      <c r="A1011" s="56"/>
      <c r="M1011" s="65"/>
    </row>
    <row r="1012" spans="1:13" s="17" customFormat="1">
      <c r="A1012" s="56"/>
      <c r="M1012" s="65"/>
    </row>
    <row r="1013" spans="1:13" s="17" customFormat="1">
      <c r="A1013" s="56"/>
      <c r="M1013" s="65"/>
    </row>
    <row r="1014" spans="1:13" s="17" customFormat="1">
      <c r="A1014" s="56"/>
      <c r="M1014" s="65"/>
    </row>
    <row r="1015" spans="1:13" s="17" customFormat="1">
      <c r="A1015" s="56"/>
      <c r="M1015" s="65"/>
    </row>
    <row r="1016" spans="1:13" s="17" customFormat="1">
      <c r="A1016" s="56"/>
      <c r="M1016" s="65"/>
    </row>
    <row r="1017" spans="1:13" s="17" customFormat="1">
      <c r="A1017" s="56"/>
      <c r="M1017" s="65"/>
    </row>
    <row r="1018" spans="1:13" s="17" customFormat="1">
      <c r="A1018" s="56"/>
      <c r="M1018" s="65"/>
    </row>
    <row r="1019" spans="1:13" s="17" customFormat="1">
      <c r="A1019" s="56"/>
      <c r="M1019" s="65"/>
    </row>
    <row r="1020" spans="1:13" s="17" customFormat="1">
      <c r="A1020" s="56"/>
      <c r="M1020" s="65"/>
    </row>
    <row r="1021" spans="1:13" s="17" customFormat="1">
      <c r="A1021" s="56"/>
      <c r="M1021" s="65"/>
    </row>
    <row r="1022" spans="1:13" s="17" customFormat="1">
      <c r="A1022" s="56"/>
      <c r="M1022" s="65"/>
    </row>
    <row r="1023" spans="1:13" s="17" customFormat="1">
      <c r="A1023" s="56"/>
      <c r="M1023" s="65"/>
    </row>
    <row r="1024" spans="1:13" s="17" customFormat="1">
      <c r="A1024" s="56"/>
      <c r="M1024" s="65"/>
    </row>
    <row r="1025" spans="1:13" s="17" customFormat="1">
      <c r="A1025" s="56"/>
      <c r="M1025" s="65"/>
    </row>
    <row r="1026" spans="1:13" s="17" customFormat="1">
      <c r="A1026" s="56"/>
      <c r="M1026" s="65"/>
    </row>
    <row r="1027" spans="1:13" s="17" customFormat="1">
      <c r="A1027" s="56"/>
      <c r="M1027" s="65"/>
    </row>
    <row r="1028" spans="1:13" s="17" customFormat="1">
      <c r="A1028" s="56"/>
      <c r="M1028" s="65"/>
    </row>
    <row r="1029" spans="1:13" s="17" customFormat="1">
      <c r="A1029" s="56"/>
      <c r="M1029" s="65"/>
    </row>
    <row r="1030" spans="1:13" s="17" customFormat="1">
      <c r="A1030" s="56"/>
      <c r="M1030" s="65"/>
    </row>
    <row r="1031" spans="1:13" s="17" customFormat="1">
      <c r="A1031" s="56"/>
      <c r="M1031" s="65"/>
    </row>
    <row r="1032" spans="1:13" s="17" customFormat="1">
      <c r="A1032" s="56"/>
      <c r="M1032" s="65"/>
    </row>
    <row r="1033" spans="1:13" s="17" customFormat="1">
      <c r="A1033" s="56"/>
      <c r="M1033" s="65"/>
    </row>
    <row r="1034" spans="1:13" s="17" customFormat="1">
      <c r="A1034" s="56"/>
      <c r="M1034" s="65"/>
    </row>
    <row r="1035" spans="1:13" s="17" customFormat="1">
      <c r="A1035" s="56"/>
      <c r="M1035" s="65"/>
    </row>
    <row r="1036" spans="1:13" s="17" customFormat="1">
      <c r="A1036" s="56"/>
      <c r="M1036" s="65"/>
    </row>
    <row r="1037" spans="1:13" s="17" customFormat="1">
      <c r="A1037" s="56"/>
      <c r="M1037" s="65"/>
    </row>
    <row r="1038" spans="1:13" s="17" customFormat="1">
      <c r="A1038" s="56"/>
      <c r="M1038" s="65"/>
    </row>
    <row r="1039" spans="1:13" s="17" customFormat="1">
      <c r="A1039" s="56"/>
      <c r="M1039" s="65"/>
    </row>
    <row r="1040" spans="1:13" s="17" customFormat="1">
      <c r="A1040" s="56"/>
      <c r="M1040" s="65"/>
    </row>
    <row r="1041" spans="1:13" s="17" customFormat="1">
      <c r="A1041" s="56"/>
      <c r="M1041" s="65"/>
    </row>
    <row r="1042" spans="1:13" s="17" customFormat="1">
      <c r="A1042" s="56"/>
      <c r="M1042" s="65"/>
    </row>
    <row r="1043" spans="1:13" s="17" customFormat="1">
      <c r="A1043" s="56"/>
      <c r="M1043" s="65"/>
    </row>
    <row r="1044" spans="1:13" s="17" customFormat="1">
      <c r="A1044" s="56"/>
      <c r="M1044" s="65"/>
    </row>
    <row r="1045" spans="1:13" s="17" customFormat="1">
      <c r="A1045" s="56"/>
      <c r="M1045" s="65"/>
    </row>
    <row r="1046" spans="1:13" s="17" customFormat="1">
      <c r="A1046" s="56"/>
      <c r="M1046" s="65"/>
    </row>
    <row r="1047" spans="1:13" s="17" customFormat="1">
      <c r="A1047" s="56"/>
      <c r="M1047" s="65"/>
    </row>
    <row r="1048" spans="1:13" s="17" customFormat="1">
      <c r="A1048" s="56"/>
      <c r="M1048" s="65"/>
    </row>
    <row r="1049" spans="1:13" s="17" customFormat="1">
      <c r="A1049" s="56"/>
      <c r="M1049" s="65"/>
    </row>
    <row r="1050" spans="1:13" s="17" customFormat="1">
      <c r="A1050" s="56"/>
      <c r="M1050" s="65"/>
    </row>
    <row r="1051" spans="1:13" s="17" customFormat="1">
      <c r="A1051" s="56"/>
      <c r="M1051" s="65"/>
    </row>
    <row r="1052" spans="1:13" s="17" customFormat="1">
      <c r="A1052" s="56"/>
      <c r="M1052" s="65"/>
    </row>
    <row r="1053" spans="1:13" s="17" customFormat="1">
      <c r="A1053" s="56"/>
      <c r="M1053" s="65"/>
    </row>
    <row r="1054" spans="1:13" s="17" customFormat="1">
      <c r="A1054" s="56"/>
      <c r="M1054" s="65"/>
    </row>
    <row r="1055" spans="1:13" s="17" customFormat="1">
      <c r="A1055" s="56"/>
      <c r="M1055" s="65"/>
    </row>
    <row r="1056" spans="1:13" s="17" customFormat="1">
      <c r="A1056" s="56"/>
      <c r="M1056" s="65"/>
    </row>
    <row r="1057" spans="1:13" s="17" customFormat="1">
      <c r="A1057" s="56"/>
      <c r="M1057" s="65"/>
    </row>
    <row r="1058" spans="1:13" s="17" customFormat="1">
      <c r="A1058" s="56"/>
      <c r="M1058" s="65"/>
    </row>
    <row r="1059" spans="1:13" s="17" customFormat="1">
      <c r="A1059" s="56"/>
      <c r="M1059" s="65"/>
    </row>
    <row r="1060" spans="1:13" s="17" customFormat="1">
      <c r="A1060" s="56"/>
      <c r="M1060" s="65"/>
    </row>
    <row r="1061" spans="1:13" s="17" customFormat="1">
      <c r="A1061" s="56"/>
      <c r="M1061" s="65"/>
    </row>
    <row r="1062" spans="1:13" s="17" customFormat="1">
      <c r="A1062" s="56"/>
      <c r="M1062" s="65"/>
    </row>
    <row r="1063" spans="1:13" s="17" customFormat="1">
      <c r="A1063" s="56"/>
      <c r="M1063" s="65"/>
    </row>
    <row r="1064" spans="1:13" s="17" customFormat="1">
      <c r="A1064" s="56"/>
      <c r="M1064" s="65"/>
    </row>
    <row r="1065" spans="1:13" s="17" customFormat="1">
      <c r="A1065" s="56"/>
      <c r="M1065" s="65"/>
    </row>
    <row r="1066" spans="1:13" s="17" customFormat="1">
      <c r="A1066" s="56"/>
      <c r="M1066" s="65"/>
    </row>
    <row r="1067" spans="1:13" s="17" customFormat="1">
      <c r="A1067" s="56"/>
      <c r="M1067" s="65"/>
    </row>
    <row r="1068" spans="1:13" s="17" customFormat="1">
      <c r="A1068" s="56"/>
      <c r="M1068" s="65"/>
    </row>
    <row r="1069" spans="1:13" s="17" customFormat="1">
      <c r="A1069" s="56"/>
      <c r="M1069" s="65"/>
    </row>
    <row r="1070" spans="1:13" s="17" customFormat="1">
      <c r="A1070" s="56"/>
      <c r="M1070" s="65"/>
    </row>
    <row r="1071" spans="1:13" s="17" customFormat="1">
      <c r="A1071" s="56"/>
      <c r="M1071" s="65"/>
    </row>
    <row r="1072" spans="1:13" s="17" customFormat="1">
      <c r="A1072" s="56"/>
      <c r="M1072" s="65"/>
    </row>
    <row r="1073" spans="1:13" s="17" customFormat="1">
      <c r="A1073" s="56"/>
      <c r="M1073" s="65"/>
    </row>
    <row r="1074" spans="1:13" s="17" customFormat="1">
      <c r="A1074" s="56"/>
      <c r="M1074" s="65"/>
    </row>
    <row r="1075" spans="1:13" s="17" customFormat="1">
      <c r="A1075" s="56"/>
      <c r="M1075" s="65"/>
    </row>
    <row r="1076" spans="1:13" s="17" customFormat="1">
      <c r="A1076" s="56"/>
      <c r="M1076" s="65"/>
    </row>
    <row r="1077" spans="1:13" s="17" customFormat="1">
      <c r="A1077" s="56"/>
      <c r="M1077" s="65"/>
    </row>
    <row r="1078" spans="1:13" s="17" customFormat="1">
      <c r="A1078" s="56"/>
      <c r="M1078" s="65"/>
    </row>
    <row r="1079" spans="1:13" s="17" customFormat="1">
      <c r="A1079" s="56"/>
      <c r="M1079" s="65"/>
    </row>
    <row r="1080" spans="1:13" s="17" customFormat="1">
      <c r="A1080" s="56"/>
      <c r="M1080" s="65"/>
    </row>
    <row r="1081" spans="1:13" s="17" customFormat="1">
      <c r="A1081" s="56"/>
      <c r="M1081" s="65"/>
    </row>
    <row r="1082" spans="1:13" s="17" customFormat="1">
      <c r="A1082" s="56"/>
      <c r="M1082" s="65"/>
    </row>
    <row r="1083" spans="1:13" s="17" customFormat="1">
      <c r="A1083" s="56"/>
      <c r="M1083" s="65"/>
    </row>
    <row r="1084" spans="1:13" s="17" customFormat="1">
      <c r="A1084" s="56"/>
      <c r="M1084" s="65"/>
    </row>
    <row r="1085" spans="1:13" s="17" customFormat="1">
      <c r="A1085" s="56"/>
      <c r="M1085" s="65"/>
    </row>
    <row r="1086" spans="1:13" s="17" customFormat="1">
      <c r="A1086" s="56"/>
      <c r="M1086" s="65"/>
    </row>
    <row r="1087" spans="1:13" s="17" customFormat="1">
      <c r="A1087" s="56"/>
      <c r="M1087" s="65"/>
    </row>
    <row r="1088" spans="1:13" s="17" customFormat="1">
      <c r="A1088" s="56"/>
      <c r="M1088" s="65"/>
    </row>
    <row r="1089" spans="1:13" s="17" customFormat="1">
      <c r="A1089" s="56"/>
      <c r="M1089" s="65"/>
    </row>
    <row r="1090" spans="1:13" s="17" customFormat="1">
      <c r="A1090" s="56"/>
      <c r="M1090" s="65"/>
    </row>
    <row r="1091" spans="1:13" s="17" customFormat="1">
      <c r="A1091" s="56"/>
      <c r="M1091" s="65"/>
    </row>
    <row r="1092" spans="1:13" s="17" customFormat="1">
      <c r="A1092" s="56"/>
      <c r="M1092" s="65"/>
    </row>
    <row r="1093" spans="1:13" s="17" customFormat="1">
      <c r="A1093" s="56"/>
      <c r="M1093" s="65"/>
    </row>
    <row r="1094" spans="1:13" s="17" customFormat="1">
      <c r="A1094" s="56"/>
      <c r="M1094" s="65"/>
    </row>
    <row r="1095" spans="1:13" s="17" customFormat="1">
      <c r="A1095" s="56"/>
      <c r="M1095" s="65"/>
    </row>
    <row r="1096" spans="1:13" s="17" customFormat="1">
      <c r="A1096" s="56"/>
      <c r="M1096" s="65"/>
    </row>
    <row r="1097" spans="1:13" s="17" customFormat="1">
      <c r="A1097" s="56"/>
      <c r="M1097" s="65"/>
    </row>
    <row r="1098" spans="1:13" s="17" customFormat="1">
      <c r="A1098" s="56"/>
      <c r="M1098" s="65"/>
    </row>
    <row r="1099" spans="1:13" s="17" customFormat="1">
      <c r="A1099" s="56"/>
      <c r="M1099" s="65"/>
    </row>
    <row r="1100" spans="1:13" s="17" customFormat="1">
      <c r="A1100" s="56"/>
      <c r="M1100" s="65"/>
    </row>
    <row r="1101" spans="1:13" s="17" customFormat="1">
      <c r="A1101" s="56"/>
      <c r="M1101" s="65"/>
    </row>
    <row r="1102" spans="1:13" s="17" customFormat="1">
      <c r="A1102" s="56"/>
      <c r="M1102" s="65"/>
    </row>
    <row r="1103" spans="1:13" s="17" customFormat="1">
      <c r="A1103" s="56"/>
      <c r="M1103" s="65"/>
    </row>
    <row r="1104" spans="1:13" s="17" customFormat="1">
      <c r="A1104" s="56"/>
      <c r="M1104" s="65"/>
    </row>
    <row r="1105" spans="1:13" s="17" customFormat="1">
      <c r="A1105" s="56"/>
      <c r="M1105" s="65"/>
    </row>
    <row r="1106" spans="1:13" s="17" customFormat="1">
      <c r="A1106" s="56"/>
      <c r="M1106" s="65"/>
    </row>
    <row r="1107" spans="1:13" s="17" customFormat="1">
      <c r="A1107" s="56"/>
      <c r="M1107" s="65"/>
    </row>
    <row r="1108" spans="1:13" s="17" customFormat="1">
      <c r="A1108" s="56"/>
      <c r="M1108" s="65"/>
    </row>
    <row r="1109" spans="1:13" s="17" customFormat="1">
      <c r="A1109" s="56"/>
      <c r="M1109" s="65"/>
    </row>
    <row r="1110" spans="1:13" s="17" customFormat="1">
      <c r="A1110" s="56"/>
      <c r="M1110" s="65"/>
    </row>
    <row r="1111" spans="1:13" s="17" customFormat="1">
      <c r="A1111" s="56"/>
      <c r="M1111" s="65"/>
    </row>
    <row r="1112" spans="1:13" s="17" customFormat="1">
      <c r="A1112" s="56"/>
      <c r="M1112" s="65"/>
    </row>
    <row r="1113" spans="1:13" s="17" customFormat="1">
      <c r="A1113" s="56"/>
      <c r="M1113" s="65"/>
    </row>
    <row r="1114" spans="1:13" s="17" customFormat="1">
      <c r="A1114" s="56"/>
      <c r="M1114" s="65"/>
    </row>
    <row r="1115" spans="1:13" s="17" customFormat="1">
      <c r="A1115" s="56"/>
      <c r="M1115" s="65"/>
    </row>
    <row r="1116" spans="1:13" s="17" customFormat="1">
      <c r="A1116" s="56"/>
      <c r="M1116" s="65"/>
    </row>
    <row r="1117" spans="1:13" s="17" customFormat="1">
      <c r="A1117" s="56"/>
      <c r="M1117" s="65"/>
    </row>
    <row r="1118" spans="1:13" s="17" customFormat="1">
      <c r="A1118" s="56"/>
      <c r="M1118" s="65"/>
    </row>
    <row r="1119" spans="1:13" s="17" customFormat="1">
      <c r="A1119" s="56"/>
      <c r="M1119" s="65"/>
    </row>
    <row r="1120" spans="1:13" s="17" customFormat="1">
      <c r="A1120" s="56"/>
      <c r="M1120" s="65"/>
    </row>
    <row r="1121" spans="1:13" s="17" customFormat="1">
      <c r="A1121" s="56"/>
      <c r="M1121" s="65"/>
    </row>
    <row r="1122" spans="1:13" s="17" customFormat="1">
      <c r="A1122" s="56"/>
      <c r="M1122" s="65"/>
    </row>
    <row r="1123" spans="1:13" s="17" customFormat="1">
      <c r="A1123" s="56"/>
      <c r="M1123" s="65"/>
    </row>
    <row r="1124" spans="1:13" s="17" customFormat="1">
      <c r="A1124" s="56"/>
      <c r="M1124" s="65"/>
    </row>
    <row r="1125" spans="1:13" s="17" customFormat="1">
      <c r="A1125" s="56"/>
      <c r="M1125" s="65"/>
    </row>
    <row r="1126" spans="1:13" s="17" customFormat="1">
      <c r="A1126" s="56"/>
      <c r="M1126" s="65"/>
    </row>
    <row r="1127" spans="1:13" s="17" customFormat="1">
      <c r="A1127" s="56"/>
      <c r="M1127" s="65"/>
    </row>
    <row r="1128" spans="1:13" s="17" customFormat="1">
      <c r="A1128" s="56"/>
      <c r="M1128" s="65"/>
    </row>
    <row r="1129" spans="1:13" s="17" customFormat="1">
      <c r="A1129" s="56"/>
      <c r="M1129" s="65"/>
    </row>
    <row r="1130" spans="1:13" s="17" customFormat="1">
      <c r="A1130" s="56"/>
      <c r="M1130" s="65"/>
    </row>
    <row r="1131" spans="1:13" s="17" customFormat="1">
      <c r="A1131" s="56"/>
      <c r="M1131" s="65"/>
    </row>
    <row r="1132" spans="1:13" s="17" customFormat="1">
      <c r="A1132" s="56"/>
      <c r="M1132" s="65"/>
    </row>
    <row r="1133" spans="1:13" s="17" customFormat="1">
      <c r="A1133" s="56"/>
      <c r="M1133" s="65"/>
    </row>
    <row r="1134" spans="1:13" s="17" customFormat="1">
      <c r="A1134" s="56"/>
      <c r="M1134" s="65"/>
    </row>
    <row r="1135" spans="1:13" s="17" customFormat="1">
      <c r="A1135" s="56"/>
      <c r="M1135" s="65"/>
    </row>
    <row r="1136" spans="1:13" s="17" customFormat="1">
      <c r="A1136" s="56"/>
      <c r="M1136" s="65"/>
    </row>
    <row r="1137" spans="1:13" s="17" customFormat="1">
      <c r="A1137" s="56"/>
      <c r="M1137" s="65"/>
    </row>
    <row r="1138" spans="1:13" s="17" customFormat="1">
      <c r="A1138" s="56"/>
      <c r="M1138" s="65"/>
    </row>
    <row r="1139" spans="1:13" s="17" customFormat="1">
      <c r="A1139" s="56"/>
      <c r="M1139" s="65"/>
    </row>
    <row r="1140" spans="1:13" s="17" customFormat="1">
      <c r="A1140" s="56"/>
      <c r="M1140" s="65"/>
    </row>
    <row r="1141" spans="1:13" s="17" customFormat="1">
      <c r="A1141" s="56"/>
      <c r="M1141" s="65"/>
    </row>
    <row r="1142" spans="1:13" s="17" customFormat="1">
      <c r="A1142" s="56"/>
      <c r="M1142" s="65"/>
    </row>
    <row r="1143" spans="1:13" s="17" customFormat="1">
      <c r="A1143" s="56"/>
      <c r="M1143" s="65"/>
    </row>
    <row r="1144" spans="1:13" s="17" customFormat="1">
      <c r="A1144" s="56"/>
      <c r="M1144" s="65"/>
    </row>
    <row r="1145" spans="1:13" s="17" customFormat="1">
      <c r="A1145" s="56"/>
      <c r="M1145" s="65"/>
    </row>
    <row r="1146" spans="1:13" s="17" customFormat="1">
      <c r="A1146" s="56"/>
      <c r="M1146" s="65"/>
    </row>
    <row r="1147" spans="1:13" s="17" customFormat="1">
      <c r="A1147" s="56"/>
      <c r="M1147" s="65"/>
    </row>
    <row r="1148" spans="1:13" s="17" customFormat="1">
      <c r="A1148" s="56"/>
      <c r="M1148" s="65"/>
    </row>
    <row r="1149" spans="1:13" s="17" customFormat="1">
      <c r="A1149" s="56"/>
      <c r="M1149" s="65"/>
    </row>
    <row r="1150" spans="1:13" s="17" customFormat="1">
      <c r="A1150" s="56"/>
      <c r="M1150" s="65"/>
    </row>
    <row r="1151" spans="1:13" s="17" customFormat="1">
      <c r="A1151" s="56"/>
      <c r="M1151" s="65"/>
    </row>
    <row r="1152" spans="1:13" s="17" customFormat="1">
      <c r="A1152" s="56"/>
      <c r="M1152" s="65"/>
    </row>
    <row r="1153" spans="1:13" s="17" customFormat="1">
      <c r="A1153" s="56"/>
      <c r="M1153" s="65"/>
    </row>
    <row r="1154" spans="1:13" s="17" customFormat="1">
      <c r="A1154" s="56"/>
      <c r="M1154" s="65"/>
    </row>
    <row r="1155" spans="1:13" s="17" customFormat="1">
      <c r="A1155" s="56"/>
      <c r="M1155" s="65"/>
    </row>
    <row r="1156" spans="1:13" s="17" customFormat="1">
      <c r="A1156" s="56"/>
      <c r="M1156" s="65"/>
    </row>
    <row r="1157" spans="1:13" s="17" customFormat="1">
      <c r="A1157" s="56"/>
      <c r="M1157" s="65"/>
    </row>
    <row r="1158" spans="1:13" s="17" customFormat="1">
      <c r="A1158" s="56"/>
      <c r="M1158" s="65"/>
    </row>
    <row r="1159" spans="1:13" s="17" customFormat="1">
      <c r="A1159" s="56"/>
      <c r="M1159" s="65"/>
    </row>
    <row r="1160" spans="1:13" s="17" customFormat="1">
      <c r="A1160" s="56"/>
      <c r="M1160" s="65"/>
    </row>
    <row r="1161" spans="1:13" s="17" customFormat="1">
      <c r="A1161" s="56"/>
      <c r="M1161" s="65"/>
    </row>
    <row r="1162" spans="1:13" s="17" customFormat="1">
      <c r="A1162" s="56"/>
      <c r="M1162" s="65"/>
    </row>
    <row r="1163" spans="1:13" s="17" customFormat="1">
      <c r="A1163" s="56"/>
      <c r="M1163" s="65"/>
    </row>
    <row r="1164" spans="1:13" s="17" customFormat="1">
      <c r="A1164" s="56"/>
      <c r="M1164" s="65"/>
    </row>
    <row r="1165" spans="1:13" s="17" customFormat="1">
      <c r="A1165" s="56"/>
      <c r="M1165" s="65"/>
    </row>
    <row r="1166" spans="1:13" s="17" customFormat="1">
      <c r="A1166" s="56"/>
      <c r="M1166" s="65"/>
    </row>
    <row r="1167" spans="1:13" s="17" customFormat="1">
      <c r="A1167" s="56"/>
      <c r="M1167" s="65"/>
    </row>
    <row r="1168" spans="1:13" s="17" customFormat="1">
      <c r="A1168" s="56"/>
      <c r="M1168" s="65"/>
    </row>
    <row r="1169" spans="1:13" s="17" customFormat="1">
      <c r="A1169" s="56"/>
      <c r="M1169" s="65"/>
    </row>
    <row r="1170" spans="1:13" s="17" customFormat="1">
      <c r="A1170" s="56"/>
      <c r="M1170" s="65"/>
    </row>
    <row r="1171" spans="1:13" s="17" customFormat="1">
      <c r="A1171" s="56"/>
      <c r="M1171" s="65"/>
    </row>
    <row r="1172" spans="1:13" s="17" customFormat="1">
      <c r="A1172" s="56"/>
      <c r="M1172" s="65"/>
    </row>
    <row r="1173" spans="1:13" s="17" customFormat="1">
      <c r="A1173" s="56"/>
      <c r="M1173" s="65"/>
    </row>
    <row r="1174" spans="1:13" s="17" customFormat="1">
      <c r="A1174" s="56"/>
      <c r="M1174" s="65"/>
    </row>
    <row r="1175" spans="1:13" s="17" customFormat="1">
      <c r="A1175" s="56"/>
      <c r="M1175" s="65"/>
    </row>
    <row r="1176" spans="1:13" s="17" customFormat="1">
      <c r="A1176" s="56"/>
      <c r="M1176" s="65"/>
    </row>
    <row r="1177" spans="1:13" s="17" customFormat="1">
      <c r="A1177" s="56"/>
      <c r="M1177" s="65"/>
    </row>
    <row r="1178" spans="1:13" s="17" customFormat="1">
      <c r="A1178" s="56"/>
      <c r="M1178" s="65"/>
    </row>
    <row r="1179" spans="1:13" s="17" customFormat="1">
      <c r="A1179" s="56"/>
      <c r="M1179" s="65"/>
    </row>
    <row r="1180" spans="1:13" s="17" customFormat="1">
      <c r="A1180" s="56"/>
      <c r="M1180" s="65"/>
    </row>
    <row r="1181" spans="1:13" s="17" customFormat="1">
      <c r="A1181" s="56"/>
      <c r="M1181" s="65"/>
    </row>
    <row r="1182" spans="1:13" s="17" customFormat="1">
      <c r="A1182" s="56"/>
      <c r="M1182" s="65"/>
    </row>
    <row r="1183" spans="1:13" s="17" customFormat="1">
      <c r="A1183" s="56"/>
      <c r="M1183" s="65"/>
    </row>
    <row r="1184" spans="1:13" s="17" customFormat="1">
      <c r="A1184" s="56"/>
      <c r="M1184" s="65"/>
    </row>
    <row r="1185" spans="1:13" s="17" customFormat="1">
      <c r="A1185" s="56"/>
      <c r="M1185" s="65"/>
    </row>
    <row r="1186" spans="1:13" s="17" customFormat="1">
      <c r="A1186" s="56"/>
      <c r="M1186" s="65"/>
    </row>
    <row r="1187" spans="1:13" s="17" customFormat="1">
      <c r="A1187" s="56"/>
      <c r="M1187" s="65"/>
    </row>
    <row r="1188" spans="1:13" s="17" customFormat="1">
      <c r="A1188" s="56"/>
      <c r="M1188" s="65"/>
    </row>
    <row r="1189" spans="1:13" s="17" customFormat="1">
      <c r="A1189" s="56"/>
      <c r="M1189" s="65"/>
    </row>
    <row r="1190" spans="1:13" s="17" customFormat="1">
      <c r="A1190" s="56"/>
      <c r="M1190" s="65"/>
    </row>
    <row r="1191" spans="1:13" s="17" customFormat="1">
      <c r="A1191" s="56"/>
      <c r="M1191" s="65"/>
    </row>
    <row r="1192" spans="1:13" s="17" customFormat="1">
      <c r="A1192" s="56"/>
      <c r="M1192" s="65"/>
    </row>
    <row r="1193" spans="1:13" s="17" customFormat="1">
      <c r="A1193" s="56"/>
      <c r="M1193" s="65"/>
    </row>
    <row r="1194" spans="1:13" s="17" customFormat="1">
      <c r="A1194" s="56"/>
      <c r="M1194" s="65"/>
    </row>
    <row r="1195" spans="1:13" s="17" customFormat="1">
      <c r="A1195" s="56"/>
      <c r="M1195" s="65"/>
    </row>
    <row r="1196" spans="1:13" s="17" customFormat="1">
      <c r="A1196" s="56"/>
      <c r="M1196" s="65"/>
    </row>
    <row r="1197" spans="1:13" s="17" customFormat="1">
      <c r="A1197" s="56"/>
      <c r="M1197" s="65"/>
    </row>
    <row r="1198" spans="1:13" s="17" customFormat="1">
      <c r="A1198" s="56"/>
      <c r="M1198" s="65"/>
    </row>
    <row r="1199" spans="1:13" s="17" customFormat="1">
      <c r="A1199" s="56"/>
      <c r="M1199" s="65"/>
    </row>
    <row r="1200" spans="1:13" s="17" customFormat="1">
      <c r="A1200" s="56"/>
      <c r="M1200" s="65"/>
    </row>
    <row r="1201" spans="1:13" s="17" customFormat="1">
      <c r="A1201" s="56"/>
      <c r="M1201" s="65"/>
    </row>
    <row r="1202" spans="1:13" s="17" customFormat="1">
      <c r="A1202" s="56"/>
      <c r="M1202" s="65"/>
    </row>
    <row r="1203" spans="1:13" s="17" customFormat="1">
      <c r="A1203" s="56"/>
      <c r="M1203" s="65"/>
    </row>
    <row r="1204" spans="1:13" s="17" customFormat="1">
      <c r="A1204" s="56"/>
      <c r="M1204" s="65"/>
    </row>
    <row r="1205" spans="1:13" s="17" customFormat="1">
      <c r="A1205" s="56"/>
      <c r="M1205" s="65"/>
    </row>
    <row r="1206" spans="1:13" s="17" customFormat="1">
      <c r="A1206" s="56"/>
      <c r="M1206" s="65"/>
    </row>
    <row r="1207" spans="1:13" s="17" customFormat="1">
      <c r="A1207" s="56"/>
      <c r="M1207" s="65"/>
    </row>
    <row r="1208" spans="1:13" s="17" customFormat="1">
      <c r="A1208" s="56"/>
      <c r="M1208" s="65"/>
    </row>
    <row r="1209" spans="1:13" s="17" customFormat="1">
      <c r="A1209" s="56"/>
      <c r="M1209" s="65"/>
    </row>
    <row r="1210" spans="1:13" s="17" customFormat="1">
      <c r="A1210" s="56"/>
      <c r="M1210" s="65"/>
    </row>
    <row r="1211" spans="1:13" s="17" customFormat="1">
      <c r="A1211" s="56"/>
      <c r="M1211" s="65"/>
    </row>
    <row r="1212" spans="1:13" s="17" customFormat="1">
      <c r="A1212" s="56"/>
      <c r="M1212" s="65"/>
    </row>
    <row r="1213" spans="1:13" s="17" customFormat="1">
      <c r="A1213" s="56"/>
      <c r="M1213" s="65"/>
    </row>
    <row r="1214" spans="1:13" s="17" customFormat="1">
      <c r="A1214" s="56"/>
      <c r="M1214" s="65"/>
    </row>
    <row r="1215" spans="1:13" s="17" customFormat="1">
      <c r="A1215" s="56"/>
      <c r="M1215" s="65"/>
    </row>
    <row r="1216" spans="1:13" s="17" customFormat="1">
      <c r="A1216" s="56"/>
      <c r="M1216" s="65"/>
    </row>
    <row r="1217" spans="1:13" s="17" customFormat="1">
      <c r="A1217" s="56"/>
      <c r="M1217" s="65"/>
    </row>
    <row r="1218" spans="1:13" s="17" customFormat="1">
      <c r="A1218" s="56"/>
      <c r="M1218" s="65"/>
    </row>
    <row r="1219" spans="1:13" s="17" customFormat="1">
      <c r="A1219" s="56"/>
      <c r="M1219" s="65"/>
    </row>
    <row r="1220" spans="1:13" s="17" customFormat="1">
      <c r="A1220" s="56"/>
      <c r="M1220" s="65"/>
    </row>
    <row r="1221" spans="1:13" s="17" customFormat="1">
      <c r="A1221" s="56"/>
      <c r="M1221" s="65"/>
    </row>
    <row r="1222" spans="1:13" s="17" customFormat="1">
      <c r="A1222" s="56"/>
      <c r="M1222" s="65"/>
    </row>
    <row r="1223" spans="1:13" s="17" customFormat="1">
      <c r="A1223" s="56"/>
      <c r="M1223" s="65"/>
    </row>
    <row r="1224" spans="1:13" s="17" customFormat="1">
      <c r="A1224" s="56"/>
      <c r="M1224" s="65"/>
    </row>
    <row r="1225" spans="1:13" s="17" customFormat="1">
      <c r="A1225" s="56"/>
      <c r="M1225" s="65"/>
    </row>
    <row r="1226" spans="1:13" s="17" customFormat="1">
      <c r="A1226" s="56"/>
      <c r="M1226" s="65"/>
    </row>
    <row r="1227" spans="1:13" s="17" customFormat="1">
      <c r="A1227" s="56"/>
      <c r="M1227" s="65"/>
    </row>
    <row r="1228" spans="1:13" s="17" customFormat="1">
      <c r="A1228" s="56"/>
      <c r="M1228" s="65"/>
    </row>
    <row r="1229" spans="1:13" s="17" customFormat="1">
      <c r="A1229" s="56"/>
      <c r="M1229" s="65"/>
    </row>
    <row r="1230" spans="1:13" s="17" customFormat="1">
      <c r="A1230" s="56"/>
      <c r="M1230" s="65"/>
    </row>
    <row r="1231" spans="1:13" s="17" customFormat="1">
      <c r="A1231" s="56"/>
      <c r="M1231" s="65"/>
    </row>
    <row r="1232" spans="1:13" s="17" customFormat="1">
      <c r="A1232" s="56"/>
      <c r="M1232" s="65"/>
    </row>
    <row r="1233" spans="1:13" s="17" customFormat="1">
      <c r="A1233" s="56"/>
      <c r="M1233" s="65"/>
    </row>
    <row r="1234" spans="1:13" s="17" customFormat="1">
      <c r="A1234" s="56"/>
      <c r="M1234" s="65"/>
    </row>
    <row r="1235" spans="1:13" s="17" customFormat="1">
      <c r="A1235" s="56"/>
      <c r="M1235" s="65"/>
    </row>
    <row r="1236" spans="1:13" s="17" customFormat="1">
      <c r="A1236" s="56"/>
      <c r="M1236" s="65"/>
    </row>
    <row r="1237" spans="1:13" s="17" customFormat="1">
      <c r="A1237" s="56"/>
      <c r="M1237" s="65"/>
    </row>
    <row r="1238" spans="1:13" s="17" customFormat="1">
      <c r="A1238" s="56"/>
      <c r="M1238" s="65"/>
    </row>
    <row r="1239" spans="1:13" s="17" customFormat="1">
      <c r="A1239" s="56"/>
      <c r="M1239" s="65"/>
    </row>
    <row r="1240" spans="1:13" s="17" customFormat="1">
      <c r="A1240" s="56"/>
      <c r="M1240" s="65"/>
    </row>
    <row r="1241" spans="1:13" s="17" customFormat="1">
      <c r="A1241" s="56"/>
      <c r="M1241" s="65"/>
    </row>
    <row r="1242" spans="1:13" s="17" customFormat="1">
      <c r="A1242" s="56"/>
      <c r="M1242" s="65"/>
    </row>
    <row r="1243" spans="1:13" s="17" customFormat="1">
      <c r="A1243" s="56"/>
      <c r="M1243" s="65"/>
    </row>
    <row r="1244" spans="1:13" s="17" customFormat="1">
      <c r="A1244" s="56"/>
      <c r="M1244" s="65"/>
    </row>
    <row r="1245" spans="1:13" s="17" customFormat="1">
      <c r="A1245" s="56"/>
      <c r="M1245" s="65"/>
    </row>
    <row r="1246" spans="1:13" s="17" customFormat="1">
      <c r="A1246" s="56"/>
      <c r="M1246" s="65"/>
    </row>
    <row r="1247" spans="1:13" s="17" customFormat="1">
      <c r="A1247" s="56"/>
      <c r="M1247" s="65"/>
    </row>
    <row r="1248" spans="1:13" s="17" customFormat="1">
      <c r="A1248" s="56"/>
      <c r="M1248" s="65"/>
    </row>
    <row r="1249" spans="1:13" s="17" customFormat="1">
      <c r="A1249" s="56"/>
      <c r="M1249" s="65"/>
    </row>
    <row r="1250" spans="1:13" s="17" customFormat="1">
      <c r="A1250" s="56"/>
      <c r="M1250" s="65"/>
    </row>
    <row r="1251" spans="1:13" s="17" customFormat="1">
      <c r="A1251" s="56"/>
      <c r="M1251" s="65"/>
    </row>
    <row r="1252" spans="1:13" s="17" customFormat="1">
      <c r="A1252" s="56"/>
      <c r="M1252" s="65"/>
    </row>
    <row r="1253" spans="1:13" s="17" customFormat="1">
      <c r="A1253" s="56"/>
      <c r="M1253" s="65"/>
    </row>
    <row r="1254" spans="1:13" s="17" customFormat="1">
      <c r="A1254" s="56"/>
      <c r="M1254" s="65"/>
    </row>
    <row r="1255" spans="1:13" s="17" customFormat="1">
      <c r="A1255" s="56"/>
      <c r="M1255" s="65"/>
    </row>
    <row r="1256" spans="1:13" s="17" customFormat="1">
      <c r="A1256" s="56"/>
      <c r="M1256" s="65"/>
    </row>
    <row r="1257" spans="1:13" s="17" customFormat="1">
      <c r="A1257" s="56"/>
      <c r="M1257" s="65"/>
    </row>
    <row r="1258" spans="1:13" s="17" customFormat="1">
      <c r="A1258" s="56"/>
      <c r="M1258" s="65"/>
    </row>
    <row r="1259" spans="1:13" s="17" customFormat="1">
      <c r="A1259" s="56"/>
      <c r="M1259" s="65"/>
    </row>
    <row r="1260" spans="1:13" s="17" customFormat="1">
      <c r="A1260" s="56"/>
      <c r="M1260" s="65"/>
    </row>
    <row r="1261" spans="1:13" s="17" customFormat="1">
      <c r="A1261" s="56"/>
      <c r="M1261" s="65"/>
    </row>
    <row r="1262" spans="1:13" s="17" customFormat="1">
      <c r="A1262" s="56"/>
      <c r="M1262" s="65"/>
    </row>
    <row r="1263" spans="1:13" s="17" customFormat="1">
      <c r="A1263" s="56"/>
      <c r="M1263" s="65"/>
    </row>
    <row r="1264" spans="1:13" s="17" customFormat="1">
      <c r="A1264" s="56"/>
      <c r="M1264" s="65"/>
    </row>
    <row r="1265" spans="1:13" s="17" customFormat="1">
      <c r="A1265" s="56"/>
      <c r="M1265" s="65"/>
    </row>
    <row r="1266" spans="1:13" s="17" customFormat="1">
      <c r="A1266" s="56"/>
      <c r="M1266" s="65"/>
    </row>
    <row r="1267" spans="1:13" s="17" customFormat="1">
      <c r="A1267" s="56"/>
      <c r="M1267" s="65"/>
    </row>
    <row r="1268" spans="1:13" s="17" customFormat="1">
      <c r="A1268" s="56"/>
      <c r="M1268" s="65"/>
    </row>
    <row r="1269" spans="1:13" s="17" customFormat="1">
      <c r="A1269" s="56"/>
      <c r="M1269" s="65"/>
    </row>
    <row r="1270" spans="1:13" s="17" customFormat="1">
      <c r="A1270" s="56"/>
      <c r="M1270" s="65"/>
    </row>
    <row r="1271" spans="1:13" s="17" customFormat="1">
      <c r="A1271" s="56"/>
      <c r="M1271" s="65"/>
    </row>
    <row r="1272" spans="1:13" s="17" customFormat="1">
      <c r="A1272" s="56"/>
      <c r="M1272" s="65"/>
    </row>
    <row r="1273" spans="1:13" s="17" customFormat="1">
      <c r="A1273" s="56"/>
      <c r="M1273" s="65"/>
    </row>
    <row r="1274" spans="1:13" s="17" customFormat="1">
      <c r="A1274" s="56"/>
      <c r="M1274" s="65"/>
    </row>
    <row r="1275" spans="1:13" s="17" customFormat="1">
      <c r="A1275" s="56"/>
      <c r="M1275" s="65"/>
    </row>
    <row r="1276" spans="1:13" s="17" customFormat="1">
      <c r="A1276" s="56"/>
      <c r="M1276" s="65"/>
    </row>
    <row r="1277" spans="1:13" s="17" customFormat="1">
      <c r="A1277" s="56"/>
      <c r="M1277" s="65"/>
    </row>
    <row r="1278" spans="1:13" s="17" customFormat="1">
      <c r="A1278" s="56"/>
      <c r="M1278" s="65"/>
    </row>
    <row r="1279" spans="1:13" s="17" customFormat="1">
      <c r="A1279" s="56"/>
      <c r="M1279" s="65"/>
    </row>
    <row r="1280" spans="1:13" s="17" customFormat="1">
      <c r="A1280" s="56"/>
      <c r="M1280" s="65"/>
    </row>
    <row r="1281" spans="1:13" s="17" customFormat="1">
      <c r="A1281" s="56"/>
      <c r="M1281" s="65"/>
    </row>
    <row r="1282" spans="1:13" s="17" customFormat="1">
      <c r="A1282" s="56"/>
      <c r="M1282" s="65"/>
    </row>
    <row r="1283" spans="1:13" s="17" customFormat="1">
      <c r="A1283" s="56"/>
      <c r="M1283" s="65"/>
    </row>
    <row r="1284" spans="1:13" s="17" customFormat="1">
      <c r="A1284" s="56"/>
      <c r="M1284" s="65"/>
    </row>
    <row r="1285" spans="1:13" s="17" customFormat="1">
      <c r="A1285" s="56"/>
      <c r="M1285" s="65"/>
    </row>
    <row r="1286" spans="1:13" s="17" customFormat="1">
      <c r="A1286" s="56"/>
      <c r="M1286" s="65"/>
    </row>
    <row r="1287" spans="1:13" s="17" customFormat="1">
      <c r="A1287" s="56"/>
      <c r="M1287" s="65"/>
    </row>
    <row r="1288" spans="1:13" s="17" customFormat="1">
      <c r="A1288" s="56"/>
      <c r="M1288" s="65"/>
    </row>
    <row r="1289" spans="1:13" s="17" customFormat="1">
      <c r="A1289" s="56"/>
      <c r="M1289" s="65"/>
    </row>
    <row r="1290" spans="1:13" s="17" customFormat="1">
      <c r="A1290" s="56"/>
      <c r="M1290" s="65"/>
    </row>
    <row r="1291" spans="1:13" s="17" customFormat="1">
      <c r="A1291" s="56"/>
      <c r="M1291" s="65"/>
    </row>
    <row r="1292" spans="1:13" s="17" customFormat="1">
      <c r="A1292" s="56"/>
      <c r="M1292" s="65"/>
    </row>
    <row r="1293" spans="1:13" s="17" customFormat="1">
      <c r="A1293" s="56"/>
      <c r="M1293" s="65"/>
    </row>
    <row r="1294" spans="1:13" s="17" customFormat="1">
      <c r="A1294" s="56"/>
      <c r="M1294" s="65"/>
    </row>
    <row r="1295" spans="1:13" s="17" customFormat="1">
      <c r="A1295" s="56"/>
      <c r="M1295" s="65"/>
    </row>
    <row r="1296" spans="1:13" s="17" customFormat="1">
      <c r="A1296" s="56"/>
      <c r="M1296" s="65"/>
    </row>
    <row r="1297" spans="1:13" s="17" customFormat="1">
      <c r="A1297" s="56"/>
      <c r="M1297" s="65"/>
    </row>
    <row r="1298" spans="1:13" s="17" customFormat="1">
      <c r="A1298" s="56"/>
      <c r="M1298" s="65"/>
    </row>
    <row r="1299" spans="1:13" s="17" customFormat="1">
      <c r="A1299" s="56"/>
      <c r="M1299" s="65"/>
    </row>
    <row r="1300" spans="1:13" s="17" customFormat="1">
      <c r="A1300" s="56"/>
      <c r="M1300" s="65"/>
    </row>
    <row r="1301" spans="1:13" s="17" customFormat="1">
      <c r="A1301" s="56"/>
      <c r="M1301" s="65"/>
    </row>
    <row r="1302" spans="1:13" s="17" customFormat="1">
      <c r="A1302" s="56"/>
      <c r="M1302" s="65"/>
    </row>
    <row r="1303" spans="1:13" s="17" customFormat="1">
      <c r="A1303" s="56"/>
      <c r="M1303" s="65"/>
    </row>
    <row r="1304" spans="1:13" s="17" customFormat="1">
      <c r="A1304" s="56"/>
      <c r="M1304" s="65"/>
    </row>
    <row r="1305" spans="1:13" s="17" customFormat="1">
      <c r="A1305" s="56"/>
      <c r="M1305" s="65"/>
    </row>
    <row r="1306" spans="1:13" s="17" customFormat="1">
      <c r="A1306" s="56"/>
      <c r="M1306" s="65"/>
    </row>
    <row r="1307" spans="1:13" s="17" customFormat="1">
      <c r="A1307" s="56"/>
      <c r="M1307" s="65"/>
    </row>
    <row r="1308" spans="1:13" s="17" customFormat="1">
      <c r="A1308" s="56"/>
      <c r="M1308" s="65"/>
    </row>
    <row r="1309" spans="1:13" s="17" customFormat="1">
      <c r="A1309" s="56"/>
      <c r="M1309" s="65"/>
    </row>
    <row r="1310" spans="1:13" s="17" customFormat="1">
      <c r="A1310" s="56"/>
      <c r="M1310" s="65"/>
    </row>
    <row r="1311" spans="1:13" s="17" customFormat="1">
      <c r="A1311" s="56"/>
      <c r="M1311" s="65"/>
    </row>
    <row r="1312" spans="1:13" s="17" customFormat="1">
      <c r="A1312" s="56"/>
      <c r="M1312" s="65"/>
    </row>
    <row r="1313" spans="1:13" s="17" customFormat="1">
      <c r="A1313" s="56"/>
      <c r="M1313" s="65"/>
    </row>
    <row r="1314" spans="1:13" s="17" customFormat="1">
      <c r="A1314" s="56"/>
      <c r="M1314" s="65"/>
    </row>
    <row r="1315" spans="1:13" s="17" customFormat="1">
      <c r="A1315" s="56"/>
      <c r="M1315" s="65"/>
    </row>
    <row r="1316" spans="1:13" s="17" customFormat="1">
      <c r="A1316" s="56"/>
      <c r="M1316" s="65"/>
    </row>
    <row r="1317" spans="1:13" s="17" customFormat="1">
      <c r="A1317" s="56"/>
      <c r="M1317" s="65"/>
    </row>
    <row r="1318" spans="1:13" s="17" customFormat="1">
      <c r="A1318" s="56"/>
      <c r="M1318" s="65"/>
    </row>
    <row r="1319" spans="1:13" s="17" customFormat="1">
      <c r="A1319" s="56"/>
      <c r="M1319" s="65"/>
    </row>
    <row r="1320" spans="1:13" s="17" customFormat="1">
      <c r="A1320" s="56"/>
      <c r="M1320" s="65"/>
    </row>
    <row r="1321" spans="1:13" s="17" customFormat="1">
      <c r="A1321" s="56"/>
      <c r="M1321" s="65"/>
    </row>
    <row r="1322" spans="1:13" s="17" customFormat="1">
      <c r="A1322" s="56"/>
      <c r="M1322" s="65"/>
    </row>
    <row r="1323" spans="1:13" s="17" customFormat="1">
      <c r="A1323" s="56"/>
      <c r="M1323" s="65"/>
    </row>
    <row r="1324" spans="1:13" s="17" customFormat="1">
      <c r="A1324" s="56"/>
      <c r="M1324" s="65"/>
    </row>
    <row r="1325" spans="1:13" s="17" customFormat="1">
      <c r="A1325" s="56"/>
      <c r="M1325" s="65"/>
    </row>
    <row r="1326" spans="1:13" s="17" customFormat="1">
      <c r="A1326" s="56"/>
      <c r="M1326" s="65"/>
    </row>
    <row r="1327" spans="1:13" s="17" customFormat="1">
      <c r="A1327" s="56"/>
      <c r="M1327" s="65"/>
    </row>
    <row r="1328" spans="1:13" s="17" customFormat="1">
      <c r="A1328" s="56"/>
      <c r="M1328" s="65"/>
    </row>
    <row r="1329" spans="1:13" s="17" customFormat="1">
      <c r="A1329" s="56"/>
      <c r="M1329" s="65"/>
    </row>
    <row r="1330" spans="1:13" s="17" customFormat="1">
      <c r="A1330" s="56"/>
      <c r="M1330" s="65"/>
    </row>
    <row r="1331" spans="1:13" s="17" customFormat="1">
      <c r="A1331" s="56"/>
      <c r="M1331" s="65"/>
    </row>
    <row r="1332" spans="1:13" s="17" customFormat="1">
      <c r="A1332" s="56"/>
      <c r="M1332" s="65"/>
    </row>
    <row r="1333" spans="1:13" s="17" customFormat="1">
      <c r="A1333" s="56"/>
      <c r="M1333" s="65"/>
    </row>
    <row r="1334" spans="1:13" s="17" customFormat="1">
      <c r="A1334" s="56"/>
      <c r="M1334" s="65"/>
    </row>
    <row r="1335" spans="1:13" s="17" customFormat="1">
      <c r="A1335" s="56"/>
      <c r="M1335" s="65"/>
    </row>
    <row r="1336" spans="1:13" s="17" customFormat="1">
      <c r="A1336" s="56"/>
      <c r="M1336" s="65"/>
    </row>
    <row r="1337" spans="1:13" s="17" customFormat="1">
      <c r="A1337" s="56"/>
      <c r="M1337" s="65"/>
    </row>
    <row r="1338" spans="1:13" s="17" customFormat="1">
      <c r="A1338" s="56"/>
      <c r="M1338" s="65"/>
    </row>
    <row r="1339" spans="1:13" s="17" customFormat="1">
      <c r="A1339" s="56"/>
      <c r="M1339" s="65"/>
    </row>
    <row r="1340" spans="1:13" s="17" customFormat="1">
      <c r="A1340" s="56"/>
      <c r="M1340" s="65"/>
    </row>
    <row r="1341" spans="1:13" s="17" customFormat="1">
      <c r="A1341" s="56"/>
      <c r="M1341" s="65"/>
    </row>
    <row r="1342" spans="1:13" s="17" customFormat="1">
      <c r="A1342" s="56"/>
      <c r="M1342" s="65"/>
    </row>
    <row r="1343" spans="1:13" s="17" customFormat="1">
      <c r="A1343" s="56"/>
      <c r="M1343" s="65"/>
    </row>
    <row r="1344" spans="1:13" s="17" customFormat="1">
      <c r="A1344" s="56"/>
      <c r="M1344" s="65"/>
    </row>
    <row r="1345" spans="1:13" s="17" customFormat="1">
      <c r="A1345" s="56"/>
      <c r="M1345" s="65"/>
    </row>
    <row r="1346" spans="1:13" s="17" customFormat="1">
      <c r="A1346" s="56"/>
      <c r="M1346" s="65"/>
    </row>
    <row r="1347" spans="1:13" s="17" customFormat="1">
      <c r="A1347" s="56"/>
      <c r="M1347" s="65"/>
    </row>
    <row r="1348" spans="1:13" s="17" customFormat="1">
      <c r="A1348" s="56"/>
      <c r="M1348" s="65"/>
    </row>
    <row r="1349" spans="1:13" s="17" customFormat="1">
      <c r="A1349" s="56"/>
      <c r="M1349" s="65"/>
    </row>
    <row r="1350" spans="1:13" s="17" customFormat="1">
      <c r="A1350" s="56"/>
      <c r="M1350" s="65"/>
    </row>
    <row r="1351" spans="1:13" s="17" customFormat="1">
      <c r="A1351" s="56"/>
      <c r="M1351" s="65"/>
    </row>
    <row r="1352" spans="1:13" s="17" customFormat="1">
      <c r="A1352" s="56"/>
      <c r="M1352" s="65"/>
    </row>
    <row r="1353" spans="1:13" s="17" customFormat="1">
      <c r="A1353" s="56"/>
      <c r="M1353" s="65"/>
    </row>
    <row r="1354" spans="1:13" s="17" customFormat="1">
      <c r="A1354" s="56"/>
      <c r="M1354" s="65"/>
    </row>
    <row r="1355" spans="1:13" s="17" customFormat="1">
      <c r="A1355" s="56"/>
      <c r="M1355" s="65"/>
    </row>
    <row r="1356" spans="1:13" s="17" customFormat="1">
      <c r="A1356" s="56"/>
      <c r="M1356" s="65"/>
    </row>
    <row r="1357" spans="1:13" s="17" customFormat="1">
      <c r="A1357" s="56"/>
      <c r="M1357" s="65"/>
    </row>
    <row r="1358" spans="1:13" s="17" customFormat="1">
      <c r="A1358" s="56"/>
      <c r="M1358" s="65"/>
    </row>
    <row r="1359" spans="1:13" s="17" customFormat="1">
      <c r="A1359" s="56"/>
      <c r="M1359" s="65"/>
    </row>
    <row r="1360" spans="1:13" s="17" customFormat="1">
      <c r="A1360" s="56"/>
      <c r="M1360" s="65"/>
    </row>
    <row r="1361" spans="1:13" s="17" customFormat="1">
      <c r="A1361" s="56"/>
      <c r="M1361" s="65"/>
    </row>
    <row r="1362" spans="1:13" s="17" customFormat="1">
      <c r="A1362" s="56"/>
      <c r="M1362" s="65"/>
    </row>
    <row r="1363" spans="1:13" s="17" customFormat="1">
      <c r="A1363" s="56"/>
      <c r="M1363" s="65"/>
    </row>
    <row r="1364" spans="1:13" s="17" customFormat="1">
      <c r="A1364" s="56"/>
      <c r="M1364" s="65"/>
    </row>
    <row r="1365" spans="1:13" s="17" customFormat="1">
      <c r="A1365" s="56"/>
      <c r="M1365" s="65"/>
    </row>
    <row r="1366" spans="1:13" s="17" customFormat="1">
      <c r="A1366" s="56"/>
      <c r="M1366" s="65"/>
    </row>
    <row r="1367" spans="1:13" s="17" customFormat="1">
      <c r="A1367" s="56"/>
      <c r="M1367" s="65"/>
    </row>
    <row r="1368" spans="1:13" s="17" customFormat="1">
      <c r="A1368" s="56"/>
      <c r="M1368" s="65"/>
    </row>
    <row r="1369" spans="1:13" s="17" customFormat="1">
      <c r="A1369" s="56"/>
      <c r="M1369" s="65"/>
    </row>
    <row r="1370" spans="1:13" s="17" customFormat="1">
      <c r="A1370" s="56"/>
      <c r="M1370" s="65"/>
    </row>
    <row r="1371" spans="1:13" s="17" customFormat="1">
      <c r="A1371" s="56"/>
      <c r="M1371" s="65"/>
    </row>
    <row r="1372" spans="1:13" s="17" customFormat="1">
      <c r="A1372" s="56"/>
      <c r="M1372" s="65"/>
    </row>
    <row r="1373" spans="1:13" s="17" customFormat="1">
      <c r="A1373" s="56"/>
      <c r="M1373" s="65"/>
    </row>
    <row r="1374" spans="1:13" s="17" customFormat="1">
      <c r="A1374" s="56"/>
      <c r="M1374" s="65"/>
    </row>
    <row r="1375" spans="1:13" s="17" customFormat="1">
      <c r="A1375" s="56"/>
      <c r="M1375" s="65"/>
    </row>
    <row r="1376" spans="1:13" s="17" customFormat="1">
      <c r="A1376" s="56"/>
      <c r="M1376" s="65"/>
    </row>
    <row r="1377" spans="1:13" s="17" customFormat="1">
      <c r="A1377" s="56"/>
      <c r="M1377" s="65"/>
    </row>
    <row r="1378" spans="1:13" s="17" customFormat="1">
      <c r="A1378" s="56"/>
      <c r="M1378" s="65"/>
    </row>
    <row r="1379" spans="1:13" s="17" customFormat="1">
      <c r="A1379" s="56"/>
      <c r="M1379" s="65"/>
    </row>
    <row r="1380" spans="1:13" s="17" customFormat="1">
      <c r="A1380" s="56"/>
      <c r="M1380" s="65"/>
    </row>
    <row r="1381" spans="1:13" s="17" customFormat="1">
      <c r="A1381" s="56"/>
      <c r="M1381" s="65"/>
    </row>
    <row r="1382" spans="1:13" s="17" customFormat="1">
      <c r="A1382" s="56"/>
      <c r="M1382" s="65"/>
    </row>
    <row r="1383" spans="1:13" s="17" customFormat="1">
      <c r="A1383" s="56"/>
      <c r="M1383" s="65"/>
    </row>
    <row r="1384" spans="1:13" s="17" customFormat="1">
      <c r="A1384" s="56"/>
      <c r="M1384" s="65"/>
    </row>
    <row r="1385" spans="1:13" s="17" customFormat="1">
      <c r="A1385" s="56"/>
      <c r="M1385" s="65"/>
    </row>
    <row r="1386" spans="1:13" s="17" customFormat="1">
      <c r="A1386" s="56"/>
      <c r="M1386" s="65"/>
    </row>
    <row r="1387" spans="1:13" s="17" customFormat="1">
      <c r="A1387" s="56"/>
      <c r="M1387" s="65"/>
    </row>
    <row r="1388" spans="1:13" s="17" customFormat="1">
      <c r="A1388" s="56"/>
      <c r="M1388" s="65"/>
    </row>
    <row r="1389" spans="1:13" s="17" customFormat="1">
      <c r="A1389" s="56"/>
      <c r="M1389" s="65"/>
    </row>
    <row r="1390" spans="1:13" s="17" customFormat="1">
      <c r="A1390" s="56"/>
      <c r="M1390" s="65"/>
    </row>
    <row r="1391" spans="1:13" s="17" customFormat="1">
      <c r="A1391" s="56"/>
      <c r="M1391" s="65"/>
    </row>
    <row r="1392" spans="1:13" s="17" customFormat="1">
      <c r="A1392" s="56"/>
      <c r="M1392" s="65"/>
    </row>
    <row r="1393" spans="1:13" s="17" customFormat="1">
      <c r="A1393" s="56"/>
      <c r="M1393" s="65"/>
    </row>
    <row r="1394" spans="1:13" s="17" customFormat="1">
      <c r="A1394" s="56"/>
      <c r="M1394" s="65"/>
    </row>
    <row r="1395" spans="1:13" s="17" customFormat="1">
      <c r="A1395" s="56"/>
      <c r="M1395" s="65"/>
    </row>
    <row r="1396" spans="1:13" s="17" customFormat="1">
      <c r="A1396" s="56"/>
      <c r="M1396" s="65"/>
    </row>
    <row r="1397" spans="1:13" s="17" customFormat="1">
      <c r="A1397" s="56"/>
      <c r="M1397" s="65"/>
    </row>
    <row r="1398" spans="1:13" s="17" customFormat="1">
      <c r="A1398" s="56"/>
      <c r="M1398" s="65"/>
    </row>
    <row r="1399" spans="1:13" s="17" customFormat="1">
      <c r="A1399" s="56"/>
      <c r="M1399" s="65"/>
    </row>
    <row r="1400" spans="1:13" s="17" customFormat="1">
      <c r="A1400" s="56"/>
      <c r="M1400" s="65"/>
    </row>
    <row r="1401" spans="1:13" s="17" customFormat="1">
      <c r="A1401" s="56"/>
      <c r="M1401" s="65"/>
    </row>
    <row r="1402" spans="1:13" s="17" customFormat="1">
      <c r="A1402" s="56"/>
      <c r="M1402" s="65"/>
    </row>
    <row r="1403" spans="1:13" s="17" customFormat="1">
      <c r="A1403" s="56"/>
      <c r="M1403" s="65"/>
    </row>
    <row r="1404" spans="1:13" s="17" customFormat="1">
      <c r="A1404" s="56"/>
      <c r="M1404" s="65"/>
    </row>
    <row r="1405" spans="1:13" s="17" customFormat="1">
      <c r="A1405" s="56"/>
      <c r="M1405" s="65"/>
    </row>
    <row r="1406" spans="1:13" s="17" customFormat="1">
      <c r="A1406" s="56"/>
      <c r="M1406" s="65"/>
    </row>
    <row r="1407" spans="1:13" s="17" customFormat="1">
      <c r="A1407" s="56"/>
      <c r="M1407" s="65"/>
    </row>
    <row r="1408" spans="1:13" s="17" customFormat="1">
      <c r="A1408" s="56"/>
      <c r="M1408" s="65"/>
    </row>
    <row r="1409" spans="1:13" s="17" customFormat="1">
      <c r="A1409" s="56"/>
      <c r="M1409" s="65"/>
    </row>
    <row r="1410" spans="1:13" s="17" customFormat="1">
      <c r="A1410" s="56"/>
      <c r="M1410" s="65"/>
    </row>
    <row r="1411" spans="1:13" s="17" customFormat="1">
      <c r="A1411" s="56"/>
      <c r="M1411" s="65"/>
    </row>
    <row r="1412" spans="1:13" s="17" customFormat="1">
      <c r="A1412" s="56"/>
      <c r="M1412" s="65"/>
    </row>
    <row r="1413" spans="1:13" s="17" customFormat="1">
      <c r="A1413" s="56"/>
      <c r="M1413" s="65"/>
    </row>
    <row r="1414" spans="1:13" s="17" customFormat="1">
      <c r="A1414" s="56"/>
      <c r="M1414" s="65"/>
    </row>
    <row r="1415" spans="1:13" s="17" customFormat="1">
      <c r="A1415" s="56"/>
      <c r="M1415" s="65"/>
    </row>
    <row r="1416" spans="1:13" s="17" customFormat="1">
      <c r="A1416" s="56"/>
      <c r="M1416" s="65"/>
    </row>
    <row r="1417" spans="1:13" s="17" customFormat="1">
      <c r="A1417" s="56"/>
      <c r="M1417" s="65"/>
    </row>
    <row r="1418" spans="1:13" s="17" customFormat="1">
      <c r="A1418" s="56"/>
      <c r="M1418" s="65"/>
    </row>
    <row r="1419" spans="1:13" s="17" customFormat="1">
      <c r="A1419" s="56"/>
      <c r="M1419" s="65"/>
    </row>
    <row r="1420" spans="1:13" s="17" customFormat="1">
      <c r="A1420" s="56"/>
      <c r="M1420" s="65"/>
    </row>
    <row r="1421" spans="1:13" s="17" customFormat="1">
      <c r="A1421" s="56"/>
      <c r="M1421" s="65"/>
    </row>
    <row r="1422" spans="1:13" s="17" customFormat="1">
      <c r="A1422" s="56"/>
      <c r="M1422" s="65"/>
    </row>
    <row r="1423" spans="1:13" s="17" customFormat="1">
      <c r="A1423" s="56"/>
      <c r="M1423" s="65"/>
    </row>
    <row r="1424" spans="1:13" s="17" customFormat="1">
      <c r="A1424" s="56"/>
      <c r="M1424" s="65"/>
    </row>
    <row r="1425" spans="1:13" s="17" customFormat="1">
      <c r="A1425" s="56"/>
      <c r="M1425" s="65"/>
    </row>
    <row r="1426" spans="1:13" s="17" customFormat="1">
      <c r="A1426" s="56"/>
      <c r="M1426" s="65"/>
    </row>
    <row r="1427" spans="1:13" s="17" customFormat="1">
      <c r="A1427" s="56"/>
      <c r="M1427" s="65"/>
    </row>
    <row r="1428" spans="1:13" s="17" customFormat="1">
      <c r="A1428" s="56"/>
      <c r="M1428" s="65"/>
    </row>
    <row r="1429" spans="1:13" s="17" customFormat="1">
      <c r="A1429" s="56"/>
      <c r="M1429" s="65"/>
    </row>
    <row r="1430" spans="1:13" s="17" customFormat="1">
      <c r="A1430" s="56"/>
      <c r="M1430" s="65"/>
    </row>
    <row r="1431" spans="1:13" s="17" customFormat="1">
      <c r="A1431" s="56"/>
      <c r="M1431" s="65"/>
    </row>
    <row r="1432" spans="1:13" s="17" customFormat="1">
      <c r="A1432" s="56"/>
      <c r="M1432" s="65"/>
    </row>
    <row r="1433" spans="1:13" s="17" customFormat="1">
      <c r="A1433" s="56"/>
      <c r="M1433" s="65"/>
    </row>
    <row r="1434" spans="1:13" s="17" customFormat="1">
      <c r="A1434" s="56"/>
      <c r="M1434" s="65"/>
    </row>
    <row r="1435" spans="1:13" s="17" customFormat="1">
      <c r="A1435" s="56"/>
      <c r="M1435" s="65"/>
    </row>
    <row r="1436" spans="1:13" s="17" customFormat="1">
      <c r="A1436" s="56"/>
      <c r="M1436" s="65"/>
    </row>
    <row r="1437" spans="1:13" s="17" customFormat="1">
      <c r="A1437" s="56"/>
      <c r="M1437" s="65"/>
    </row>
    <row r="1438" spans="1:13" s="17" customFormat="1">
      <c r="A1438" s="56"/>
      <c r="M1438" s="65"/>
    </row>
    <row r="1439" spans="1:13" s="17" customFormat="1">
      <c r="A1439" s="56"/>
      <c r="M1439" s="65"/>
    </row>
    <row r="1440" spans="1:13" s="17" customFormat="1">
      <c r="A1440" s="56"/>
      <c r="M1440" s="65"/>
    </row>
    <row r="1441" spans="1:13" s="17" customFormat="1">
      <c r="A1441" s="56"/>
      <c r="M1441" s="65"/>
    </row>
    <row r="1442" spans="1:13" s="17" customFormat="1">
      <c r="A1442" s="56"/>
      <c r="M1442" s="65"/>
    </row>
    <row r="1443" spans="1:13" s="17" customFormat="1">
      <c r="A1443" s="56"/>
      <c r="M1443" s="65"/>
    </row>
    <row r="1444" spans="1:13" s="17" customFormat="1">
      <c r="A1444" s="56"/>
      <c r="M1444" s="65"/>
    </row>
    <row r="1445" spans="1:13" s="17" customFormat="1">
      <c r="A1445" s="56"/>
      <c r="M1445" s="65"/>
    </row>
    <row r="1446" spans="1:13" s="17" customFormat="1">
      <c r="A1446" s="56"/>
      <c r="M1446" s="65"/>
    </row>
    <row r="1447" spans="1:13" s="17" customFormat="1">
      <c r="A1447" s="56"/>
      <c r="M1447" s="65"/>
    </row>
    <row r="1448" spans="1:13" s="17" customFormat="1">
      <c r="A1448" s="56"/>
      <c r="M1448" s="65"/>
    </row>
    <row r="1449" spans="1:13" s="17" customFormat="1">
      <c r="A1449" s="56"/>
      <c r="M1449" s="65"/>
    </row>
    <row r="1450" spans="1:13" s="17" customFormat="1">
      <c r="A1450" s="56"/>
      <c r="M1450" s="65"/>
    </row>
    <row r="1451" spans="1:13" s="17" customFormat="1">
      <c r="A1451" s="56"/>
      <c r="M1451" s="65"/>
    </row>
    <row r="1452" spans="1:13" s="17" customFormat="1">
      <c r="A1452" s="56"/>
      <c r="M1452" s="65"/>
    </row>
    <row r="1453" spans="1:13" s="17" customFormat="1">
      <c r="A1453" s="56"/>
      <c r="M1453" s="65"/>
    </row>
    <row r="1454" spans="1:13" s="17" customFormat="1">
      <c r="A1454" s="56"/>
      <c r="M1454" s="65"/>
    </row>
    <row r="1455" spans="1:13" s="17" customFormat="1">
      <c r="A1455" s="56"/>
      <c r="M1455" s="65"/>
    </row>
    <row r="1456" spans="1:13" s="17" customFormat="1">
      <c r="A1456" s="56"/>
      <c r="M1456" s="65"/>
    </row>
    <row r="1457" spans="1:13" s="17" customFormat="1">
      <c r="A1457" s="56"/>
      <c r="M1457" s="65"/>
    </row>
    <row r="1458" spans="1:13" s="17" customFormat="1">
      <c r="A1458" s="56"/>
      <c r="M1458" s="65"/>
    </row>
    <row r="1459" spans="1:13" s="17" customFormat="1">
      <c r="A1459" s="56"/>
      <c r="M1459" s="65"/>
    </row>
    <row r="1460" spans="1:13" s="17" customFormat="1">
      <c r="A1460" s="56"/>
      <c r="M1460" s="65"/>
    </row>
    <row r="1461" spans="1:13" s="17" customFormat="1">
      <c r="A1461" s="56"/>
      <c r="M1461" s="65"/>
    </row>
    <row r="1462" spans="1:13" s="17" customFormat="1">
      <c r="A1462" s="56"/>
      <c r="M1462" s="65"/>
    </row>
    <row r="1463" spans="1:13" s="17" customFormat="1">
      <c r="A1463" s="56"/>
      <c r="M1463" s="65"/>
    </row>
    <row r="1464" spans="1:13" s="17" customFormat="1">
      <c r="A1464" s="56"/>
      <c r="M1464" s="65"/>
    </row>
    <row r="1465" spans="1:13" s="17" customFormat="1">
      <c r="A1465" s="56"/>
      <c r="M1465" s="65"/>
    </row>
    <row r="1466" spans="1:13" s="17" customFormat="1">
      <c r="A1466" s="56"/>
      <c r="M1466" s="65"/>
    </row>
    <row r="1467" spans="1:13" s="17" customFormat="1">
      <c r="A1467" s="56"/>
      <c r="M1467" s="65"/>
    </row>
    <row r="1468" spans="1:13" s="17" customFormat="1">
      <c r="A1468" s="56"/>
      <c r="M1468" s="65"/>
    </row>
    <row r="1469" spans="1:13" s="17" customFormat="1">
      <c r="A1469" s="56"/>
      <c r="M1469" s="65"/>
    </row>
    <row r="1470" spans="1:13" s="17" customFormat="1">
      <c r="A1470" s="56"/>
      <c r="M1470" s="65"/>
    </row>
    <row r="1471" spans="1:13" s="17" customFormat="1">
      <c r="A1471" s="56"/>
      <c r="M1471" s="65"/>
    </row>
    <row r="1472" spans="1:13" s="17" customFormat="1">
      <c r="A1472" s="56"/>
      <c r="M1472" s="65"/>
    </row>
    <row r="1473" spans="1:13" s="17" customFormat="1">
      <c r="A1473" s="56"/>
      <c r="M1473" s="65"/>
    </row>
    <row r="1474" spans="1:13" s="17" customFormat="1">
      <c r="A1474" s="56"/>
      <c r="M1474" s="65"/>
    </row>
    <row r="1475" spans="1:13" s="17" customFormat="1">
      <c r="A1475" s="56"/>
      <c r="M1475" s="65"/>
    </row>
    <row r="1476" spans="1:13" s="17" customFormat="1">
      <c r="A1476" s="56"/>
      <c r="M1476" s="65"/>
    </row>
    <row r="1477" spans="1:13" s="17" customFormat="1">
      <c r="A1477" s="56"/>
      <c r="M1477" s="65"/>
    </row>
    <row r="1478" spans="1:13" s="17" customFormat="1">
      <c r="A1478" s="56"/>
      <c r="M1478" s="65"/>
    </row>
    <row r="1479" spans="1:13" s="17" customFormat="1">
      <c r="A1479" s="56"/>
      <c r="M1479" s="65"/>
    </row>
    <row r="1480" spans="1:13" s="17" customFormat="1">
      <c r="A1480" s="56"/>
      <c r="M1480" s="65"/>
    </row>
    <row r="1481" spans="1:13" s="17" customFormat="1">
      <c r="A1481" s="56"/>
      <c r="M1481" s="65"/>
    </row>
    <row r="1482" spans="1:13" s="17" customFormat="1">
      <c r="A1482" s="56"/>
      <c r="M1482" s="65"/>
    </row>
    <row r="1483" spans="1:13" s="17" customFormat="1">
      <c r="A1483" s="56"/>
      <c r="M1483" s="65"/>
    </row>
    <row r="1484" spans="1:13" s="17" customFormat="1">
      <c r="A1484" s="56"/>
      <c r="M1484" s="65"/>
    </row>
    <row r="1485" spans="1:13" s="17" customFormat="1">
      <c r="A1485" s="56"/>
      <c r="M1485" s="65"/>
    </row>
    <row r="1486" spans="1:13" s="17" customFormat="1">
      <c r="A1486" s="56"/>
      <c r="M1486" s="65"/>
    </row>
    <row r="1487" spans="1:13" s="17" customFormat="1">
      <c r="A1487" s="56"/>
      <c r="M1487" s="65"/>
    </row>
    <row r="1488" spans="1:13" s="17" customFormat="1">
      <c r="A1488" s="56"/>
      <c r="M1488" s="65"/>
    </row>
    <row r="1489" spans="1:13" s="17" customFormat="1">
      <c r="A1489" s="56"/>
      <c r="M1489" s="65"/>
    </row>
    <row r="1490" spans="1:13" s="17" customFormat="1">
      <c r="A1490" s="56"/>
      <c r="M1490" s="65"/>
    </row>
    <row r="1491" spans="1:13" s="17" customFormat="1">
      <c r="A1491" s="56"/>
      <c r="M1491" s="65"/>
    </row>
    <row r="1492" spans="1:13" s="17" customFormat="1">
      <c r="A1492" s="56"/>
      <c r="M1492" s="65"/>
    </row>
    <row r="1493" spans="1:13" s="17" customFormat="1">
      <c r="A1493" s="56"/>
      <c r="M1493" s="65"/>
    </row>
    <row r="1494" spans="1:13" s="17" customFormat="1">
      <c r="A1494" s="56"/>
      <c r="M1494" s="65"/>
    </row>
    <row r="1495" spans="1:13" s="17" customFormat="1">
      <c r="A1495" s="56"/>
      <c r="M1495" s="65"/>
    </row>
    <row r="1496" spans="1:13" s="17" customFormat="1">
      <c r="A1496" s="56"/>
      <c r="M1496" s="65"/>
    </row>
    <row r="1497" spans="1:13" s="17" customFormat="1">
      <c r="A1497" s="56"/>
      <c r="M1497" s="65"/>
    </row>
    <row r="1498" spans="1:13" s="17" customFormat="1">
      <c r="A1498" s="56"/>
      <c r="M1498" s="65"/>
    </row>
    <row r="1499" spans="1:13" s="17" customFormat="1">
      <c r="A1499" s="56"/>
      <c r="M1499" s="65"/>
    </row>
    <row r="1500" spans="1:13" s="17" customFormat="1">
      <c r="A1500" s="56"/>
      <c r="M1500" s="65"/>
    </row>
    <row r="1501" spans="1:13" s="17" customFormat="1">
      <c r="A1501" s="56"/>
      <c r="M1501" s="65"/>
    </row>
    <row r="1502" spans="1:13" s="17" customFormat="1">
      <c r="A1502" s="56"/>
      <c r="M1502" s="65"/>
    </row>
    <row r="1503" spans="1:13" s="17" customFormat="1">
      <c r="A1503" s="56"/>
      <c r="M1503" s="65"/>
    </row>
    <row r="1504" spans="1:13" s="17" customFormat="1">
      <c r="A1504" s="56"/>
      <c r="M1504" s="65"/>
    </row>
    <row r="1505" spans="1:13" s="17" customFormat="1">
      <c r="A1505" s="56"/>
      <c r="M1505" s="65"/>
    </row>
    <row r="1506" spans="1:13" s="17" customFormat="1">
      <c r="A1506" s="56"/>
      <c r="M1506" s="65"/>
    </row>
    <row r="1507" spans="1:13" s="17" customFormat="1">
      <c r="A1507" s="56"/>
      <c r="M1507" s="65"/>
    </row>
    <row r="1508" spans="1:13" s="17" customFormat="1">
      <c r="A1508" s="56"/>
      <c r="M1508" s="65"/>
    </row>
    <row r="1509" spans="1:13" s="17" customFormat="1">
      <c r="A1509" s="56"/>
      <c r="M1509" s="65"/>
    </row>
    <row r="1510" spans="1:13" s="17" customFormat="1">
      <c r="A1510" s="56"/>
      <c r="M1510" s="65"/>
    </row>
    <row r="1511" spans="1:13" s="17" customFormat="1">
      <c r="A1511" s="56"/>
      <c r="M1511" s="65"/>
    </row>
    <row r="1512" spans="1:13" s="17" customFormat="1">
      <c r="A1512" s="56"/>
      <c r="M1512" s="65"/>
    </row>
    <row r="1513" spans="1:13" s="17" customFormat="1">
      <c r="A1513" s="56"/>
      <c r="M1513" s="65"/>
    </row>
    <row r="1514" spans="1:13" s="17" customFormat="1">
      <c r="A1514" s="56"/>
      <c r="M1514" s="65"/>
    </row>
    <row r="1515" spans="1:13" s="17" customFormat="1">
      <c r="A1515" s="56"/>
      <c r="M1515" s="65"/>
    </row>
    <row r="1516" spans="1:13" s="17" customFormat="1">
      <c r="A1516" s="56"/>
      <c r="M1516" s="65"/>
    </row>
    <row r="1517" spans="1:13" s="17" customFormat="1">
      <c r="A1517" s="56"/>
      <c r="M1517" s="65"/>
    </row>
    <row r="1518" spans="1:13" s="17" customFormat="1">
      <c r="A1518" s="56"/>
      <c r="M1518" s="65"/>
    </row>
    <row r="1519" spans="1:13" s="17" customFormat="1">
      <c r="A1519" s="56"/>
      <c r="M1519" s="65"/>
    </row>
    <row r="1520" spans="1:13" s="17" customFormat="1">
      <c r="A1520" s="56"/>
      <c r="M1520" s="65"/>
    </row>
    <row r="1521" spans="1:13" s="17" customFormat="1">
      <c r="A1521" s="56"/>
      <c r="M1521" s="65"/>
    </row>
    <row r="1522" spans="1:13" s="17" customFormat="1">
      <c r="A1522" s="56"/>
      <c r="M1522" s="65"/>
    </row>
    <row r="1523" spans="1:13" s="17" customFormat="1">
      <c r="A1523" s="56"/>
      <c r="M1523" s="65"/>
    </row>
    <row r="1524" spans="1:13" s="17" customFormat="1">
      <c r="A1524" s="56"/>
      <c r="M1524" s="65"/>
    </row>
    <row r="1525" spans="1:13" s="17" customFormat="1">
      <c r="A1525" s="56"/>
      <c r="M1525" s="65"/>
    </row>
    <row r="1526" spans="1:13" s="17" customFormat="1">
      <c r="A1526" s="56"/>
      <c r="M1526" s="65"/>
    </row>
    <row r="1527" spans="1:13" s="17" customFormat="1">
      <c r="A1527" s="56"/>
      <c r="M1527" s="65"/>
    </row>
    <row r="1528" spans="1:13" s="17" customFormat="1">
      <c r="A1528" s="56"/>
      <c r="M1528" s="65"/>
    </row>
    <row r="1529" spans="1:13" s="17" customFormat="1">
      <c r="A1529" s="56"/>
      <c r="M1529" s="65"/>
    </row>
    <row r="1530" spans="1:13" s="17" customFormat="1">
      <c r="A1530" s="56"/>
      <c r="M1530" s="65"/>
    </row>
    <row r="1531" spans="1:13" s="17" customFormat="1">
      <c r="A1531" s="56"/>
      <c r="M1531" s="65"/>
    </row>
    <row r="1532" spans="1:13" s="17" customFormat="1">
      <c r="A1532" s="56"/>
      <c r="M1532" s="65"/>
    </row>
    <row r="1533" spans="1:13" s="17" customFormat="1">
      <c r="A1533" s="56"/>
      <c r="M1533" s="65"/>
    </row>
    <row r="1534" spans="1:13" s="17" customFormat="1">
      <c r="A1534" s="56"/>
      <c r="M1534" s="65"/>
    </row>
    <row r="1535" spans="1:13" s="17" customFormat="1">
      <c r="A1535" s="56"/>
      <c r="M1535" s="65"/>
    </row>
    <row r="1536" spans="1:13" s="17" customFormat="1">
      <c r="A1536" s="56"/>
      <c r="M1536" s="65"/>
    </row>
    <row r="1537" spans="1:13" s="17" customFormat="1">
      <c r="A1537" s="56"/>
      <c r="M1537" s="65"/>
    </row>
    <row r="1538" spans="1:13" s="17" customFormat="1">
      <c r="A1538" s="56"/>
      <c r="M1538" s="65"/>
    </row>
    <row r="1539" spans="1:13" s="17" customFormat="1">
      <c r="A1539" s="56"/>
      <c r="M1539" s="65"/>
    </row>
    <row r="1540" spans="1:13" s="17" customFormat="1">
      <c r="A1540" s="56"/>
      <c r="M1540" s="65"/>
    </row>
    <row r="1541" spans="1:13" s="17" customFormat="1">
      <c r="A1541" s="56"/>
      <c r="M1541" s="65"/>
    </row>
    <row r="1542" spans="1:13" s="17" customFormat="1">
      <c r="A1542" s="56"/>
      <c r="M1542" s="65"/>
    </row>
    <row r="1543" spans="1:13" s="17" customFormat="1">
      <c r="A1543" s="56"/>
      <c r="M1543" s="65"/>
    </row>
    <row r="1544" spans="1:13" s="17" customFormat="1">
      <c r="A1544" s="56"/>
      <c r="M1544" s="65"/>
    </row>
    <row r="1545" spans="1:13" s="17" customFormat="1">
      <c r="A1545" s="56"/>
      <c r="M1545" s="65"/>
    </row>
    <row r="1546" spans="1:13" s="17" customFormat="1">
      <c r="A1546" s="56"/>
      <c r="M1546" s="65"/>
    </row>
    <row r="1547" spans="1:13" s="17" customFormat="1">
      <c r="A1547" s="56"/>
      <c r="M1547" s="65"/>
    </row>
    <row r="1548" spans="1:13" s="17" customFormat="1">
      <c r="A1548" s="56"/>
      <c r="M1548" s="65"/>
    </row>
    <row r="1549" spans="1:13" s="17" customFormat="1">
      <c r="A1549" s="56"/>
      <c r="M1549" s="65"/>
    </row>
    <row r="1550" spans="1:13" s="17" customFormat="1">
      <c r="A1550" s="56"/>
      <c r="M1550" s="65"/>
    </row>
    <row r="1551" spans="1:13" s="17" customFormat="1">
      <c r="A1551" s="56"/>
      <c r="M1551" s="65"/>
    </row>
    <row r="1552" spans="1:13" s="17" customFormat="1">
      <c r="A1552" s="56"/>
      <c r="M1552" s="65"/>
    </row>
    <row r="1553" spans="1:13" s="17" customFormat="1">
      <c r="A1553" s="56"/>
      <c r="M1553" s="65"/>
    </row>
    <row r="1554" spans="1:13" s="17" customFormat="1">
      <c r="A1554" s="56"/>
      <c r="M1554" s="65"/>
    </row>
    <row r="1555" spans="1:13" s="17" customFormat="1">
      <c r="A1555" s="56"/>
      <c r="M1555" s="65"/>
    </row>
    <row r="1556" spans="1:13" s="17" customFormat="1">
      <c r="A1556" s="56"/>
      <c r="M1556" s="65"/>
    </row>
    <row r="1557" spans="1:13" s="17" customFormat="1">
      <c r="A1557" s="56"/>
      <c r="M1557" s="65"/>
    </row>
    <row r="1558" spans="1:13" s="17" customFormat="1">
      <c r="A1558" s="56"/>
      <c r="M1558" s="65"/>
    </row>
    <row r="1559" spans="1:13" s="17" customFormat="1">
      <c r="A1559" s="56"/>
      <c r="M1559" s="65"/>
    </row>
    <row r="1560" spans="1:13" s="17" customFormat="1">
      <c r="A1560" s="56"/>
      <c r="M1560" s="65"/>
    </row>
    <row r="1561" spans="1:13" s="17" customFormat="1">
      <c r="A1561" s="56"/>
      <c r="M1561" s="65"/>
    </row>
    <row r="1562" spans="1:13" s="17" customFormat="1">
      <c r="A1562" s="56"/>
      <c r="M1562" s="65"/>
    </row>
    <row r="1563" spans="1:13" s="17" customFormat="1">
      <c r="A1563" s="56"/>
      <c r="M1563" s="65"/>
    </row>
    <row r="1564" spans="1:13" s="17" customFormat="1">
      <c r="A1564" s="56"/>
      <c r="M1564" s="65"/>
    </row>
    <row r="1565" spans="1:13" s="17" customFormat="1">
      <c r="A1565" s="56"/>
      <c r="M1565" s="65"/>
    </row>
    <row r="1566" spans="1:13" s="17" customFormat="1">
      <c r="A1566" s="56"/>
      <c r="M1566" s="65"/>
    </row>
    <row r="1567" spans="1:13" s="17" customFormat="1">
      <c r="A1567" s="56"/>
      <c r="M1567" s="65"/>
    </row>
    <row r="1568" spans="1:13" s="17" customFormat="1">
      <c r="A1568" s="56"/>
      <c r="M1568" s="65"/>
    </row>
    <row r="1569" spans="1:13" s="17" customFormat="1">
      <c r="A1569" s="56"/>
      <c r="M1569" s="65"/>
    </row>
    <row r="1570" spans="1:13" s="17" customFormat="1">
      <c r="A1570" s="56"/>
      <c r="M1570" s="65"/>
    </row>
    <row r="1571" spans="1:13" s="17" customFormat="1">
      <c r="A1571" s="56"/>
      <c r="M1571" s="65"/>
    </row>
    <row r="1572" spans="1:13" s="17" customFormat="1">
      <c r="A1572" s="56"/>
      <c r="M1572" s="65"/>
    </row>
    <row r="1573" spans="1:13" s="17" customFormat="1">
      <c r="A1573" s="56"/>
      <c r="M1573" s="65"/>
    </row>
    <row r="1574" spans="1:13" s="17" customFormat="1">
      <c r="A1574" s="56"/>
      <c r="M1574" s="65"/>
    </row>
    <row r="1575" spans="1:13" s="17" customFormat="1">
      <c r="A1575" s="56"/>
      <c r="M1575" s="65"/>
    </row>
    <row r="1576" spans="1:13" s="17" customFormat="1">
      <c r="A1576" s="56"/>
      <c r="M1576" s="65"/>
    </row>
    <row r="1577" spans="1:13" s="17" customFormat="1">
      <c r="A1577" s="56"/>
      <c r="M1577" s="65"/>
    </row>
    <row r="1578" spans="1:13" s="17" customFormat="1">
      <c r="A1578" s="56"/>
      <c r="M1578" s="65"/>
    </row>
    <row r="1579" spans="1:13" s="17" customFormat="1">
      <c r="A1579" s="56"/>
      <c r="M1579" s="65"/>
    </row>
    <row r="1580" spans="1:13" s="17" customFormat="1">
      <c r="A1580" s="56"/>
      <c r="M1580" s="65"/>
    </row>
    <row r="1581" spans="1:13" s="17" customFormat="1">
      <c r="A1581" s="56"/>
      <c r="M1581" s="65"/>
    </row>
    <row r="1582" spans="1:13" s="17" customFormat="1">
      <c r="A1582" s="56"/>
      <c r="M1582" s="65"/>
    </row>
    <row r="1583" spans="1:13" s="17" customFormat="1">
      <c r="A1583" s="56"/>
      <c r="M1583" s="65"/>
    </row>
    <row r="1584" spans="1:13" s="17" customFormat="1">
      <c r="A1584" s="56"/>
      <c r="M1584" s="65"/>
    </row>
    <row r="1585" spans="1:13" s="17" customFormat="1">
      <c r="A1585" s="56"/>
      <c r="M1585" s="65"/>
    </row>
    <row r="1586" spans="1:13" s="17" customFormat="1">
      <c r="A1586" s="56"/>
      <c r="M1586" s="65"/>
    </row>
    <row r="1587" spans="1:13" s="17" customFormat="1">
      <c r="A1587" s="56"/>
      <c r="M1587" s="65"/>
    </row>
    <row r="1588" spans="1:13" s="17" customFormat="1">
      <c r="A1588" s="56"/>
      <c r="M1588" s="65"/>
    </row>
    <row r="1589" spans="1:13" s="17" customFormat="1">
      <c r="A1589" s="56"/>
      <c r="M1589" s="65"/>
    </row>
  </sheetData>
  <mergeCells count="31">
    <mergeCell ref="M59:M65"/>
    <mergeCell ref="F68:K68"/>
    <mergeCell ref="F75:K75"/>
    <mergeCell ref="F161:K161"/>
    <mergeCell ref="F85:G85"/>
    <mergeCell ref="M87:M93"/>
    <mergeCell ref="F95:K95"/>
    <mergeCell ref="F105:K105"/>
    <mergeCell ref="F116:K116"/>
    <mergeCell ref="F127:K127"/>
    <mergeCell ref="E138:M138"/>
    <mergeCell ref="F140:K140"/>
    <mergeCell ref="M142:M149"/>
    <mergeCell ref="F151:K151"/>
    <mergeCell ref="M153:M159"/>
    <mergeCell ref="E174:M174"/>
    <mergeCell ref="C27:O27"/>
    <mergeCell ref="C1:O1"/>
    <mergeCell ref="C3:O3"/>
    <mergeCell ref="F5:K5"/>
    <mergeCell ref="F11:K11"/>
    <mergeCell ref="F22:K22"/>
    <mergeCell ref="M77:M83"/>
    <mergeCell ref="D29:N29"/>
    <mergeCell ref="F32:K32"/>
    <mergeCell ref="D39:N39"/>
    <mergeCell ref="E41:M41"/>
    <mergeCell ref="F43:K43"/>
    <mergeCell ref="F54:K54"/>
    <mergeCell ref="F57:K57"/>
    <mergeCell ref="M45:M52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 r:id="rId1"/>
  <headerFooter>
    <oddFooter>&amp;L&amp;P</oddFooter>
  </headerFooter>
  <rowBreaks count="3" manualBreakCount="3">
    <brk id="26" min="2" max="14" man="1"/>
    <brk id="38" min="2" max="14" man="1"/>
    <brk id="136" min="2" max="14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50"/>
  </sheetPr>
  <dimension ref="A1:R124"/>
  <sheetViews>
    <sheetView topLeftCell="A10" zoomScale="130" zoomScaleNormal="130" workbookViewId="0">
      <selection activeCell="H84" sqref="H84"/>
    </sheetView>
  </sheetViews>
  <sheetFormatPr baseColWidth="10" defaultRowHeight="14.5"/>
  <cols>
    <col min="2" max="2" width="15.1796875" customWidth="1"/>
    <col min="3" max="3" width="16" bestFit="1" customWidth="1"/>
  </cols>
  <sheetData>
    <row r="1" spans="1:13" ht="18.5">
      <c r="A1" s="340" t="s">
        <v>198</v>
      </c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</row>
    <row r="3" spans="1:13">
      <c r="C3" s="345" t="s">
        <v>67</v>
      </c>
      <c r="D3" s="346"/>
      <c r="E3" s="346"/>
      <c r="F3" s="346"/>
      <c r="G3" s="346"/>
      <c r="H3" s="347"/>
    </row>
    <row r="4" spans="1:13">
      <c r="D4" s="9"/>
      <c r="E4" s="9">
        <v>2020</v>
      </c>
      <c r="F4" s="9">
        <v>2030</v>
      </c>
      <c r="G4" s="9">
        <v>2040</v>
      </c>
      <c r="H4" s="9">
        <v>2050</v>
      </c>
    </row>
    <row r="5" spans="1:13">
      <c r="C5" s="8" t="s">
        <v>185</v>
      </c>
      <c r="D5" s="233"/>
      <c r="E5" s="236">
        <f>SUM(E6:E11)</f>
        <v>153.77348583951326</v>
      </c>
      <c r="F5" s="236">
        <f t="shared" ref="F5:H5" si="0">SUM(F6:F11)</f>
        <v>126.48758127189633</v>
      </c>
      <c r="G5" s="236">
        <f t="shared" si="0"/>
        <v>104.46833183783325</v>
      </c>
      <c r="H5" s="236">
        <f t="shared" si="0"/>
        <v>104.07102509957238</v>
      </c>
    </row>
    <row r="6" spans="1:13">
      <c r="C6" s="125" t="s">
        <v>186</v>
      </c>
      <c r="D6" s="86"/>
      <c r="E6" s="233">
        <f>D36+D63+D75+F100+C124</f>
        <v>129.9982302581497</v>
      </c>
      <c r="F6" s="233">
        <f>D38+D65+F78+G100+E124</f>
        <v>114.23869882125175</v>
      </c>
      <c r="G6" s="233">
        <f>D40+D67+H78+G124</f>
        <v>98.179380019353545</v>
      </c>
      <c r="H6" s="233">
        <f>D42+D69+J78+I100+I124</f>
        <v>98.899847924194944</v>
      </c>
    </row>
    <row r="7" spans="1:13">
      <c r="C7" s="125" t="s">
        <v>83</v>
      </c>
      <c r="D7" s="86"/>
      <c r="E7" s="233">
        <f>E36+E63</f>
        <v>17.051351069612235</v>
      </c>
      <c r="F7" s="233">
        <f>E38+E65</f>
        <v>8.4051493901542074</v>
      </c>
      <c r="G7" s="233">
        <f>E40+E67</f>
        <v>4.5869132986998373</v>
      </c>
      <c r="H7" s="233">
        <f>E42+E69</f>
        <v>1.8699047145784218</v>
      </c>
    </row>
    <row r="8" spans="1:13">
      <c r="C8" s="125" t="s">
        <v>187</v>
      </c>
      <c r="D8" s="86"/>
      <c r="E8" s="233">
        <f>G36+G63</f>
        <v>4.9587960253733012</v>
      </c>
      <c r="F8" s="233">
        <f>G38+G65</f>
        <v>0.37512051532543023</v>
      </c>
      <c r="G8" s="233">
        <f>G40+G67</f>
        <v>0</v>
      </c>
      <c r="H8" s="233">
        <f>G42+G69</f>
        <v>0</v>
      </c>
    </row>
    <row r="9" spans="1:13">
      <c r="C9" s="125" t="s">
        <v>141</v>
      </c>
      <c r="D9" s="10"/>
      <c r="E9" s="234">
        <f>H36+H63</f>
        <v>0.2146153499104517</v>
      </c>
      <c r="F9" s="233">
        <f>H38+H65</f>
        <v>0.65520868022421808</v>
      </c>
      <c r="G9" s="233">
        <f>H40+H67</f>
        <v>0.54085293774126075</v>
      </c>
      <c r="H9" s="233">
        <f>H42+H69</f>
        <v>0.45236993281073634</v>
      </c>
    </row>
    <row r="10" spans="1:13">
      <c r="C10" s="125" t="s">
        <v>188</v>
      </c>
      <c r="D10" s="10"/>
      <c r="E10" s="234">
        <f>I36</f>
        <v>1.5504931364675845</v>
      </c>
      <c r="F10" s="233">
        <f>I38</f>
        <v>1.8756025766271511</v>
      </c>
      <c r="G10" s="233">
        <f>G42+G69</f>
        <v>0</v>
      </c>
      <c r="H10" s="233">
        <f>I42</f>
        <v>1.5539468334481448</v>
      </c>
    </row>
    <row r="11" spans="1:13">
      <c r="C11" s="125" t="s">
        <v>211</v>
      </c>
      <c r="D11" s="233"/>
      <c r="E11" s="233">
        <f>J36</f>
        <v>0</v>
      </c>
      <c r="F11" s="233">
        <f>J38</f>
        <v>0.93780128831357557</v>
      </c>
      <c r="G11" s="233">
        <f>J40</f>
        <v>1.1611855820386046</v>
      </c>
      <c r="H11" s="233">
        <f>J42</f>
        <v>1.2949556945401208</v>
      </c>
    </row>
    <row r="12" spans="1:13">
      <c r="E12" s="245"/>
    </row>
    <row r="13" spans="1:13">
      <c r="C13" s="345" t="s">
        <v>106</v>
      </c>
      <c r="D13" s="346"/>
      <c r="E13" s="346"/>
      <c r="F13" s="346"/>
      <c r="G13" s="346"/>
      <c r="H13" s="347"/>
    </row>
    <row r="14" spans="1:13">
      <c r="C14" s="8" t="s">
        <v>189</v>
      </c>
      <c r="D14" s="235"/>
      <c r="E14" s="235">
        <f>E5/$E5-1</f>
        <v>0</v>
      </c>
      <c r="F14" s="235">
        <f t="shared" ref="F14:H14" si="1">F5/$E5-1</f>
        <v>-0.17744219309754117</v>
      </c>
      <c r="G14" s="235">
        <f t="shared" si="1"/>
        <v>-0.32063495037849155</v>
      </c>
      <c r="H14" s="260">
        <f t="shared" si="1"/>
        <v>-0.32321866457402926</v>
      </c>
    </row>
    <row r="16" spans="1:13" ht="53.5">
      <c r="C16" s="90"/>
      <c r="D16" s="258" t="s">
        <v>216</v>
      </c>
      <c r="E16" s="259" t="s">
        <v>91</v>
      </c>
      <c r="F16" s="259" t="s">
        <v>35</v>
      </c>
      <c r="H16" s="296" t="s">
        <v>293</v>
      </c>
    </row>
    <row r="17" spans="2:12">
      <c r="C17" s="84" t="s">
        <v>23</v>
      </c>
      <c r="D17" s="55">
        <f>'Tableau de bord'!M13</f>
        <v>0.86021134119073972</v>
      </c>
      <c r="E17" s="92">
        <f>'Tableau de bord'!M25</f>
        <v>0.92452645867611971</v>
      </c>
      <c r="F17" s="92">
        <f>'Tableau de bord'!M28</f>
        <v>0.79708105249816774</v>
      </c>
      <c r="H17" s="92">
        <f>'Tableau de bord'!F37</f>
        <v>0.35625000000000001</v>
      </c>
    </row>
    <row r="18" spans="2:12" ht="15" thickBot="1"/>
    <row r="19" spans="2:12">
      <c r="B19" s="351" t="s">
        <v>129</v>
      </c>
      <c r="C19" s="352"/>
      <c r="D19" s="352"/>
      <c r="E19" s="352"/>
      <c r="F19" s="352"/>
      <c r="G19" s="352"/>
      <c r="H19" s="352"/>
      <c r="I19" s="352"/>
      <c r="J19" s="352"/>
      <c r="K19" s="352"/>
      <c r="L19" s="353"/>
    </row>
    <row r="21" spans="2:12">
      <c r="C21" s="199">
        <v>2010</v>
      </c>
      <c r="D21" s="199">
        <v>2020</v>
      </c>
      <c r="E21" s="199">
        <f t="shared" ref="E21:J21" si="2">D21+5</f>
        <v>2025</v>
      </c>
      <c r="F21" s="199">
        <f t="shared" si="2"/>
        <v>2030</v>
      </c>
      <c r="G21" s="199">
        <f t="shared" si="2"/>
        <v>2035</v>
      </c>
      <c r="H21" s="199">
        <f t="shared" si="2"/>
        <v>2040</v>
      </c>
      <c r="I21" s="199">
        <f t="shared" si="2"/>
        <v>2045</v>
      </c>
      <c r="J21" s="199">
        <f t="shared" si="2"/>
        <v>2050</v>
      </c>
    </row>
    <row r="22" spans="2:12">
      <c r="B22" s="199" t="s">
        <v>134</v>
      </c>
      <c r="C22" s="200">
        <f>D22/'Init. énergie'!I$95^10</f>
        <v>27.135523910459071</v>
      </c>
      <c r="D22" s="200">
        <f>1000*D25/D23</f>
        <v>24.157047003746801</v>
      </c>
      <c r="E22" s="200">
        <f>(D22+F22)/2</f>
        <v>21.793582076970559</v>
      </c>
      <c r="F22" s="200">
        <f>$C22*(1-$F$17*H17)</f>
        <v>19.430117150194313</v>
      </c>
      <c r="G22" s="200">
        <f>(F22+H22)/2</f>
        <v>17.875517540667214</v>
      </c>
      <c r="H22" s="200">
        <f>$C22*(1-$F$17*0.5)</f>
        <v>16.320917931140116</v>
      </c>
      <c r="I22" s="200">
        <f>(H22+J22)/2</f>
        <v>15.23945733320822</v>
      </c>
      <c r="J22" s="200">
        <f>$C22*(1-$F$17*0.6)</f>
        <v>14.157996735276324</v>
      </c>
      <c r="L22" s="247" t="s">
        <v>217</v>
      </c>
    </row>
    <row r="23" spans="2:12" ht="15.5">
      <c r="B23" s="201" t="s">
        <v>135</v>
      </c>
      <c r="C23" s="290"/>
      <c r="D23" s="290">
        <f>'Init. parc'!C26/1000</f>
        <v>983.43726386437993</v>
      </c>
      <c r="E23" s="202">
        <f>(D23+F23)/2</f>
        <v>974.37207198321767</v>
      </c>
      <c r="F23" s="202">
        <f>'Init. parc'!D26/1000</f>
        <v>965.30688010205529</v>
      </c>
      <c r="G23" s="202">
        <f>(F23+H23)/2</f>
        <v>956.96727743761903</v>
      </c>
      <c r="H23" s="202">
        <f>'Init. parc'!E26/1000</f>
        <v>948.62767477318278</v>
      </c>
      <c r="I23" s="202">
        <f>(H23+J23)/2</f>
        <v>931.63690319631337</v>
      </c>
      <c r="J23" s="202">
        <f>'Init. parc'!F26/1000</f>
        <v>914.64613161944408</v>
      </c>
      <c r="K23" s="203"/>
    </row>
    <row r="25" spans="2:12">
      <c r="B25" s="204" t="s">
        <v>136</v>
      </c>
      <c r="C25" s="288"/>
      <c r="D25" s="288">
        <f>'Init. énergie'!C113</f>
        <v>23.756940208407972</v>
      </c>
      <c r="E25" s="205">
        <f t="shared" ref="E25:J25" si="3">E23*E22/1000</f>
        <v>21.235057724274121</v>
      </c>
      <c r="F25" s="205">
        <f t="shared" si="3"/>
        <v>18.75602576627151</v>
      </c>
      <c r="G25" s="205">
        <f t="shared" si="3"/>
        <v>17.106285353680708</v>
      </c>
      <c r="H25" s="205">
        <f t="shared" si="3"/>
        <v>15.482474427181392</v>
      </c>
      <c r="I25" s="205">
        <f t="shared" si="3"/>
        <v>14.197640836302455</v>
      </c>
      <c r="J25" s="205">
        <f t="shared" si="3"/>
        <v>12.949556945401207</v>
      </c>
    </row>
    <row r="27" spans="2:12">
      <c r="B27" s="199"/>
      <c r="C27" s="206" t="s">
        <v>19</v>
      </c>
      <c r="D27" s="199" t="s">
        <v>137</v>
      </c>
      <c r="E27" s="199" t="s">
        <v>83</v>
      </c>
      <c r="F27" s="199" t="s">
        <v>139</v>
      </c>
      <c r="G27" s="199" t="s">
        <v>140</v>
      </c>
      <c r="H27" s="199" t="s">
        <v>141</v>
      </c>
      <c r="I27" s="199" t="s">
        <v>142</v>
      </c>
      <c r="J27" s="199" t="s">
        <v>199</v>
      </c>
    </row>
    <row r="28" spans="2:12">
      <c r="B28" s="398" t="s">
        <v>143</v>
      </c>
      <c r="C28" s="207">
        <v>2020</v>
      </c>
      <c r="D28" s="289">
        <f>'Init. énergie'!D108</f>
        <v>0.30436996905591907</v>
      </c>
      <c r="E28" s="289">
        <f>'Init. énergie'!D111</f>
        <v>0.4755949508570973</v>
      </c>
      <c r="F28" s="289"/>
      <c r="G28" s="289">
        <f>'Init. énergie'!D110+'Init. énergie'!D112</f>
        <v>0.14872764446813611</v>
      </c>
      <c r="H28" s="289">
        <f>'Init. énergie'!D109</f>
        <v>6.0425857322091549E-3</v>
      </c>
      <c r="I28" s="289">
        <f>'Init. énergie'!D107</f>
        <v>6.5264849886638152E-2</v>
      </c>
      <c r="J28" s="289">
        <v>0</v>
      </c>
    </row>
    <row r="29" spans="2:12">
      <c r="B29" s="398"/>
      <c r="C29" s="199">
        <f t="shared" ref="C29:C34" si="4">C28+5</f>
        <v>2025</v>
      </c>
      <c r="D29" s="208">
        <f>(D28+D30)/2</f>
        <v>0.39718498452795953</v>
      </c>
      <c r="E29" s="208">
        <f>(E28+E30)/2</f>
        <v>0.39279747542854865</v>
      </c>
      <c r="F29" s="208"/>
      <c r="G29" s="208">
        <f>(G28+G30)/2</f>
        <v>8.4363822234068048E-2</v>
      </c>
      <c r="H29" s="208">
        <f>(H28+H30)/2</f>
        <v>1.8021292866104578E-2</v>
      </c>
      <c r="I29" s="208">
        <f>(I28+I30)/2</f>
        <v>8.2632424943319072E-2</v>
      </c>
      <c r="J29" s="208">
        <f>(J28+J30)/2</f>
        <v>2.5000000000000001E-2</v>
      </c>
    </row>
    <row r="30" spans="2:12">
      <c r="B30" s="398"/>
      <c r="C30" s="199">
        <f t="shared" si="4"/>
        <v>2030</v>
      </c>
      <c r="D30" s="208">
        <v>0.49</v>
      </c>
      <c r="E30" s="208">
        <v>0.31</v>
      </c>
      <c r="F30" s="208"/>
      <c r="G30" s="208">
        <v>0.02</v>
      </c>
      <c r="H30" s="208">
        <v>0.03</v>
      </c>
      <c r="I30" s="208">
        <v>0.1</v>
      </c>
      <c r="J30" s="208">
        <v>0.05</v>
      </c>
    </row>
    <row r="31" spans="2:12">
      <c r="B31" s="398"/>
      <c r="C31" s="199">
        <f t="shared" si="4"/>
        <v>2035</v>
      </c>
      <c r="D31" s="208">
        <f>55.25%</f>
        <v>0.55249999999999999</v>
      </c>
      <c r="E31" s="208">
        <v>0.25</v>
      </c>
      <c r="F31" s="208"/>
      <c r="G31" s="208">
        <v>0</v>
      </c>
      <c r="H31" s="208">
        <f>(H30+H32)/2</f>
        <v>0.03</v>
      </c>
      <c r="I31" s="208">
        <f>(I30+I32)/2</f>
        <v>0.10500000000000001</v>
      </c>
      <c r="J31" s="208">
        <f>(J30+J32)/2</f>
        <v>6.25E-2</v>
      </c>
    </row>
    <row r="32" spans="2:12">
      <c r="B32" s="398"/>
      <c r="C32" s="199">
        <f t="shared" si="4"/>
        <v>2040</v>
      </c>
      <c r="D32" s="208">
        <f>58%</f>
        <v>0.57999999999999996</v>
      </c>
      <c r="E32" s="208">
        <f>(E30+E34)/2</f>
        <v>0.20500000000000002</v>
      </c>
      <c r="F32" s="208"/>
      <c r="G32" s="208">
        <v>0</v>
      </c>
      <c r="H32" s="208">
        <f>(H30+H34)/2</f>
        <v>0.03</v>
      </c>
      <c r="I32" s="208">
        <f>(I30+I34)/2</f>
        <v>0.11</v>
      </c>
      <c r="J32" s="208">
        <f>(J30+J34)/2</f>
        <v>7.5000000000000011E-2</v>
      </c>
    </row>
    <row r="33" spans="2:12">
      <c r="B33" s="398"/>
      <c r="C33" s="199">
        <f t="shared" si="4"/>
        <v>2045</v>
      </c>
      <c r="D33" s="208">
        <f>(D32+D34)/2</f>
        <v>0.61499999999999999</v>
      </c>
      <c r="E33" s="208">
        <f>(E32+E34)/2</f>
        <v>0.15250000000000002</v>
      </c>
      <c r="F33" s="208"/>
      <c r="G33" s="208">
        <v>0</v>
      </c>
      <c r="H33" s="208">
        <f>(H32+H34)/2</f>
        <v>0.03</v>
      </c>
      <c r="I33" s="208">
        <f>(I32+I34)/2</f>
        <v>0.11499999999999999</v>
      </c>
      <c r="J33" s="208">
        <f>(J32+J34)/2</f>
        <v>8.7500000000000008E-2</v>
      </c>
    </row>
    <row r="34" spans="2:12">
      <c r="B34" s="398"/>
      <c r="C34" s="199">
        <f t="shared" si="4"/>
        <v>2050</v>
      </c>
      <c r="D34" s="208">
        <v>0.65</v>
      </c>
      <c r="E34" s="208">
        <v>0.1</v>
      </c>
      <c r="F34" s="208"/>
      <c r="G34" s="208">
        <v>0</v>
      </c>
      <c r="H34" s="208">
        <v>0.03</v>
      </c>
      <c r="I34" s="208">
        <v>0.12</v>
      </c>
      <c r="J34" s="208">
        <v>0.1</v>
      </c>
    </row>
    <row r="36" spans="2:12" ht="14.5" customHeight="1">
      <c r="B36" s="398" t="s">
        <v>144</v>
      </c>
      <c r="C36" s="207">
        <v>2020</v>
      </c>
      <c r="D36" s="209">
        <f t="shared" ref="D36:J36" si="5">$D25*D28</f>
        <v>7.230899156096454</v>
      </c>
      <c r="E36" s="209">
        <f t="shared" si="5"/>
        <v>11.298680810932789</v>
      </c>
      <c r="F36" s="209">
        <f t="shared" si="5"/>
        <v>0</v>
      </c>
      <c r="G36" s="209">
        <f t="shared" si="5"/>
        <v>3.533313756966868</v>
      </c>
      <c r="H36" s="209">
        <f t="shared" si="5"/>
        <v>0.14355334794427199</v>
      </c>
      <c r="I36" s="209">
        <f t="shared" si="5"/>
        <v>1.5504931364675845</v>
      </c>
      <c r="J36" s="209">
        <f t="shared" si="5"/>
        <v>0</v>
      </c>
    </row>
    <row r="37" spans="2:12">
      <c r="B37" s="398"/>
      <c r="C37" s="199">
        <f t="shared" ref="C37:C42" si="6">C36+5</f>
        <v>2025</v>
      </c>
      <c r="D37" s="209">
        <f t="shared" ref="D37:J37" si="7">$E25*D29</f>
        <v>8.4342460736661451</v>
      </c>
      <c r="E37" s="209">
        <f t="shared" si="7"/>
        <v>8.3410770646743764</v>
      </c>
      <c r="F37" s="209">
        <f t="shared" si="7"/>
        <v>0</v>
      </c>
      <c r="G37" s="209">
        <f t="shared" si="7"/>
        <v>1.7914706349808356</v>
      </c>
      <c r="H37" s="209">
        <f t="shared" si="7"/>
        <v>0.38268319427778014</v>
      </c>
      <c r="I37" s="209">
        <f t="shared" si="7"/>
        <v>1.7547043135681293</v>
      </c>
      <c r="J37" s="209">
        <f t="shared" si="7"/>
        <v>0.530876443106853</v>
      </c>
    </row>
    <row r="38" spans="2:12">
      <c r="B38" s="398"/>
      <c r="C38" s="199">
        <f t="shared" si="6"/>
        <v>2030</v>
      </c>
      <c r="D38" s="209">
        <f t="shared" ref="D38:J38" si="8">$F25*D30</f>
        <v>9.1904526254730392</v>
      </c>
      <c r="E38" s="209">
        <f t="shared" si="8"/>
        <v>5.8143679875441681</v>
      </c>
      <c r="F38" s="209">
        <f t="shared" si="8"/>
        <v>0</v>
      </c>
      <c r="G38" s="209">
        <f t="shared" si="8"/>
        <v>0.37512051532543023</v>
      </c>
      <c r="H38" s="209">
        <f t="shared" si="8"/>
        <v>0.56268077298814523</v>
      </c>
      <c r="I38" s="209">
        <f t="shared" si="8"/>
        <v>1.8756025766271511</v>
      </c>
      <c r="J38" s="209">
        <f t="shared" si="8"/>
        <v>0.93780128831357557</v>
      </c>
    </row>
    <row r="39" spans="2:12">
      <c r="B39" s="398"/>
      <c r="C39" s="199">
        <f t="shared" si="6"/>
        <v>2035</v>
      </c>
      <c r="D39" s="209">
        <f t="shared" ref="D39:J39" si="9">$G25*D31</f>
        <v>9.4512226579085912</v>
      </c>
      <c r="E39" s="209">
        <f t="shared" si="9"/>
        <v>4.2765713384201769</v>
      </c>
      <c r="F39" s="209">
        <f t="shared" si="9"/>
        <v>0</v>
      </c>
      <c r="G39" s="209">
        <f t="shared" si="9"/>
        <v>0</v>
      </c>
      <c r="H39" s="209">
        <f t="shared" si="9"/>
        <v>0.51318856061042117</v>
      </c>
      <c r="I39" s="209">
        <f t="shared" si="9"/>
        <v>1.7961599621364746</v>
      </c>
      <c r="J39" s="209">
        <f t="shared" si="9"/>
        <v>1.0691428346050442</v>
      </c>
    </row>
    <row r="40" spans="2:12">
      <c r="B40" s="398"/>
      <c r="C40" s="199">
        <f t="shared" si="6"/>
        <v>2040</v>
      </c>
      <c r="D40" s="209">
        <f t="shared" ref="D40:J40" si="10">$H25*D32</f>
        <v>8.9798351677652075</v>
      </c>
      <c r="E40" s="209">
        <f t="shared" si="10"/>
        <v>3.1739072575721856</v>
      </c>
      <c r="F40" s="209">
        <f t="shared" si="10"/>
        <v>0</v>
      </c>
      <c r="G40" s="209">
        <f t="shared" si="10"/>
        <v>0</v>
      </c>
      <c r="H40" s="209">
        <f t="shared" si="10"/>
        <v>0.46447423281544176</v>
      </c>
      <c r="I40" s="209">
        <f t="shared" si="10"/>
        <v>1.7030721869899532</v>
      </c>
      <c r="J40" s="209">
        <f t="shared" si="10"/>
        <v>1.1611855820386046</v>
      </c>
    </row>
    <row r="41" spans="2:12">
      <c r="B41" s="398"/>
      <c r="C41" s="199">
        <f t="shared" si="6"/>
        <v>2045</v>
      </c>
      <c r="D41" s="209">
        <f t="shared" ref="D41:J41" si="11">$I25*D33</f>
        <v>8.7315491143260093</v>
      </c>
      <c r="E41" s="209">
        <f t="shared" si="11"/>
        <v>2.1651402275361247</v>
      </c>
      <c r="F41" s="209">
        <f t="shared" si="11"/>
        <v>0</v>
      </c>
      <c r="G41" s="209">
        <f t="shared" si="11"/>
        <v>0</v>
      </c>
      <c r="H41" s="209">
        <f t="shared" si="11"/>
        <v>0.4259292250890736</v>
      </c>
      <c r="I41" s="209">
        <f t="shared" si="11"/>
        <v>1.6327286961747822</v>
      </c>
      <c r="J41" s="209">
        <f t="shared" si="11"/>
        <v>1.2422935731764648</v>
      </c>
    </row>
    <row r="42" spans="2:12">
      <c r="B42" s="398"/>
      <c r="C42" s="199">
        <f t="shared" si="6"/>
        <v>2050</v>
      </c>
      <c r="D42" s="209">
        <f t="shared" ref="D42:J42" si="12">$J25*D34</f>
        <v>8.4172120145107847</v>
      </c>
      <c r="E42" s="209">
        <f t="shared" si="12"/>
        <v>1.2949556945401208</v>
      </c>
      <c r="F42" s="209">
        <f t="shared" si="12"/>
        <v>0</v>
      </c>
      <c r="G42" s="209">
        <f t="shared" si="12"/>
        <v>0</v>
      </c>
      <c r="H42" s="209">
        <f t="shared" si="12"/>
        <v>0.38848670836203619</v>
      </c>
      <c r="I42" s="209">
        <f t="shared" si="12"/>
        <v>1.5539468334481448</v>
      </c>
      <c r="J42" s="209">
        <f t="shared" si="12"/>
        <v>1.2949556945401208</v>
      </c>
    </row>
    <row r="44" spans="2:12" ht="15" thickBot="1"/>
    <row r="45" spans="2:12">
      <c r="B45" s="351" t="s">
        <v>130</v>
      </c>
      <c r="C45" s="352"/>
      <c r="D45" s="352"/>
      <c r="E45" s="352"/>
      <c r="F45" s="352"/>
      <c r="G45" s="352"/>
      <c r="H45" s="352"/>
      <c r="I45" s="352"/>
      <c r="J45" s="352"/>
      <c r="K45" s="352"/>
      <c r="L45" s="353"/>
    </row>
    <row r="47" spans="2:12">
      <c r="C47" s="199">
        <v>2010</v>
      </c>
      <c r="D47" s="199">
        <v>2020</v>
      </c>
      <c r="E47" s="199">
        <f t="shared" ref="E47:J47" si="13">D47+5</f>
        <v>2025</v>
      </c>
      <c r="F47" s="199">
        <f t="shared" si="13"/>
        <v>2030</v>
      </c>
      <c r="G47" s="199">
        <f t="shared" si="13"/>
        <v>2035</v>
      </c>
      <c r="H47" s="199">
        <f t="shared" si="13"/>
        <v>2040</v>
      </c>
      <c r="I47" s="199">
        <f t="shared" si="13"/>
        <v>2045</v>
      </c>
      <c r="J47" s="199">
        <f t="shared" si="13"/>
        <v>2050</v>
      </c>
    </row>
    <row r="48" spans="2:12">
      <c r="B48" s="199" t="s">
        <v>147</v>
      </c>
      <c r="C48" s="200">
        <f>D48/'Init. énergie'!I$95^10</f>
        <v>13.386595169347066</v>
      </c>
      <c r="D48" s="200">
        <f>D51*1000/D49</f>
        <v>11.917242128551779</v>
      </c>
      <c r="E48" s="200">
        <f>(D48+F48)/2</f>
        <v>10.751289030461447</v>
      </c>
      <c r="F48" s="200">
        <f>$C48*(1-$F$17*H17)</f>
        <v>9.5853359323711125</v>
      </c>
      <c r="G48" s="200">
        <f>(F48+H48)/2</f>
        <v>8.8184152091215786</v>
      </c>
      <c r="H48" s="200">
        <f>$C48*(1-$F$17*0.5)</f>
        <v>8.051494485872043</v>
      </c>
      <c r="I48" s="200">
        <f>(H48+J48)/2</f>
        <v>7.5179844175245405</v>
      </c>
      <c r="J48" s="200">
        <f>$C48*(1-$F$17*0.6)</f>
        <v>6.984474349177038</v>
      </c>
    </row>
    <row r="49" spans="2:10" ht="15.5">
      <c r="B49" s="201" t="s">
        <v>135</v>
      </c>
      <c r="C49" s="202"/>
      <c r="D49" s="202">
        <f t="shared" ref="D49:J49" si="14">D23</f>
        <v>983.43726386437993</v>
      </c>
      <c r="E49" s="202">
        <f t="shared" si="14"/>
        <v>974.37207198321767</v>
      </c>
      <c r="F49" s="202">
        <f t="shared" si="14"/>
        <v>965.30688010205529</v>
      </c>
      <c r="G49" s="202">
        <f t="shared" si="14"/>
        <v>956.96727743761903</v>
      </c>
      <c r="H49" s="202">
        <f t="shared" si="14"/>
        <v>948.62767477318278</v>
      </c>
      <c r="I49" s="202">
        <f t="shared" si="14"/>
        <v>931.63690319631337</v>
      </c>
      <c r="J49" s="202">
        <f t="shared" si="14"/>
        <v>914.64613161944408</v>
      </c>
    </row>
    <row r="51" spans="2:10">
      <c r="B51" s="204" t="s">
        <v>136</v>
      </c>
      <c r="C51" s="288"/>
      <c r="D51" s="288">
        <f>'Init. énergie'!C124</f>
        <v>11.719859991712282</v>
      </c>
      <c r="E51" s="205">
        <f t="shared" ref="E51:J51" si="15">E49*E48/1000</f>
        <v>10.475755769101159</v>
      </c>
      <c r="F51" s="205">
        <f t="shared" si="15"/>
        <v>9.2527907236072835</v>
      </c>
      <c r="G51" s="205">
        <f t="shared" si="15"/>
        <v>8.4389347939875705</v>
      </c>
      <c r="H51" s="205">
        <f t="shared" si="15"/>
        <v>7.6378704925818992</v>
      </c>
      <c r="I51" s="205">
        <f t="shared" si="15"/>
        <v>7.004031721020703</v>
      </c>
      <c r="J51" s="205">
        <f t="shared" si="15"/>
        <v>6.3883224448700124</v>
      </c>
    </row>
    <row r="54" spans="2:10">
      <c r="B54" s="199"/>
      <c r="C54" s="206" t="s">
        <v>19</v>
      </c>
      <c r="D54" s="199" t="s">
        <v>137</v>
      </c>
      <c r="E54" s="199" t="s">
        <v>83</v>
      </c>
      <c r="F54" s="199" t="s">
        <v>139</v>
      </c>
      <c r="G54" s="199" t="s">
        <v>140</v>
      </c>
      <c r="H54" s="199" t="s">
        <v>141</v>
      </c>
      <c r="I54" s="199"/>
    </row>
    <row r="55" spans="2:10">
      <c r="B55" s="398" t="s">
        <v>146</v>
      </c>
      <c r="C55" s="207">
        <v>2020</v>
      </c>
      <c r="D55" s="291">
        <f>'Init. énergie'!D119</f>
        <v>0.38145894795856289</v>
      </c>
      <c r="E55" s="291">
        <f>'Init. énergie'!D122</f>
        <v>0.4908480359618167</v>
      </c>
      <c r="F55" s="291"/>
      <c r="G55" s="291">
        <f>'Init. énergie'!D121+'Init. énergie'!D123</f>
        <v>0.121629632897873</v>
      </c>
      <c r="H55" s="291">
        <f>'Init. énergie'!D120</f>
        <v>6.0633831817471636E-3</v>
      </c>
      <c r="I55" s="238"/>
    </row>
    <row r="56" spans="2:10">
      <c r="B56" s="398"/>
      <c r="C56" s="199">
        <f t="shared" ref="C56:C61" si="16">C55+5</f>
        <v>2025</v>
      </c>
      <c r="D56" s="238">
        <v>0.54600000000000004</v>
      </c>
      <c r="E56" s="238">
        <v>0.38550000000000001</v>
      </c>
      <c r="F56" s="238"/>
      <c r="G56" s="238">
        <v>6.0499999999999998E-2</v>
      </c>
      <c r="H56" s="238">
        <v>8.0000000000000002E-3</v>
      </c>
      <c r="I56" s="238"/>
    </row>
    <row r="57" spans="2:10">
      <c r="B57" s="398"/>
      <c r="C57" s="199">
        <f t="shared" si="16"/>
        <v>2030</v>
      </c>
      <c r="D57" s="238">
        <v>0.71</v>
      </c>
      <c r="E57" s="238">
        <v>0.28000000000000003</v>
      </c>
      <c r="F57" s="238"/>
      <c r="G57" s="238">
        <v>0</v>
      </c>
      <c r="H57" s="238">
        <v>0.01</v>
      </c>
      <c r="I57" s="238"/>
    </row>
    <row r="58" spans="2:10">
      <c r="B58" s="398"/>
      <c r="C58" s="199">
        <f t="shared" si="16"/>
        <v>2035</v>
      </c>
      <c r="D58" s="238">
        <v>0.75749999999999995</v>
      </c>
      <c r="E58" s="238">
        <v>0.23250000000000001</v>
      </c>
      <c r="F58" s="238"/>
      <c r="G58" s="238">
        <v>0</v>
      </c>
      <c r="H58" s="238">
        <v>0.01</v>
      </c>
      <c r="I58" s="238"/>
    </row>
    <row r="59" spans="2:10">
      <c r="B59" s="398"/>
      <c r="C59" s="199">
        <f t="shared" si="16"/>
        <v>2040</v>
      </c>
      <c r="D59" s="238">
        <v>0.80500000000000005</v>
      </c>
      <c r="E59" s="238">
        <v>0.185</v>
      </c>
      <c r="F59" s="238"/>
      <c r="G59" s="238">
        <v>0</v>
      </c>
      <c r="H59" s="238">
        <v>0.01</v>
      </c>
      <c r="I59" s="238"/>
    </row>
    <row r="60" spans="2:10">
      <c r="B60" s="398"/>
      <c r="C60" s="199">
        <f t="shared" si="16"/>
        <v>2045</v>
      </c>
      <c r="D60" s="238">
        <v>0.85250000000000004</v>
      </c>
      <c r="E60" s="238">
        <v>0.13750000000000001</v>
      </c>
      <c r="F60" s="238"/>
      <c r="G60" s="238">
        <v>0</v>
      </c>
      <c r="H60" s="238">
        <v>0.01</v>
      </c>
      <c r="I60" s="238"/>
    </row>
    <row r="61" spans="2:10">
      <c r="B61" s="398"/>
      <c r="C61" s="199">
        <f t="shared" si="16"/>
        <v>2050</v>
      </c>
      <c r="D61" s="238">
        <v>0.9</v>
      </c>
      <c r="E61" s="238">
        <v>0.09</v>
      </c>
      <c r="F61" s="238"/>
      <c r="G61" s="238">
        <v>0</v>
      </c>
      <c r="H61" s="238">
        <v>0.01</v>
      </c>
      <c r="I61" s="238"/>
    </row>
    <row r="62" spans="2:10">
      <c r="D62" s="209"/>
      <c r="E62" s="209"/>
      <c r="F62" s="209"/>
      <c r="G62" s="209"/>
      <c r="H62" s="209"/>
    </row>
    <row r="63" spans="2:10" ht="14.5" customHeight="1">
      <c r="B63" s="398" t="s">
        <v>145</v>
      </c>
      <c r="C63" s="207">
        <v>2020</v>
      </c>
      <c r="D63" s="209">
        <f>$D51*D55</f>
        <v>4.4706454626602188</v>
      </c>
      <c r="E63" s="209">
        <f>$D51*E55</f>
        <v>5.7526702586794469</v>
      </c>
      <c r="F63" s="209">
        <f>$D51*F55</f>
        <v>0</v>
      </c>
      <c r="G63" s="209">
        <f>$D51*G55</f>
        <v>1.4254822684064337</v>
      </c>
      <c r="H63" s="209">
        <f>$D51*H55</f>
        <v>7.1062001966179705E-2</v>
      </c>
      <c r="I63" s="209"/>
    </row>
    <row r="64" spans="2:10">
      <c r="B64" s="398"/>
      <c r="C64" s="199">
        <f t="shared" ref="C64:C69" si="17">C63+5</f>
        <v>2025</v>
      </c>
      <c r="D64" s="209">
        <f>$E51*D56</f>
        <v>5.7197626499292333</v>
      </c>
      <c r="E64" s="209">
        <f>$E51*E56</f>
        <v>4.038403848988497</v>
      </c>
      <c r="F64" s="209">
        <f>$E51*F56</f>
        <v>0</v>
      </c>
      <c r="G64" s="209">
        <f>$E51*G56</f>
        <v>0.63378322403062015</v>
      </c>
      <c r="H64" s="209">
        <f>$E51*H56</f>
        <v>8.3806046152809274E-2</v>
      </c>
      <c r="I64" s="209"/>
    </row>
    <row r="65" spans="2:12">
      <c r="B65" s="398"/>
      <c r="C65" s="199">
        <f t="shared" si="17"/>
        <v>2030</v>
      </c>
      <c r="D65" s="209">
        <f>$F51*D57</f>
        <v>6.5694814137611708</v>
      </c>
      <c r="E65" s="209">
        <f>$F51*E57</f>
        <v>2.5907814026100398</v>
      </c>
      <c r="F65" s="209">
        <f>$F51*F57</f>
        <v>0</v>
      </c>
      <c r="G65" s="209">
        <f>$F51*G57</f>
        <v>0</v>
      </c>
      <c r="H65" s="209">
        <f>$F51*H57</f>
        <v>9.2527907236072834E-2</v>
      </c>
      <c r="I65" s="209"/>
    </row>
    <row r="66" spans="2:12">
      <c r="B66" s="398"/>
      <c r="C66" s="199">
        <f t="shared" si="17"/>
        <v>2035</v>
      </c>
      <c r="D66" s="209">
        <f>$G51*D58</f>
        <v>6.3924931064455839</v>
      </c>
      <c r="E66" s="209">
        <f>$G51*E58</f>
        <v>1.9620523396021103</v>
      </c>
      <c r="F66" s="209">
        <f>$G51*F58</f>
        <v>0</v>
      </c>
      <c r="G66" s="209">
        <f>$G51*G58</f>
        <v>0</v>
      </c>
      <c r="H66" s="209">
        <f>$G51*H58</f>
        <v>8.4389347939875708E-2</v>
      </c>
      <c r="I66" s="209"/>
    </row>
    <row r="67" spans="2:12">
      <c r="B67" s="398"/>
      <c r="C67" s="199">
        <f t="shared" si="17"/>
        <v>2040</v>
      </c>
      <c r="D67" s="209">
        <f>$H51*D59</f>
        <v>6.1484857465284293</v>
      </c>
      <c r="E67" s="209">
        <f>$H51*E59</f>
        <v>1.4130060411276513</v>
      </c>
      <c r="F67" s="209">
        <f>$H51*F59</f>
        <v>0</v>
      </c>
      <c r="G67" s="209">
        <f>$H51*G59</f>
        <v>0</v>
      </c>
      <c r="H67" s="209">
        <f>$H51*H59</f>
        <v>7.6378704925818997E-2</v>
      </c>
      <c r="I67" s="209"/>
    </row>
    <row r="68" spans="2:12">
      <c r="B68" s="398"/>
      <c r="C68" s="199">
        <f t="shared" si="17"/>
        <v>2045</v>
      </c>
      <c r="D68" s="209">
        <f>$I51*D60</f>
        <v>5.9709370421701493</v>
      </c>
      <c r="E68" s="209">
        <f>$I51*E60</f>
        <v>0.96305436164034675</v>
      </c>
      <c r="F68" s="209">
        <f>$I51*F60</f>
        <v>0</v>
      </c>
      <c r="G68" s="209">
        <f>$I51*G60</f>
        <v>0</v>
      </c>
      <c r="H68" s="209">
        <f>$I51*H60</f>
        <v>7.0040317210207037E-2</v>
      </c>
      <c r="I68" s="209"/>
    </row>
    <row r="69" spans="2:12">
      <c r="B69" s="398"/>
      <c r="C69" s="199">
        <f t="shared" si="17"/>
        <v>2050</v>
      </c>
      <c r="D69" s="209">
        <f>$J51*D61</f>
        <v>5.7494902003830113</v>
      </c>
      <c r="E69" s="209">
        <f>$J51*E61</f>
        <v>0.57494902003830106</v>
      </c>
      <c r="F69" s="209">
        <f>$J51*F61</f>
        <v>0</v>
      </c>
      <c r="G69" s="209">
        <f>$J51*G61</f>
        <v>0</v>
      </c>
      <c r="H69" s="209">
        <f>$J51*H61</f>
        <v>6.3883224448700121E-2</v>
      </c>
      <c r="I69" s="209"/>
    </row>
    <row r="71" spans="2:12" ht="15" thickBot="1"/>
    <row r="72" spans="2:12">
      <c r="B72" s="351" t="s">
        <v>131</v>
      </c>
      <c r="C72" s="352"/>
      <c r="D72" s="352"/>
      <c r="E72" s="352"/>
      <c r="F72" s="352"/>
      <c r="G72" s="352"/>
      <c r="H72" s="352"/>
      <c r="I72" s="352"/>
      <c r="J72" s="352"/>
      <c r="K72" s="352"/>
      <c r="L72" s="353"/>
    </row>
    <row r="74" spans="2:12">
      <c r="C74" s="239">
        <v>2010</v>
      </c>
      <c r="D74" s="239">
        <v>2020</v>
      </c>
      <c r="E74" s="239">
        <f t="shared" ref="E74:J74" si="18">D74+5</f>
        <v>2025</v>
      </c>
      <c r="F74" s="239">
        <f t="shared" si="18"/>
        <v>2030</v>
      </c>
      <c r="G74" s="239">
        <f t="shared" si="18"/>
        <v>2035</v>
      </c>
      <c r="H74" s="239">
        <f t="shared" si="18"/>
        <v>2040</v>
      </c>
      <c r="I74" s="239">
        <f t="shared" si="18"/>
        <v>2045</v>
      </c>
      <c r="J74" s="239">
        <f t="shared" si="18"/>
        <v>2050</v>
      </c>
    </row>
    <row r="75" spans="2:12">
      <c r="B75" s="199" t="s">
        <v>148</v>
      </c>
      <c r="C75" s="200">
        <f>D75/'Init. énergie'!I$95^10</f>
        <v>80.300769706910629</v>
      </c>
      <c r="D75" s="210">
        <f>1000*D78/D76</f>
        <v>71.486715150511714</v>
      </c>
      <c r="E75" s="200">
        <f>(D75+F75)/2</f>
        <v>64.492634128834155</v>
      </c>
      <c r="F75" s="200">
        <f>$C75*(1-$F$17*H17)</f>
        <v>57.498553107156589</v>
      </c>
      <c r="G75" s="200">
        <f>(F75+H75)/2</f>
        <v>52.898105898434281</v>
      </c>
      <c r="H75" s="200">
        <f>$C75*(1-$F$17*0.5)</f>
        <v>48.297658689711973</v>
      </c>
      <c r="I75" s="200">
        <f>(H75+J75)/2</f>
        <v>45.097347587992104</v>
      </c>
      <c r="J75" s="200">
        <f>$C75*(1-$F$17*0.6)</f>
        <v>41.897036486272242</v>
      </c>
    </row>
    <row r="76" spans="2:12" ht="15.5">
      <c r="B76" s="201" t="s">
        <v>135</v>
      </c>
      <c r="C76" s="202"/>
      <c r="D76" s="202">
        <f t="shared" ref="D76:J76" si="19">D23</f>
        <v>983.43726386437993</v>
      </c>
      <c r="E76" s="202">
        <f t="shared" si="19"/>
        <v>974.37207198321767</v>
      </c>
      <c r="F76" s="202">
        <f t="shared" si="19"/>
        <v>965.30688010205529</v>
      </c>
      <c r="G76" s="202">
        <f t="shared" si="19"/>
        <v>956.96727743761903</v>
      </c>
      <c r="H76" s="202">
        <f t="shared" si="19"/>
        <v>948.62767477318278</v>
      </c>
      <c r="I76" s="202">
        <f t="shared" si="19"/>
        <v>931.63690319631337</v>
      </c>
      <c r="J76" s="202">
        <f t="shared" si="19"/>
        <v>914.64613161944408</v>
      </c>
    </row>
    <row r="78" spans="2:12">
      <c r="B78" s="204" t="s">
        <v>136</v>
      </c>
      <c r="C78" s="288"/>
      <c r="D78" s="288">
        <f>'Init. énergie'!C130</f>
        <v>70.302699550271555</v>
      </c>
      <c r="E78" s="205">
        <f t="shared" ref="E78:J78" si="20">E76*E75/1000</f>
        <v>62.839821543767712</v>
      </c>
      <c r="F78" s="205">
        <f t="shared" si="20"/>
        <v>55.503748910251666</v>
      </c>
      <c r="G78" s="205">
        <f t="shared" si="20"/>
        <v>50.621756383231514</v>
      </c>
      <c r="H78" s="205">
        <f t="shared" si="20"/>
        <v>45.816495659810272</v>
      </c>
      <c r="I78" s="205">
        <f>I76*I75/1000</f>
        <v>42.014353249244699</v>
      </c>
      <c r="J78" s="205">
        <f t="shared" si="20"/>
        <v>38.320962348487612</v>
      </c>
    </row>
    <row r="81" spans="2:12" ht="15" thickBot="1"/>
    <row r="82" spans="2:12">
      <c r="B82" s="351" t="s">
        <v>132</v>
      </c>
      <c r="C82" s="352"/>
      <c r="D82" s="352"/>
      <c r="E82" s="352"/>
      <c r="F82" s="352"/>
      <c r="G82" s="352"/>
      <c r="H82" s="352"/>
      <c r="I82" s="352"/>
      <c r="J82" s="352"/>
      <c r="K82" s="352"/>
      <c r="L82" s="353"/>
    </row>
    <row r="84" spans="2:12">
      <c r="B84" t="s">
        <v>200</v>
      </c>
    </row>
    <row r="85" spans="2:12" ht="15" thickBot="1"/>
    <row r="86" spans="2:12">
      <c r="B86" s="211" t="s">
        <v>150</v>
      </c>
      <c r="C86" s="212"/>
      <c r="D86" s="213">
        <v>2006</v>
      </c>
      <c r="E86" s="213">
        <v>2015</v>
      </c>
      <c r="F86" s="213">
        <v>2020</v>
      </c>
      <c r="G86" s="213">
        <v>2030</v>
      </c>
      <c r="H86" s="213">
        <v>2040</v>
      </c>
      <c r="I86" s="214">
        <v>2050</v>
      </c>
    </row>
    <row r="87" spans="2:12">
      <c r="B87" s="215" t="s">
        <v>151</v>
      </c>
      <c r="C87" s="216"/>
      <c r="D87" s="217"/>
      <c r="E87" s="217"/>
      <c r="F87" s="217">
        <v>3.1948068674499273</v>
      </c>
      <c r="G87" s="217">
        <v>2.3007850515687069</v>
      </c>
      <c r="H87" s="217">
        <v>1.845092054749095</v>
      </c>
      <c r="I87" s="218">
        <v>1.75575483083293</v>
      </c>
    </row>
    <row r="88" spans="2:12">
      <c r="B88" s="219" t="s">
        <v>152</v>
      </c>
      <c r="C88" s="220"/>
      <c r="D88" s="221"/>
      <c r="E88" s="221"/>
      <c r="F88" s="221">
        <v>0.90642131916452451</v>
      </c>
      <c r="G88" s="221">
        <v>0.68892377147259842</v>
      </c>
      <c r="H88" s="221">
        <v>0.6018981712928706</v>
      </c>
      <c r="I88" s="222">
        <v>0.61368785502201761</v>
      </c>
    </row>
    <row r="89" spans="2:12">
      <c r="B89" s="215" t="s">
        <v>153</v>
      </c>
      <c r="C89" s="216"/>
      <c r="D89" s="217"/>
      <c r="E89" s="217"/>
      <c r="F89" s="217">
        <v>1.3712899722102905</v>
      </c>
      <c r="G89" s="217">
        <v>1.0102265553187142</v>
      </c>
      <c r="H89" s="217">
        <v>0.87654371393122299</v>
      </c>
      <c r="I89" s="218">
        <v>0.88147435001443686</v>
      </c>
    </row>
    <row r="90" spans="2:12">
      <c r="B90" s="219" t="s">
        <v>154</v>
      </c>
      <c r="C90" s="220"/>
      <c r="D90" s="221"/>
      <c r="E90" s="221"/>
      <c r="F90" s="221">
        <v>0.1714143473755961</v>
      </c>
      <c r="G90" s="221">
        <v>0.1211015618632594</v>
      </c>
      <c r="H90" s="221">
        <v>0.11258567108136026</v>
      </c>
      <c r="I90" s="222">
        <v>0.11877212824718282</v>
      </c>
    </row>
    <row r="91" spans="2:12">
      <c r="B91" s="215" t="s">
        <v>155</v>
      </c>
      <c r="C91" s="216"/>
      <c r="D91" s="217"/>
      <c r="E91" s="217"/>
      <c r="F91" s="217">
        <v>0.97008721791894292</v>
      </c>
      <c r="G91" s="217">
        <v>0.70955446993267113</v>
      </c>
      <c r="H91" s="217">
        <v>0.59033033594160611</v>
      </c>
      <c r="I91" s="218">
        <v>0.56598241245844472</v>
      </c>
    </row>
    <row r="92" spans="2:12">
      <c r="B92" s="219" t="s">
        <v>156</v>
      </c>
      <c r="C92" s="220"/>
      <c r="D92" s="221"/>
      <c r="E92" s="221"/>
      <c r="F92" s="221">
        <v>1.1908877510776446</v>
      </c>
      <c r="G92" s="221">
        <v>0.88455509405089328</v>
      </c>
      <c r="H92" s="221">
        <v>0.74869800184582558</v>
      </c>
      <c r="I92" s="222">
        <v>0.73291205483325439</v>
      </c>
    </row>
    <row r="93" spans="2:12">
      <c r="B93" s="215" t="s">
        <v>157</v>
      </c>
      <c r="C93" s="216"/>
      <c r="D93" s="217"/>
      <c r="E93" s="217"/>
      <c r="F93" s="217">
        <v>0.36110142911649884</v>
      </c>
      <c r="G93" s="217">
        <v>0.26976344925704315</v>
      </c>
      <c r="H93" s="217">
        <v>0.22103054653601245</v>
      </c>
      <c r="I93" s="218">
        <v>0.20239115841799912</v>
      </c>
    </row>
    <row r="94" spans="2:12">
      <c r="B94" s="219" t="s">
        <v>158</v>
      </c>
      <c r="C94" s="220"/>
      <c r="D94" s="221"/>
      <c r="E94" s="221"/>
      <c r="F94" s="221">
        <v>2.2967304223455329</v>
      </c>
      <c r="G94" s="221">
        <v>1.7547315797434109</v>
      </c>
      <c r="H94" s="221">
        <v>1.3620995976477868</v>
      </c>
      <c r="I94" s="222">
        <v>1.1843662036668436</v>
      </c>
    </row>
    <row r="95" spans="2:12">
      <c r="B95" s="215" t="s">
        <v>159</v>
      </c>
      <c r="C95" s="216"/>
      <c r="D95" s="217"/>
      <c r="E95" s="217"/>
      <c r="F95" s="217">
        <v>0.21097527959120022</v>
      </c>
      <c r="G95" s="217">
        <v>0.14236913259456621</v>
      </c>
      <c r="H95" s="217">
        <v>0.10322177806923001</v>
      </c>
      <c r="I95" s="218">
        <v>8.9832650717423149E-2</v>
      </c>
    </row>
    <row r="96" spans="2:12">
      <c r="B96" s="219" t="s">
        <v>160</v>
      </c>
      <c r="C96" s="220"/>
      <c r="D96" s="221"/>
      <c r="E96" s="221"/>
      <c r="F96" s="221">
        <v>0.20162401689799292</v>
      </c>
      <c r="G96" s="221">
        <v>0.13626131302245031</v>
      </c>
      <c r="H96" s="221">
        <v>9.8717885709241823E-2</v>
      </c>
      <c r="I96" s="222">
        <v>8.6016367610053393E-2</v>
      </c>
    </row>
    <row r="97" spans="2:12">
      <c r="B97" s="215" t="s">
        <v>161</v>
      </c>
      <c r="C97" s="216"/>
      <c r="D97" s="217"/>
      <c r="E97" s="217"/>
      <c r="F97" s="217">
        <v>0.1477063433194972</v>
      </c>
      <c r="G97" s="217">
        <v>9.977238997180464E-2</v>
      </c>
      <c r="H97" s="217">
        <v>7.2351918987535999E-2</v>
      </c>
      <c r="I97" s="218">
        <v>6.2499535048332021E-2</v>
      </c>
    </row>
    <row r="98" spans="2:12">
      <c r="B98" s="219" t="s">
        <v>162</v>
      </c>
      <c r="C98" s="220"/>
      <c r="D98" s="221"/>
      <c r="E98" s="221"/>
      <c r="F98" s="221">
        <v>3.2094865616157889E-2</v>
      </c>
      <c r="G98" s="221">
        <v>2.1880278938455337E-2</v>
      </c>
      <c r="H98" s="221">
        <v>1.5821206563474455E-2</v>
      </c>
      <c r="I98" s="222">
        <v>1.3785188971711416E-2</v>
      </c>
    </row>
    <row r="99" spans="2:12" ht="15" thickBot="1">
      <c r="B99" s="223" t="s">
        <v>163</v>
      </c>
      <c r="C99" s="224"/>
      <c r="D99" s="225"/>
      <c r="E99" s="225"/>
      <c r="F99" s="225">
        <v>0.44960618397765512</v>
      </c>
      <c r="G99" s="225">
        <v>0.30383904802065897</v>
      </c>
      <c r="H99" s="225">
        <v>0.22037419694620469</v>
      </c>
      <c r="I99" s="240">
        <v>0.19223391048428412</v>
      </c>
    </row>
    <row r="100" spans="2:12" ht="15" thickBot="1">
      <c r="B100" s="399" t="s">
        <v>164</v>
      </c>
      <c r="C100" s="399"/>
      <c r="D100" s="226"/>
      <c r="E100" s="226"/>
      <c r="F100" s="226">
        <v>11.504746016061461</v>
      </c>
      <c r="G100" s="226">
        <v>8.4437636957552336</v>
      </c>
      <c r="H100" s="226">
        <v>6.8687650793014674</v>
      </c>
      <c r="I100" s="226">
        <v>6.4997086463249136</v>
      </c>
    </row>
    <row r="104" spans="2:12">
      <c r="B104" t="s">
        <v>165</v>
      </c>
      <c r="D104">
        <v>2020</v>
      </c>
      <c r="E104">
        <v>2030</v>
      </c>
      <c r="F104">
        <v>2040</v>
      </c>
      <c r="G104">
        <v>2050</v>
      </c>
    </row>
    <row r="105" spans="2:12">
      <c r="B105" t="s">
        <v>166</v>
      </c>
      <c r="D105" s="227">
        <f>SUM(F87:F94)</f>
        <v>10.462739326658959</v>
      </c>
      <c r="E105" s="227">
        <f>SUM(G87:G94)</f>
        <v>7.7396415332072976</v>
      </c>
      <c r="F105" s="227">
        <f>SUM(H87:H94)</f>
        <v>6.3582780930257803</v>
      </c>
      <c r="G105" s="227">
        <f>SUM(I87:I94)</f>
        <v>6.0553409934931093</v>
      </c>
    </row>
    <row r="106" spans="2:12">
      <c r="B106" t="s">
        <v>167</v>
      </c>
      <c r="D106" s="227">
        <f>SUM(F95:F99)</f>
        <v>1.0420066894025033</v>
      </c>
      <c r="E106" s="227">
        <f>SUM(G95:G99)</f>
        <v>0.70412216254793547</v>
      </c>
      <c r="F106" s="227">
        <f>SUM(H95:H99)</f>
        <v>0.510486986275687</v>
      </c>
      <c r="G106" s="227">
        <f>SUM(I95:I99)</f>
        <v>0.44436765283180413</v>
      </c>
    </row>
    <row r="110" spans="2:12" ht="15" thickBot="1"/>
    <row r="111" spans="2:12">
      <c r="B111" s="351" t="s">
        <v>133</v>
      </c>
      <c r="C111" s="352"/>
      <c r="D111" s="352"/>
      <c r="E111" s="352"/>
      <c r="F111" s="352"/>
      <c r="G111" s="352"/>
      <c r="H111" s="352"/>
      <c r="I111" s="352"/>
      <c r="J111" s="352"/>
      <c r="K111" s="352"/>
      <c r="L111" s="353"/>
    </row>
    <row r="114" spans="2:18">
      <c r="B114" s="228" t="s">
        <v>201</v>
      </c>
    </row>
    <row r="115" spans="2:18">
      <c r="B115" t="s">
        <v>169</v>
      </c>
      <c r="C115" s="207">
        <v>2020</v>
      </c>
      <c r="D115" s="207">
        <v>2025</v>
      </c>
      <c r="E115" s="207">
        <v>2030</v>
      </c>
      <c r="F115" s="207">
        <v>2035</v>
      </c>
      <c r="G115" s="207">
        <v>2040</v>
      </c>
      <c r="H115" s="207">
        <v>2045</v>
      </c>
      <c r="I115" s="207">
        <v>2050</v>
      </c>
    </row>
    <row r="116" spans="2:18">
      <c r="B116" s="207" t="s">
        <v>170</v>
      </c>
      <c r="C116" s="229">
        <v>6.5</v>
      </c>
      <c r="D116" s="229">
        <v>5.5</v>
      </c>
      <c r="E116" s="229">
        <v>4</v>
      </c>
      <c r="F116" s="229">
        <v>3.5</v>
      </c>
      <c r="G116" s="229">
        <v>3</v>
      </c>
      <c r="H116" s="229">
        <v>2.5</v>
      </c>
      <c r="I116" s="229">
        <v>2</v>
      </c>
      <c r="J116" t="s">
        <v>202</v>
      </c>
    </row>
    <row r="117" spans="2:18" ht="55.5" customHeight="1">
      <c r="B117" s="207" t="s">
        <v>172</v>
      </c>
      <c r="C117" s="272">
        <v>11.59222447281984</v>
      </c>
      <c r="D117" s="272">
        <f>(C117+E117)/2</f>
        <v>12.077838324415229</v>
      </c>
      <c r="E117" s="272">
        <v>12.563452176010619</v>
      </c>
      <c r="F117" s="272">
        <f>(E117+G117)/2</f>
        <v>14.389707810630121</v>
      </c>
      <c r="G117" s="272">
        <f>(E117+I117)/2</f>
        <v>16.215963445249621</v>
      </c>
      <c r="H117" s="272">
        <f>(G117+I117)/2</f>
        <v>18.04221907986912</v>
      </c>
      <c r="I117" s="272">
        <v>19.868474714488624</v>
      </c>
      <c r="J117" s="396" t="s">
        <v>239</v>
      </c>
      <c r="K117" s="397"/>
      <c r="L117" s="397"/>
      <c r="M117" s="397"/>
      <c r="N117" s="397"/>
      <c r="O117" s="397"/>
      <c r="P117" s="397"/>
      <c r="Q117" s="397"/>
      <c r="R117" s="397"/>
    </row>
    <row r="118" spans="2:18">
      <c r="B118" s="207" t="s">
        <v>174</v>
      </c>
      <c r="C118" s="229">
        <v>1.27</v>
      </c>
      <c r="D118" s="229">
        <v>1.2953999999999999</v>
      </c>
      <c r="E118" s="229">
        <v>1.3208</v>
      </c>
      <c r="F118" s="229">
        <v>1.3462000000000001</v>
      </c>
      <c r="G118" s="229">
        <v>1.3716000000000002</v>
      </c>
      <c r="H118" s="229">
        <v>1.3843000000000001</v>
      </c>
      <c r="I118" s="229">
        <v>1.3970000000000002</v>
      </c>
      <c r="J118" s="230" t="s">
        <v>175</v>
      </c>
    </row>
    <row r="119" spans="2:18">
      <c r="B119" s="207" t="s">
        <v>176</v>
      </c>
      <c r="C119" s="229">
        <v>1.3640000000000001</v>
      </c>
      <c r="D119" s="229">
        <v>1.3640000000000001</v>
      </c>
      <c r="E119" s="229">
        <v>1.3640000000000001</v>
      </c>
      <c r="F119" s="229">
        <v>1.3640000000000001</v>
      </c>
      <c r="G119" s="229">
        <v>1.3640000000000001</v>
      </c>
      <c r="H119" s="229">
        <v>1.3640000000000001</v>
      </c>
      <c r="I119" s="229">
        <v>1.3640000000000001</v>
      </c>
      <c r="J119" t="s">
        <v>203</v>
      </c>
    </row>
    <row r="120" spans="2:18">
      <c r="B120" s="207" t="s">
        <v>178</v>
      </c>
      <c r="C120" s="229">
        <v>6.2960000000000003</v>
      </c>
      <c r="D120" s="229">
        <v>6.6</v>
      </c>
      <c r="E120" s="229">
        <v>7</v>
      </c>
      <c r="F120" s="229">
        <v>7</v>
      </c>
      <c r="G120" s="229">
        <v>7</v>
      </c>
      <c r="H120" s="229">
        <v>7</v>
      </c>
      <c r="I120" s="229">
        <v>7</v>
      </c>
      <c r="J120" t="s">
        <v>204</v>
      </c>
    </row>
    <row r="121" spans="2:18">
      <c r="B121" s="207" t="s">
        <v>180</v>
      </c>
      <c r="C121" s="229">
        <v>6.3630000000000004</v>
      </c>
      <c r="D121" s="229">
        <v>6.3630000000000004</v>
      </c>
      <c r="E121" s="229">
        <v>6.3630000000000004</v>
      </c>
      <c r="F121" s="229">
        <v>6.3630000000000004</v>
      </c>
      <c r="G121" s="229">
        <v>6.3630000000000004</v>
      </c>
      <c r="H121" s="229">
        <v>6.3630000000000004</v>
      </c>
      <c r="I121" s="229">
        <v>6.3630000000000004</v>
      </c>
      <c r="J121" t="s">
        <v>205</v>
      </c>
    </row>
    <row r="122" spans="2:18">
      <c r="B122" s="207" t="s">
        <v>181</v>
      </c>
      <c r="C122" s="229">
        <v>1.92</v>
      </c>
      <c r="D122" s="229">
        <v>1.92</v>
      </c>
      <c r="E122" s="229">
        <v>1.92</v>
      </c>
      <c r="F122" s="229">
        <v>1.92</v>
      </c>
      <c r="G122" s="229">
        <v>1.92</v>
      </c>
      <c r="H122" s="229">
        <v>1.92</v>
      </c>
      <c r="I122" s="229">
        <v>1.92</v>
      </c>
      <c r="J122" s="241" t="s">
        <v>206</v>
      </c>
    </row>
    <row r="123" spans="2:18">
      <c r="B123" t="s">
        <v>183</v>
      </c>
      <c r="C123" s="231"/>
    </row>
    <row r="124" spans="2:18">
      <c r="B124" s="228" t="s">
        <v>17</v>
      </c>
      <c r="C124" s="232">
        <f>SUM(C116:C123)</f>
        <v>35.305224472819845</v>
      </c>
      <c r="D124" s="232">
        <f t="shared" ref="D124:I124" si="21">SUM(D116:D123)</f>
        <v>35.120238324415233</v>
      </c>
      <c r="E124" s="232">
        <f t="shared" si="21"/>
        <v>34.531252176010625</v>
      </c>
      <c r="F124" s="232">
        <f t="shared" si="21"/>
        <v>35.882907810630122</v>
      </c>
      <c r="G124" s="232">
        <f t="shared" si="21"/>
        <v>37.234563445249627</v>
      </c>
      <c r="H124" s="232">
        <f t="shared" si="21"/>
        <v>38.573519079869122</v>
      </c>
      <c r="I124" s="232">
        <f t="shared" si="21"/>
        <v>39.912474714488631</v>
      </c>
    </row>
  </sheetData>
  <mergeCells count="14">
    <mergeCell ref="J117:R117"/>
    <mergeCell ref="B36:B42"/>
    <mergeCell ref="A1:M1"/>
    <mergeCell ref="C3:H3"/>
    <mergeCell ref="C13:H13"/>
    <mergeCell ref="B19:L19"/>
    <mergeCell ref="B28:B34"/>
    <mergeCell ref="B111:L111"/>
    <mergeCell ref="B45:L45"/>
    <mergeCell ref="B55:B61"/>
    <mergeCell ref="B63:B69"/>
    <mergeCell ref="B72:L72"/>
    <mergeCell ref="B82:L82"/>
    <mergeCell ref="B100:C100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/>
  </sheetPr>
  <dimension ref="A1:M124"/>
  <sheetViews>
    <sheetView topLeftCell="A107" zoomScaleNormal="100" workbookViewId="0">
      <selection activeCell="H133" sqref="H133"/>
    </sheetView>
  </sheetViews>
  <sheetFormatPr baseColWidth="10" defaultRowHeight="14.5"/>
  <cols>
    <col min="3" max="3" width="16.08984375" bestFit="1" customWidth="1"/>
    <col min="4" max="9" width="11.7265625" bestFit="1" customWidth="1"/>
  </cols>
  <sheetData>
    <row r="1" spans="1:13" ht="18.5">
      <c r="A1" s="340" t="s">
        <v>128</v>
      </c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</row>
    <row r="3" spans="1:13">
      <c r="C3" s="345" t="s">
        <v>67</v>
      </c>
      <c r="D3" s="346"/>
      <c r="E3" s="346"/>
      <c r="F3" s="346"/>
      <c r="G3" s="346"/>
      <c r="H3" s="347"/>
    </row>
    <row r="4" spans="1:13">
      <c r="D4" s="9"/>
      <c r="E4" s="9">
        <v>2020</v>
      </c>
      <c r="F4" s="9">
        <v>2030</v>
      </c>
      <c r="G4" s="9">
        <v>2040</v>
      </c>
      <c r="H4" s="9">
        <v>2050</v>
      </c>
    </row>
    <row r="5" spans="1:13">
      <c r="C5" s="8" t="s">
        <v>185</v>
      </c>
      <c r="D5" s="233"/>
      <c r="E5" s="236">
        <f>SUM(E6:E10)</f>
        <v>149.87894190793534</v>
      </c>
      <c r="F5" s="236">
        <f t="shared" ref="F5:H5" si="0">SUM(F6:F10)</f>
        <v>149.52447597301926</v>
      </c>
      <c r="G5" s="236">
        <f t="shared" si="0"/>
        <v>139.81468644331918</v>
      </c>
      <c r="H5" s="236">
        <f t="shared" si="0"/>
        <v>165.37346480993006</v>
      </c>
    </row>
    <row r="6" spans="1:13">
      <c r="C6" s="125" t="s">
        <v>186</v>
      </c>
      <c r="D6" s="86"/>
      <c r="E6" s="233">
        <f>D36+D63+C75+F100+C124</f>
        <v>126.10368632657179</v>
      </c>
      <c r="F6" s="233">
        <f>D38+D65+E78+G100+E124</f>
        <v>129.69208213425179</v>
      </c>
      <c r="G6" s="233">
        <f>D40+D67+G78+G124</f>
        <v>122.74074686765735</v>
      </c>
      <c r="H6" s="233">
        <f>D42+D69+I78+I100+I124</f>
        <v>150.0620746448885</v>
      </c>
    </row>
    <row r="7" spans="1:13">
      <c r="C7" s="125" t="s">
        <v>83</v>
      </c>
      <c r="D7" s="86"/>
      <c r="E7" s="233">
        <f>E36+E63</f>
        <v>17.051351069612235</v>
      </c>
      <c r="F7" s="233">
        <f>E38+E65</f>
        <v>15.520793117628623</v>
      </c>
      <c r="G7" s="233">
        <f>E40+E67</f>
        <v>13.909049724299775</v>
      </c>
      <c r="H7" s="233">
        <f>E42+E69</f>
        <v>12.199716796016482</v>
      </c>
    </row>
    <row r="8" spans="1:13">
      <c r="C8" s="125" t="s">
        <v>187</v>
      </c>
      <c r="D8" s="86"/>
      <c r="E8" s="233">
        <f>G36+G63</f>
        <v>4.9587960253733012</v>
      </c>
      <c r="F8" s="233">
        <f>G38+G65</f>
        <v>2.2625292417858325</v>
      </c>
      <c r="G8" s="233">
        <f>G40+G67</f>
        <v>1.7124476830638553</v>
      </c>
      <c r="H8" s="233">
        <f>G42+G69</f>
        <v>1.1864392103532322</v>
      </c>
    </row>
    <row r="9" spans="1:13">
      <c r="C9" s="125" t="s">
        <v>141</v>
      </c>
      <c r="D9" s="10"/>
      <c r="E9" s="234">
        <f>H36+H63</f>
        <v>0.2146153499104517</v>
      </c>
      <c r="F9" s="233">
        <f>H38+H65</f>
        <v>0.24829997361572975</v>
      </c>
      <c r="G9" s="233">
        <f>H40+H67</f>
        <v>0.26600295794498174</v>
      </c>
      <c r="H9" s="233">
        <f>H42+H69</f>
        <v>0.27719166440460186</v>
      </c>
    </row>
    <row r="10" spans="1:13">
      <c r="C10" s="125" t="s">
        <v>188</v>
      </c>
      <c r="D10" s="10"/>
      <c r="E10" s="234">
        <f>I36</f>
        <v>1.5504931364675845</v>
      </c>
      <c r="F10" s="233">
        <f>I38</f>
        <v>1.8007715057372771</v>
      </c>
      <c r="G10" s="233">
        <f>G42+G69</f>
        <v>1.1864392103532322</v>
      </c>
      <c r="H10" s="233">
        <f>I42</f>
        <v>1.6480424942672633</v>
      </c>
    </row>
    <row r="11" spans="1:13">
      <c r="C11" s="125" t="s">
        <v>211</v>
      </c>
      <c r="D11" s="292"/>
      <c r="E11" s="293"/>
      <c r="F11" s="294"/>
      <c r="G11" s="294"/>
      <c r="H11" s="294"/>
    </row>
    <row r="13" spans="1:13">
      <c r="C13" s="345" t="s">
        <v>106</v>
      </c>
      <c r="D13" s="346"/>
      <c r="E13" s="346"/>
      <c r="F13" s="346"/>
      <c r="G13" s="346"/>
      <c r="H13" s="347"/>
    </row>
    <row r="14" spans="1:13">
      <c r="C14" s="8" t="s">
        <v>189</v>
      </c>
      <c r="D14" s="235"/>
      <c r="E14" s="235">
        <f>E5/$E5-1</f>
        <v>0</v>
      </c>
      <c r="F14" s="235">
        <f t="shared" ref="F14:H14" si="1">F5/$E5-1</f>
        <v>-2.3650149274059284E-3</v>
      </c>
      <c r="G14" s="235">
        <f t="shared" si="1"/>
        <v>-6.7149229481472061E-2</v>
      </c>
      <c r="H14" s="235">
        <f t="shared" si="1"/>
        <v>0.10338025278769569</v>
      </c>
    </row>
    <row r="16" spans="1:13" ht="53.5">
      <c r="C16" s="90"/>
      <c r="D16" s="274" t="s">
        <v>216</v>
      </c>
      <c r="E16" s="273" t="s">
        <v>91</v>
      </c>
      <c r="F16" s="273" t="s">
        <v>35</v>
      </c>
    </row>
    <row r="17" spans="2:12">
      <c r="C17" s="84" t="s">
        <v>23</v>
      </c>
      <c r="D17" s="55">
        <f>'Tableau de bord'!M12</f>
        <v>0.7077584354792531</v>
      </c>
      <c r="E17" s="92">
        <f>'Tableau de bord'!M24</f>
        <v>0.48078356101884373</v>
      </c>
      <c r="F17" s="92">
        <f>'Tableau de bord'!M27</f>
        <v>0.34336976812609077</v>
      </c>
    </row>
    <row r="18" spans="2:12" ht="15" thickBot="1"/>
    <row r="19" spans="2:12">
      <c r="B19" s="351" t="s">
        <v>129</v>
      </c>
      <c r="C19" s="352"/>
      <c r="D19" s="352"/>
      <c r="E19" s="352"/>
      <c r="F19" s="352"/>
      <c r="G19" s="352"/>
      <c r="H19" s="352"/>
      <c r="I19" s="352"/>
      <c r="J19" s="352"/>
      <c r="K19" s="352"/>
      <c r="L19" s="353"/>
    </row>
    <row r="21" spans="2:12">
      <c r="C21" s="199">
        <v>2020</v>
      </c>
      <c r="D21" s="199">
        <f t="shared" ref="D21:I21" si="2">C21+5</f>
        <v>2025</v>
      </c>
      <c r="E21" s="199">
        <f t="shared" si="2"/>
        <v>2030</v>
      </c>
      <c r="F21" s="199">
        <f t="shared" si="2"/>
        <v>2035</v>
      </c>
      <c r="G21" s="199">
        <f t="shared" si="2"/>
        <v>2040</v>
      </c>
      <c r="H21" s="199">
        <f>G21+5</f>
        <v>2045</v>
      </c>
      <c r="I21" s="199">
        <f t="shared" si="2"/>
        <v>2050</v>
      </c>
    </row>
    <row r="22" spans="2:12">
      <c r="B22" s="199" t="s">
        <v>134</v>
      </c>
      <c r="C22" s="200">
        <f>1000*C25/C23</f>
        <v>24.157047003746801</v>
      </c>
      <c r="D22" s="200">
        <v>23</v>
      </c>
      <c r="E22" s="200">
        <v>23</v>
      </c>
      <c r="F22" s="200">
        <v>22.682296583231299</v>
      </c>
      <c r="G22" s="200">
        <v>22.364593166462701</v>
      </c>
      <c r="H22" s="200">
        <v>22.046889749694</v>
      </c>
      <c r="I22" s="200">
        <v>21.729186332925401</v>
      </c>
    </row>
    <row r="23" spans="2:12" ht="15.5">
      <c r="B23" s="201" t="s">
        <v>135</v>
      </c>
      <c r="C23" s="290">
        <f>'Init. parc'!C26/1000</f>
        <v>983.43726386437993</v>
      </c>
      <c r="D23" s="202">
        <f>(C23+E23)/2</f>
        <v>981.05871501297179</v>
      </c>
      <c r="E23" s="202">
        <f>'Init. parc'!D$11/1000</f>
        <v>978.68016616156353</v>
      </c>
      <c r="F23" s="202">
        <f>(E23+G23)/2</f>
        <v>975.9905540462438</v>
      </c>
      <c r="G23" s="202">
        <f>'Init. parc'!E$11/1000</f>
        <v>973.30094193092407</v>
      </c>
      <c r="H23" s="202">
        <f>(G23+I23)/2</f>
        <v>960.67952255322439</v>
      </c>
      <c r="I23" s="202">
        <f>'Init. parc'!F$11/1000</f>
        <v>948.05810317552482</v>
      </c>
      <c r="J23" s="203"/>
    </row>
    <row r="25" spans="2:12">
      <c r="B25" s="204" t="s">
        <v>136</v>
      </c>
      <c r="C25" s="288">
        <f>'Init. énergie'!C113</f>
        <v>23.756940208407972</v>
      </c>
      <c r="D25" s="205">
        <f t="shared" ref="D25:I25" si="3">D23*D22/1000</f>
        <v>22.564350445298352</v>
      </c>
      <c r="E25" s="205">
        <f t="shared" si="3"/>
        <v>22.509643821715962</v>
      </c>
      <c r="F25" s="205">
        <f t="shared" si="3"/>
        <v>22.137707209309138</v>
      </c>
      <c r="G25" s="205">
        <f t="shared" si="3"/>
        <v>21.767479594820056</v>
      </c>
      <c r="H25" s="205">
        <f t="shared" si="3"/>
        <v>21.179995518519608</v>
      </c>
      <c r="I25" s="205">
        <f t="shared" si="3"/>
        <v>20.600531178340791</v>
      </c>
    </row>
    <row r="27" spans="2:12">
      <c r="B27" s="199"/>
      <c r="C27" s="206" t="s">
        <v>18</v>
      </c>
      <c r="D27" s="199" t="s">
        <v>137</v>
      </c>
      <c r="E27" s="199" t="s">
        <v>138</v>
      </c>
      <c r="F27" s="199" t="s">
        <v>139</v>
      </c>
      <c r="G27" s="199" t="s">
        <v>140</v>
      </c>
      <c r="H27" s="199" t="s">
        <v>141</v>
      </c>
      <c r="I27" s="199" t="s">
        <v>142</v>
      </c>
      <c r="J27" s="199"/>
    </row>
    <row r="28" spans="2:12">
      <c r="B28" s="398" t="s">
        <v>143</v>
      </c>
      <c r="C28" s="207">
        <v>2020</v>
      </c>
      <c r="D28" s="289">
        <f>'Init. énergie'!D108</f>
        <v>0.30436996905591907</v>
      </c>
      <c r="E28" s="289">
        <f>'Init. énergie'!D111</f>
        <v>0.4755949508570973</v>
      </c>
      <c r="F28" s="289"/>
      <c r="G28" s="289">
        <f>'Init. énergie'!D110+'Init. énergie'!D112</f>
        <v>0.14872764446813611</v>
      </c>
      <c r="H28" s="289">
        <f>'Init. énergie'!D109</f>
        <v>6.0425857322091549E-3</v>
      </c>
      <c r="I28" s="289">
        <f>'Init. énergie'!D107</f>
        <v>6.5264849886638152E-2</v>
      </c>
      <c r="J28" s="289">
        <v>0</v>
      </c>
    </row>
    <row r="29" spans="2:12">
      <c r="B29" s="398"/>
      <c r="C29" s="199">
        <f t="shared" ref="C29:C34" si="4">C28+5</f>
        <v>2025</v>
      </c>
      <c r="D29" s="208">
        <f>(D28+D30)/2</f>
        <v>0.36218498452795955</v>
      </c>
      <c r="E29" s="208">
        <f>(E28+E30)/2</f>
        <v>0.45879747542854865</v>
      </c>
      <c r="F29" s="208"/>
      <c r="G29" s="208">
        <f>(G28+G30)/2</f>
        <v>9.9363822234068061E-2</v>
      </c>
      <c r="H29" s="208">
        <f>(H28+H30)/2</f>
        <v>7.0212928661045771E-3</v>
      </c>
      <c r="I29" s="208">
        <f>(I28+I30)/2</f>
        <v>7.2632424943319077E-2</v>
      </c>
      <c r="J29" s="208"/>
    </row>
    <row r="30" spans="2:12">
      <c r="B30" s="398"/>
      <c r="C30" s="199">
        <f t="shared" si="4"/>
        <v>2030</v>
      </c>
      <c r="D30" s="208">
        <v>0.42</v>
      </c>
      <c r="E30" s="208">
        <v>0.442</v>
      </c>
      <c r="F30" s="208"/>
      <c r="G30" s="208">
        <v>0.05</v>
      </c>
      <c r="H30" s="208">
        <v>8.0000000000000002E-3</v>
      </c>
      <c r="I30" s="208">
        <v>0.08</v>
      </c>
      <c r="J30" s="208"/>
    </row>
    <row r="31" spans="2:12">
      <c r="B31" s="398"/>
      <c r="C31" s="199">
        <f t="shared" si="4"/>
        <v>2035</v>
      </c>
      <c r="D31" s="208">
        <f>(D30+D32)/2</f>
        <v>0.46499999999999997</v>
      </c>
      <c r="E31" s="208">
        <f>(E30+E32)/2</f>
        <v>0.40900000000000003</v>
      </c>
      <c r="F31" s="208"/>
      <c r="G31" s="208">
        <f>(G30+G32)/2</f>
        <v>3.7500000000000006E-2</v>
      </c>
      <c r="H31" s="208">
        <f>(H30+H32)/2</f>
        <v>8.5000000000000006E-3</v>
      </c>
      <c r="I31" s="208">
        <f>(I30+I32)/2</f>
        <v>0.08</v>
      </c>
      <c r="J31" s="208"/>
    </row>
    <row r="32" spans="2:12">
      <c r="B32" s="398"/>
      <c r="C32" s="199">
        <f t="shared" si="4"/>
        <v>2040</v>
      </c>
      <c r="D32" s="208">
        <f>(D30+D34)/2</f>
        <v>0.51</v>
      </c>
      <c r="E32" s="208">
        <f>(E30+E34)/2</f>
        <v>0.376</v>
      </c>
      <c r="F32" s="208"/>
      <c r="G32" s="208">
        <f>(G30+G34)/2</f>
        <v>2.5000000000000001E-2</v>
      </c>
      <c r="H32" s="208">
        <f>(H30+H34)/2</f>
        <v>9.0000000000000011E-3</v>
      </c>
      <c r="I32" s="208">
        <f>(I30+I34)/2</f>
        <v>0.08</v>
      </c>
      <c r="J32" s="208"/>
    </row>
    <row r="33" spans="2:12">
      <c r="B33" s="398"/>
      <c r="C33" s="199">
        <f t="shared" si="4"/>
        <v>2045</v>
      </c>
      <c r="D33" s="208">
        <f>(D32+D34)/2</f>
        <v>0.55499999999999994</v>
      </c>
      <c r="E33" s="208">
        <f>(E32+E34)/2</f>
        <v>0.34299999999999997</v>
      </c>
      <c r="F33" s="208"/>
      <c r="G33" s="208">
        <f>(G32+G34)/2</f>
        <v>1.2500000000000001E-2</v>
      </c>
      <c r="H33" s="208">
        <f>(H32+H34)/2</f>
        <v>9.5000000000000015E-3</v>
      </c>
      <c r="I33" s="208">
        <f>(I32+I34)/2</f>
        <v>0.08</v>
      </c>
      <c r="J33" s="208"/>
    </row>
    <row r="34" spans="2:12">
      <c r="B34" s="398"/>
      <c r="C34" s="199">
        <f t="shared" si="4"/>
        <v>2050</v>
      </c>
      <c r="D34" s="208">
        <v>0.6</v>
      </c>
      <c r="E34" s="208">
        <v>0.31</v>
      </c>
      <c r="F34" s="208"/>
      <c r="G34" s="208">
        <v>0</v>
      </c>
      <c r="H34" s="208">
        <v>0.01</v>
      </c>
      <c r="I34" s="208">
        <v>0.08</v>
      </c>
      <c r="J34" s="208"/>
    </row>
    <row r="35" spans="2:12">
      <c r="D35" s="209"/>
      <c r="E35" s="209"/>
      <c r="F35" s="209"/>
      <c r="G35" s="209"/>
      <c r="H35" s="209"/>
      <c r="I35" s="209"/>
      <c r="J35" s="209"/>
    </row>
    <row r="36" spans="2:12">
      <c r="B36" s="398" t="s">
        <v>144</v>
      </c>
      <c r="C36" s="207">
        <v>2020</v>
      </c>
      <c r="D36" s="209">
        <f>$C25*D28</f>
        <v>7.230899156096454</v>
      </c>
      <c r="E36" s="209">
        <f t="shared" ref="E36:I36" si="5">$C25*E28</f>
        <v>11.298680810932789</v>
      </c>
      <c r="F36" s="209">
        <f t="shared" si="5"/>
        <v>0</v>
      </c>
      <c r="G36" s="209">
        <f t="shared" si="5"/>
        <v>3.533313756966868</v>
      </c>
      <c r="H36" s="209">
        <f t="shared" si="5"/>
        <v>0.14355334794427199</v>
      </c>
      <c r="I36" s="209">
        <f t="shared" si="5"/>
        <v>1.5504931364675845</v>
      </c>
      <c r="J36" s="209"/>
    </row>
    <row r="37" spans="2:12">
      <c r="B37" s="398"/>
      <c r="C37" s="199">
        <f t="shared" ref="C37:C42" si="6">C36+5</f>
        <v>2025</v>
      </c>
      <c r="D37" s="209">
        <f>$D25*D29</f>
        <v>8.1724689169138411</v>
      </c>
      <c r="E37" s="209">
        <f t="shared" ref="E37:I37" si="7">$D25*E29</f>
        <v>10.352467018987932</v>
      </c>
      <c r="F37" s="209">
        <f t="shared" si="7"/>
        <v>0</v>
      </c>
      <c r="G37" s="209">
        <f t="shared" si="7"/>
        <v>2.24208010647384</v>
      </c>
      <c r="H37" s="209">
        <f t="shared" si="7"/>
        <v>0.15843091280985697</v>
      </c>
      <c r="I37" s="209">
        <f t="shared" si="7"/>
        <v>1.6389034901128809</v>
      </c>
      <c r="J37" s="209"/>
    </row>
    <row r="38" spans="2:12">
      <c r="B38" s="398"/>
      <c r="C38" s="199">
        <f t="shared" si="6"/>
        <v>2030</v>
      </c>
      <c r="D38" s="209">
        <f>$E25*D30</f>
        <v>9.4540504051207037</v>
      </c>
      <c r="E38" s="209">
        <f t="shared" ref="E38:I38" si="8">$E25*E30</f>
        <v>9.9492625691984546</v>
      </c>
      <c r="F38" s="209">
        <f t="shared" si="8"/>
        <v>0</v>
      </c>
      <c r="G38" s="209">
        <f t="shared" si="8"/>
        <v>1.1254821910857982</v>
      </c>
      <c r="H38" s="209">
        <f t="shared" si="8"/>
        <v>0.1800771505737277</v>
      </c>
      <c r="I38" s="209">
        <f t="shared" si="8"/>
        <v>1.8007715057372771</v>
      </c>
      <c r="J38" s="209"/>
    </row>
    <row r="39" spans="2:12">
      <c r="B39" s="398"/>
      <c r="C39" s="199">
        <f t="shared" si="6"/>
        <v>2035</v>
      </c>
      <c r="D39" s="209">
        <f>$F25*D31</f>
        <v>10.294033852328749</v>
      </c>
      <c r="E39" s="209">
        <f t="shared" ref="E39:I39" si="9">$F25*E31</f>
        <v>9.0543222486074377</v>
      </c>
      <c r="F39" s="209">
        <f t="shared" si="9"/>
        <v>0</v>
      </c>
      <c r="G39" s="209">
        <f t="shared" si="9"/>
        <v>0.83016402034909276</v>
      </c>
      <c r="H39" s="209">
        <f t="shared" si="9"/>
        <v>0.18817051127912768</v>
      </c>
      <c r="I39" s="209">
        <f t="shared" si="9"/>
        <v>1.771016576744731</v>
      </c>
      <c r="J39" s="209"/>
    </row>
    <row r="40" spans="2:12">
      <c r="B40" s="398"/>
      <c r="C40" s="199">
        <f t="shared" si="6"/>
        <v>2040</v>
      </c>
      <c r="D40" s="209">
        <f>$G25*D32</f>
        <v>11.101414593358228</v>
      </c>
      <c r="E40" s="209">
        <f t="shared" ref="E40:I40" si="10">$G25*E32</f>
        <v>8.1845723276523419</v>
      </c>
      <c r="F40" s="209">
        <f t="shared" si="10"/>
        <v>0</v>
      </c>
      <c r="G40" s="209">
        <f t="shared" si="10"/>
        <v>0.5441869898705014</v>
      </c>
      <c r="H40" s="209">
        <f t="shared" si="10"/>
        <v>0.19590731635338052</v>
      </c>
      <c r="I40" s="209">
        <f t="shared" si="10"/>
        <v>1.7413983675856046</v>
      </c>
      <c r="J40" s="209"/>
    </row>
    <row r="41" spans="2:12">
      <c r="B41" s="398"/>
      <c r="C41" s="199">
        <f t="shared" si="6"/>
        <v>2045</v>
      </c>
      <c r="D41" s="209">
        <f>$H25*D33</f>
        <v>11.754897512778381</v>
      </c>
      <c r="E41" s="209">
        <f t="shared" ref="E41:I41" si="11">$H25*E33</f>
        <v>7.2647384628522245</v>
      </c>
      <c r="F41" s="209">
        <f t="shared" si="11"/>
        <v>0</v>
      </c>
      <c r="G41" s="209">
        <f t="shared" si="11"/>
        <v>0.2647499439814951</v>
      </c>
      <c r="H41" s="209">
        <f t="shared" si="11"/>
        <v>0.20120995742593631</v>
      </c>
      <c r="I41" s="209">
        <f t="shared" si="11"/>
        <v>1.6943996414815687</v>
      </c>
      <c r="J41" s="209"/>
    </row>
    <row r="42" spans="2:12">
      <c r="B42" s="398"/>
      <c r="C42" s="199">
        <f t="shared" si="6"/>
        <v>2050</v>
      </c>
      <c r="D42" s="209">
        <f>$I25*D34</f>
        <v>12.360318707004474</v>
      </c>
      <c r="E42" s="209">
        <f t="shared" ref="E42:I42" si="12">$I25*E34</f>
        <v>6.3861646652856452</v>
      </c>
      <c r="F42" s="209">
        <f t="shared" si="12"/>
        <v>0</v>
      </c>
      <c r="G42" s="209">
        <f t="shared" si="12"/>
        <v>0</v>
      </c>
      <c r="H42" s="209">
        <f t="shared" si="12"/>
        <v>0.20600531178340792</v>
      </c>
      <c r="I42" s="209">
        <f t="shared" si="12"/>
        <v>1.6480424942672633</v>
      </c>
      <c r="J42" s="209"/>
    </row>
    <row r="44" spans="2:12" ht="15" thickBot="1"/>
    <row r="45" spans="2:12">
      <c r="B45" s="351" t="s">
        <v>130</v>
      </c>
      <c r="C45" s="352"/>
      <c r="D45" s="352"/>
      <c r="E45" s="352"/>
      <c r="F45" s="352"/>
      <c r="G45" s="352"/>
      <c r="H45" s="352"/>
      <c r="I45" s="352"/>
      <c r="J45" s="352"/>
      <c r="K45" s="352"/>
      <c r="L45" s="353"/>
    </row>
    <row r="47" spans="2:12">
      <c r="C47" s="199">
        <v>2020</v>
      </c>
      <c r="D47" s="199">
        <f t="shared" ref="D47:I47" si="13">C47+5</f>
        <v>2025</v>
      </c>
      <c r="E47" s="199">
        <f t="shared" si="13"/>
        <v>2030</v>
      </c>
      <c r="F47" s="199">
        <f t="shared" si="13"/>
        <v>2035</v>
      </c>
      <c r="G47" s="199">
        <f t="shared" si="13"/>
        <v>2040</v>
      </c>
      <c r="H47" s="199">
        <f t="shared" si="13"/>
        <v>2045</v>
      </c>
      <c r="I47" s="199">
        <f t="shared" si="13"/>
        <v>2050</v>
      </c>
    </row>
    <row r="48" spans="2:12">
      <c r="B48" s="199" t="s">
        <v>147</v>
      </c>
      <c r="C48" s="200">
        <f>C51*1000/C49</f>
        <v>11.917242128551779</v>
      </c>
      <c r="D48" s="200">
        <v>11.59</v>
      </c>
      <c r="E48" s="200">
        <v>11.78</v>
      </c>
      <c r="F48" s="200">
        <v>11.97</v>
      </c>
      <c r="G48" s="200">
        <v>12.16</v>
      </c>
      <c r="H48" s="200">
        <v>12.35</v>
      </c>
      <c r="I48" s="200">
        <v>12.54</v>
      </c>
    </row>
    <row r="49" spans="2:9" ht="15.5">
      <c r="B49" s="201" t="s">
        <v>135</v>
      </c>
      <c r="C49" s="202">
        <f>C23</f>
        <v>983.43726386437993</v>
      </c>
      <c r="D49" s="202">
        <f t="shared" ref="D49:I49" si="14">D23</f>
        <v>981.05871501297179</v>
      </c>
      <c r="E49" s="202">
        <f t="shared" si="14"/>
        <v>978.68016616156353</v>
      </c>
      <c r="F49" s="202">
        <f t="shared" si="14"/>
        <v>975.9905540462438</v>
      </c>
      <c r="G49" s="202">
        <f t="shared" si="14"/>
        <v>973.30094193092407</v>
      </c>
      <c r="H49" s="202">
        <f t="shared" si="14"/>
        <v>960.67952255322439</v>
      </c>
      <c r="I49" s="202">
        <f t="shared" si="14"/>
        <v>948.05810317552482</v>
      </c>
    </row>
    <row r="51" spans="2:9">
      <c r="B51" s="204" t="s">
        <v>136</v>
      </c>
      <c r="C51" s="288">
        <f>'Init. énergie'!C124</f>
        <v>11.719859991712282</v>
      </c>
      <c r="D51" s="205">
        <f t="shared" ref="D51:I51" si="15">D49*D48/1000</f>
        <v>11.370470507000343</v>
      </c>
      <c r="E51" s="205">
        <f t="shared" si="15"/>
        <v>11.528852357383217</v>
      </c>
      <c r="F51" s="205">
        <f t="shared" si="15"/>
        <v>11.682606931933538</v>
      </c>
      <c r="G51" s="205">
        <f t="shared" si="15"/>
        <v>11.835339453880037</v>
      </c>
      <c r="H51" s="205">
        <f t="shared" si="15"/>
        <v>11.864392103532321</v>
      </c>
      <c r="I51" s="205">
        <f t="shared" si="15"/>
        <v>11.888648613821081</v>
      </c>
    </row>
    <row r="54" spans="2:9">
      <c r="B54" s="199"/>
      <c r="C54" s="206" t="s">
        <v>18</v>
      </c>
      <c r="D54" s="199" t="s">
        <v>137</v>
      </c>
      <c r="E54" s="199" t="s">
        <v>83</v>
      </c>
      <c r="F54" s="199" t="s">
        <v>139</v>
      </c>
      <c r="G54" s="199" t="s">
        <v>140</v>
      </c>
      <c r="H54" s="199" t="s">
        <v>141</v>
      </c>
      <c r="I54" s="199"/>
    </row>
    <row r="55" spans="2:9">
      <c r="B55" s="398" t="s">
        <v>146</v>
      </c>
      <c r="C55" s="207">
        <v>2020</v>
      </c>
      <c r="D55" s="291">
        <f>'Init. énergie'!D119</f>
        <v>0.38145894795856289</v>
      </c>
      <c r="E55" s="291">
        <f>'Init. énergie'!D122</f>
        <v>0.4908480359618167</v>
      </c>
      <c r="F55" s="291"/>
      <c r="G55" s="291">
        <f>'Init. énergie'!D121+'Init. énergie'!D123</f>
        <v>0.121629632897873</v>
      </c>
      <c r="H55" s="291">
        <f>'Init. énergie'!D120</f>
        <v>6.0633831817471636E-3</v>
      </c>
      <c r="I55" s="208"/>
    </row>
    <row r="56" spans="2:9">
      <c r="B56" s="398"/>
      <c r="C56" s="199">
        <f t="shared" ref="C56:C61" si="16">C55+5</f>
        <v>2025</v>
      </c>
      <c r="D56" s="208">
        <v>0.39300000000000002</v>
      </c>
      <c r="E56" s="208">
        <v>0.49049999999999999</v>
      </c>
      <c r="F56" s="208"/>
      <c r="G56" s="208">
        <v>0.1105</v>
      </c>
      <c r="H56" s="208">
        <v>6.0000000000000001E-3</v>
      </c>
      <c r="I56" s="208"/>
    </row>
    <row r="57" spans="2:9">
      <c r="B57" s="398"/>
      <c r="C57" s="199">
        <f t="shared" si="16"/>
        <v>2030</v>
      </c>
      <c r="D57" s="208">
        <v>0.40400000000000003</v>
      </c>
      <c r="E57" s="208">
        <v>0.49</v>
      </c>
      <c r="F57" s="208"/>
      <c r="G57" s="208">
        <v>0.1</v>
      </c>
      <c r="H57" s="208">
        <v>6.0000000000000001E-3</v>
      </c>
      <c r="I57" s="208"/>
    </row>
    <row r="58" spans="2:9">
      <c r="B58" s="398"/>
      <c r="C58" s="199">
        <f t="shared" si="16"/>
        <v>2035</v>
      </c>
      <c r="D58" s="208">
        <v>0.40400000000000003</v>
      </c>
      <c r="E58" s="208">
        <v>0.49</v>
      </c>
      <c r="F58" s="208"/>
      <c r="G58" s="208">
        <v>0.1</v>
      </c>
      <c r="H58" s="208">
        <v>6.0000000000000001E-3</v>
      </c>
      <c r="I58" s="208"/>
    </row>
    <row r="59" spans="2:9">
      <c r="B59" s="398"/>
      <c r="C59" s="199">
        <f t="shared" si="16"/>
        <v>2040</v>
      </c>
      <c r="D59" s="208">
        <v>0.40400000000000003</v>
      </c>
      <c r="E59" s="208">
        <v>0.49</v>
      </c>
      <c r="F59" s="208"/>
      <c r="G59" s="208">
        <v>0.1</v>
      </c>
      <c r="H59" s="208">
        <v>6.0000000000000001E-3</v>
      </c>
      <c r="I59" s="208"/>
    </row>
    <row r="60" spans="2:9">
      <c r="B60" s="398"/>
      <c r="C60" s="199">
        <f t="shared" si="16"/>
        <v>2045</v>
      </c>
      <c r="D60" s="208">
        <v>0.40400000000000003</v>
      </c>
      <c r="E60" s="208">
        <v>0.49</v>
      </c>
      <c r="F60" s="208"/>
      <c r="G60" s="208">
        <v>0.1</v>
      </c>
      <c r="H60" s="208">
        <v>6.0000000000000001E-3</v>
      </c>
      <c r="I60" s="208"/>
    </row>
    <row r="61" spans="2:9">
      <c r="B61" s="398"/>
      <c r="C61" s="199">
        <f t="shared" si="16"/>
        <v>2050</v>
      </c>
      <c r="D61" s="208">
        <v>0.40400000000000003</v>
      </c>
      <c r="E61" s="208">
        <v>0.49</v>
      </c>
      <c r="F61" s="208"/>
      <c r="G61" s="208">
        <v>0.1</v>
      </c>
      <c r="H61" s="208">
        <v>6.0000000000000001E-3</v>
      </c>
      <c r="I61" s="208"/>
    </row>
    <row r="63" spans="2:9">
      <c r="B63" s="398" t="s">
        <v>145</v>
      </c>
      <c r="C63" s="207">
        <v>2020</v>
      </c>
      <c r="D63" s="209">
        <f>$C51*D55</f>
        <v>4.4706454626602188</v>
      </c>
      <c r="E63" s="209">
        <f t="shared" ref="E63:G63" si="17">$C51*E55</f>
        <v>5.7526702586794469</v>
      </c>
      <c r="F63" s="209">
        <f t="shared" si="17"/>
        <v>0</v>
      </c>
      <c r="G63" s="209">
        <f t="shared" si="17"/>
        <v>1.4254822684064337</v>
      </c>
      <c r="H63" s="209">
        <f>$C51*H55</f>
        <v>7.1062001966179705E-2</v>
      </c>
      <c r="I63" s="209"/>
    </row>
    <row r="64" spans="2:9">
      <c r="B64" s="398"/>
      <c r="C64" s="199">
        <f t="shared" ref="C64:C69" si="18">C63+5</f>
        <v>2025</v>
      </c>
      <c r="D64" s="209">
        <f>$C51*D56</f>
        <v>4.6059049767429272</v>
      </c>
      <c r="E64" s="209">
        <f>$C51*E56</f>
        <v>5.748591325934874</v>
      </c>
      <c r="F64" s="209">
        <f>$C51*F56</f>
        <v>0</v>
      </c>
      <c r="G64" s="209">
        <f>$C51*G56</f>
        <v>1.2950445290842072</v>
      </c>
      <c r="H64" s="209">
        <f>$C51*H56</f>
        <v>7.0319159950273685E-2</v>
      </c>
      <c r="I64" s="209"/>
    </row>
    <row r="65" spans="2:12">
      <c r="B65" s="398"/>
      <c r="C65" s="199">
        <f t="shared" si="18"/>
        <v>2030</v>
      </c>
      <c r="D65" s="209">
        <f>$D51*D57</f>
        <v>4.5936700848281387</v>
      </c>
      <c r="E65" s="209">
        <f>$D51*E57</f>
        <v>5.571530548430168</v>
      </c>
      <c r="F65" s="209">
        <f>$D51*F57</f>
        <v>0</v>
      </c>
      <c r="G65" s="209">
        <f>$D51*G57</f>
        <v>1.1370470507000343</v>
      </c>
      <c r="H65" s="209">
        <f>$D51*H57</f>
        <v>6.8222823042002056E-2</v>
      </c>
      <c r="I65" s="209"/>
    </row>
    <row r="66" spans="2:12">
      <c r="B66" s="398"/>
      <c r="C66" s="199">
        <f t="shared" si="18"/>
        <v>2035</v>
      </c>
      <c r="D66" s="209">
        <f>$E51*D58</f>
        <v>4.6576563523828201</v>
      </c>
      <c r="E66" s="209">
        <f>$E51*E58</f>
        <v>5.6491376551177765</v>
      </c>
      <c r="F66" s="209">
        <f>$E51*F58</f>
        <v>0</v>
      </c>
      <c r="G66" s="209">
        <f>$E51*G58</f>
        <v>1.1528852357383217</v>
      </c>
      <c r="H66" s="209">
        <f>$E51*H58</f>
        <v>6.9173114144299302E-2</v>
      </c>
      <c r="I66" s="209"/>
    </row>
    <row r="67" spans="2:12">
      <c r="B67" s="398"/>
      <c r="C67" s="199">
        <f t="shared" si="18"/>
        <v>2040</v>
      </c>
      <c r="D67" s="209">
        <f>$F51*D59</f>
        <v>4.7197732005011499</v>
      </c>
      <c r="E67" s="209">
        <f>$F51*E59</f>
        <v>5.7244773966474334</v>
      </c>
      <c r="F67" s="209">
        <f>$F51*F59</f>
        <v>0</v>
      </c>
      <c r="G67" s="209">
        <f>$F51*G59</f>
        <v>1.1682606931933539</v>
      </c>
      <c r="H67" s="209">
        <f>$F51*H59</f>
        <v>7.0095641591601227E-2</v>
      </c>
      <c r="I67" s="209"/>
    </row>
    <row r="68" spans="2:12">
      <c r="B68" s="398"/>
      <c r="C68" s="199">
        <f t="shared" si="18"/>
        <v>2045</v>
      </c>
      <c r="D68" s="209">
        <f>$G51*D60</f>
        <v>4.781477139367535</v>
      </c>
      <c r="E68" s="209">
        <f>$G51*E60</f>
        <v>5.7993163324012178</v>
      </c>
      <c r="F68" s="209">
        <f>$G51*F60</f>
        <v>0</v>
      </c>
      <c r="G68" s="209">
        <f>$G51*G60</f>
        <v>1.1835339453880038</v>
      </c>
      <c r="H68" s="209">
        <f>$G51*H60</f>
        <v>7.1012036723280228E-2</v>
      </c>
      <c r="I68" s="209"/>
    </row>
    <row r="69" spans="2:12">
      <c r="B69" s="398"/>
      <c r="C69" s="199">
        <f t="shared" si="18"/>
        <v>2050</v>
      </c>
      <c r="D69" s="209">
        <f>$H51*D61</f>
        <v>4.7932144098270584</v>
      </c>
      <c r="E69" s="209">
        <f>$H51*E61</f>
        <v>5.8135521307308373</v>
      </c>
      <c r="F69" s="209">
        <f>$H51*F61</f>
        <v>0</v>
      </c>
      <c r="G69" s="209">
        <f>$H51*G61</f>
        <v>1.1864392103532322</v>
      </c>
      <c r="H69" s="209">
        <f>$H51*H61</f>
        <v>7.1186352621193924E-2</v>
      </c>
      <c r="I69" s="209"/>
    </row>
    <row r="71" spans="2:12" ht="15" thickBot="1"/>
    <row r="72" spans="2:12">
      <c r="B72" s="351" t="s">
        <v>131</v>
      </c>
      <c r="C72" s="352"/>
      <c r="D72" s="352"/>
      <c r="E72" s="352"/>
      <c r="F72" s="352"/>
      <c r="G72" s="352"/>
      <c r="H72" s="352"/>
      <c r="I72" s="352"/>
      <c r="J72" s="352"/>
      <c r="K72" s="352"/>
      <c r="L72" s="353"/>
    </row>
    <row r="74" spans="2:12">
      <c r="C74" s="93">
        <v>2020</v>
      </c>
      <c r="D74" s="93">
        <f t="shared" ref="D74:I74" si="19">C74+5</f>
        <v>2025</v>
      </c>
      <c r="E74" s="93">
        <f t="shared" si="19"/>
        <v>2030</v>
      </c>
      <c r="F74" s="93">
        <f t="shared" si="19"/>
        <v>2035</v>
      </c>
      <c r="G74" s="93">
        <f t="shared" si="19"/>
        <v>2040</v>
      </c>
      <c r="H74" s="93">
        <f>G74+5</f>
        <v>2045</v>
      </c>
      <c r="I74" s="93">
        <f t="shared" si="19"/>
        <v>2050</v>
      </c>
    </row>
    <row r="75" spans="2:12">
      <c r="B75" s="199" t="s">
        <v>148</v>
      </c>
      <c r="C75" s="210">
        <f>1000*C78/C76</f>
        <v>71.486715150511714</v>
      </c>
      <c r="D75" s="210">
        <v>71.102500000000006</v>
      </c>
      <c r="E75" s="210">
        <v>70.504999999999995</v>
      </c>
      <c r="F75" s="210">
        <v>69.907499999999999</v>
      </c>
      <c r="G75" s="210">
        <v>69.31</v>
      </c>
      <c r="H75" s="210">
        <v>68.712500000000006</v>
      </c>
      <c r="I75" s="210">
        <v>68.114999999999995</v>
      </c>
    </row>
    <row r="76" spans="2:12" ht="15.5">
      <c r="B76" s="201" t="s">
        <v>135</v>
      </c>
      <c r="C76" s="202">
        <f>C23</f>
        <v>983.43726386437993</v>
      </c>
      <c r="D76" s="202">
        <f t="shared" ref="D76:I76" si="20">D23</f>
        <v>981.05871501297179</v>
      </c>
      <c r="E76" s="202">
        <f t="shared" si="20"/>
        <v>978.68016616156353</v>
      </c>
      <c r="F76" s="202">
        <f t="shared" si="20"/>
        <v>975.9905540462438</v>
      </c>
      <c r="G76" s="202">
        <f t="shared" si="20"/>
        <v>973.30094193092407</v>
      </c>
      <c r="H76" s="202">
        <f t="shared" si="20"/>
        <v>960.67952255322439</v>
      </c>
      <c r="I76" s="202">
        <f t="shared" si="20"/>
        <v>948.05810317552482</v>
      </c>
    </row>
    <row r="78" spans="2:12">
      <c r="B78" s="204" t="s">
        <v>136</v>
      </c>
      <c r="C78" s="288">
        <f>'Init. énergie'!C130</f>
        <v>70.302699550271555</v>
      </c>
      <c r="D78" s="205">
        <f t="shared" ref="D78:I78" si="21">D76*D75/1000</f>
        <v>69.755727284209826</v>
      </c>
      <c r="E78" s="205">
        <f t="shared" si="21"/>
        <v>69.00184511522103</v>
      </c>
      <c r="F78" s="205">
        <f t="shared" si="21"/>
        <v>68.229059656987786</v>
      </c>
      <c r="G78" s="205">
        <f t="shared" si="21"/>
        <v>67.459488285232354</v>
      </c>
      <c r="H78" s="205">
        <f t="shared" si="21"/>
        <v>66.010691693438432</v>
      </c>
      <c r="I78" s="205">
        <f t="shared" si="21"/>
        <v>64.576977697800871</v>
      </c>
    </row>
    <row r="79" spans="2:12">
      <c r="C79" s="246"/>
      <c r="D79" s="246"/>
      <c r="E79" s="246"/>
      <c r="F79" s="246"/>
      <c r="G79" s="246"/>
      <c r="H79" s="246"/>
      <c r="I79" s="246"/>
    </row>
    <row r="81" spans="2:12" ht="15" thickBot="1"/>
    <row r="82" spans="2:12">
      <c r="B82" s="351" t="s">
        <v>132</v>
      </c>
      <c r="C82" s="352"/>
      <c r="D82" s="352"/>
      <c r="E82" s="352"/>
      <c r="F82" s="352"/>
      <c r="G82" s="352"/>
      <c r="H82" s="352"/>
      <c r="I82" s="352"/>
      <c r="J82" s="352"/>
      <c r="K82" s="352"/>
      <c r="L82" s="353"/>
    </row>
    <row r="84" spans="2:12">
      <c r="B84" t="s">
        <v>149</v>
      </c>
    </row>
    <row r="85" spans="2:12" ht="15" thickBot="1"/>
    <row r="86" spans="2:12">
      <c r="B86" s="211" t="s">
        <v>150</v>
      </c>
      <c r="C86" s="212"/>
      <c r="D86" s="213">
        <v>2006</v>
      </c>
      <c r="E86" s="213">
        <v>2015</v>
      </c>
      <c r="F86" s="213">
        <v>2020</v>
      </c>
      <c r="G86" s="213">
        <v>2030</v>
      </c>
      <c r="H86" s="213">
        <v>2040</v>
      </c>
      <c r="I86" s="214">
        <v>2050</v>
      </c>
    </row>
    <row r="87" spans="2:12">
      <c r="B87" s="215" t="s">
        <v>151</v>
      </c>
      <c r="C87" s="216"/>
      <c r="D87" s="217"/>
      <c r="E87" s="217"/>
      <c r="F87" s="217">
        <v>3.19248740869187</v>
      </c>
      <c r="G87" s="217">
        <v>3.7012509422540707</v>
      </c>
      <c r="H87" s="217">
        <v>4.5388456863932838</v>
      </c>
      <c r="I87" s="218">
        <v>5.8188178236632151</v>
      </c>
    </row>
    <row r="88" spans="2:12">
      <c r="B88" s="219" t="s">
        <v>152</v>
      </c>
      <c r="C88" s="220"/>
      <c r="D88" s="221"/>
      <c r="E88" s="221"/>
      <c r="F88" s="221">
        <v>0.90642131916452451</v>
      </c>
      <c r="G88" s="221">
        <v>1.1219830606989232</v>
      </c>
      <c r="H88" s="221">
        <v>1.5907874520846512</v>
      </c>
      <c r="I88" s="222">
        <v>2.2588052085248229</v>
      </c>
    </row>
    <row r="89" spans="2:12">
      <c r="B89" s="215" t="s">
        <v>153</v>
      </c>
      <c r="C89" s="216"/>
      <c r="D89" s="217"/>
      <c r="E89" s="217"/>
      <c r="F89" s="217">
        <v>1.3712899722102905</v>
      </c>
      <c r="G89" s="217">
        <v>1.6506573519178986</v>
      </c>
      <c r="H89" s="217">
        <v>2.2783613217068468</v>
      </c>
      <c r="I89" s="218">
        <v>3.1627998799152346</v>
      </c>
    </row>
    <row r="90" spans="2:12">
      <c r="B90" s="219" t="s">
        <v>154</v>
      </c>
      <c r="C90" s="220"/>
      <c r="D90" s="221"/>
      <c r="E90" s="221"/>
      <c r="F90" s="221">
        <v>0.1714143473755961</v>
      </c>
      <c r="G90" s="221">
        <v>0.21185355381548712</v>
      </c>
      <c r="H90" s="221">
        <v>0.30168489051731517</v>
      </c>
      <c r="I90" s="222">
        <v>0.46800067361955783</v>
      </c>
    </row>
    <row r="91" spans="2:12">
      <c r="B91" s="215" t="s">
        <v>155</v>
      </c>
      <c r="C91" s="216"/>
      <c r="D91" s="217"/>
      <c r="E91" s="217"/>
      <c r="F91" s="217">
        <v>0.97008721791894292</v>
      </c>
      <c r="G91" s="217">
        <v>1.1682611182638962</v>
      </c>
      <c r="H91" s="217">
        <v>1.528401735355162</v>
      </c>
      <c r="I91" s="218">
        <v>2.1431920214697655</v>
      </c>
    </row>
    <row r="92" spans="2:12">
      <c r="B92" s="219" t="s">
        <v>156</v>
      </c>
      <c r="C92" s="220"/>
      <c r="D92" s="221"/>
      <c r="E92" s="221"/>
      <c r="F92" s="221">
        <v>1.1908877510776446</v>
      </c>
      <c r="G92" s="221">
        <v>1.421496199448296</v>
      </c>
      <c r="H92" s="221">
        <v>1.9580654465611853</v>
      </c>
      <c r="I92" s="222">
        <v>2.7110076629395188</v>
      </c>
    </row>
    <row r="93" spans="2:12">
      <c r="B93" s="215" t="s">
        <v>157</v>
      </c>
      <c r="C93" s="216"/>
      <c r="D93" s="217"/>
      <c r="E93" s="217"/>
      <c r="F93" s="217">
        <v>0.36110142911649884</v>
      </c>
      <c r="G93" s="217">
        <v>0.42632579143685012</v>
      </c>
      <c r="H93" s="217">
        <v>0.55321079790990946</v>
      </c>
      <c r="I93" s="218">
        <v>0.69518946018569572</v>
      </c>
    </row>
    <row r="94" spans="2:12">
      <c r="B94" s="219" t="s">
        <v>158</v>
      </c>
      <c r="C94" s="220"/>
      <c r="D94" s="221"/>
      <c r="E94" s="221"/>
      <c r="F94" s="221">
        <v>2.2967304223455329</v>
      </c>
      <c r="G94" s="221">
        <v>2.742164537990984</v>
      </c>
      <c r="H94" s="221">
        <v>3.5601918964213954</v>
      </c>
      <c r="I94" s="222">
        <v>4.2111390160982527</v>
      </c>
    </row>
    <row r="95" spans="2:12">
      <c r="B95" s="215" t="s">
        <v>159</v>
      </c>
      <c r="C95" s="216"/>
      <c r="D95" s="217"/>
      <c r="E95" s="217"/>
      <c r="F95" s="217">
        <v>0.21097527959120022</v>
      </c>
      <c r="G95" s="217">
        <v>0.19671906571240474</v>
      </c>
      <c r="H95" s="217">
        <v>0.22652737869154296</v>
      </c>
      <c r="I95" s="218">
        <v>0.26108457378643696</v>
      </c>
    </row>
    <row r="96" spans="2:12">
      <c r="B96" s="219" t="s">
        <v>160</v>
      </c>
      <c r="C96" s="220"/>
      <c r="D96" s="221"/>
      <c r="E96" s="221"/>
      <c r="F96" s="221">
        <v>0.20162401689799292</v>
      </c>
      <c r="G96" s="221">
        <v>0.18834164357518612</v>
      </c>
      <c r="H96" s="221">
        <v>0.21727417487237202</v>
      </c>
      <c r="I96" s="222">
        <v>0.25086281562425317</v>
      </c>
    </row>
    <row r="97" spans="2:12">
      <c r="B97" s="215" t="s">
        <v>161</v>
      </c>
      <c r="C97" s="216"/>
      <c r="D97" s="217"/>
      <c r="E97" s="217"/>
      <c r="F97" s="217">
        <v>0.1477063433194972</v>
      </c>
      <c r="G97" s="217">
        <v>0.13672587792240248</v>
      </c>
      <c r="H97" s="217">
        <v>0.15620801865485309</v>
      </c>
      <c r="I97" s="218">
        <v>0.17866323008920473</v>
      </c>
    </row>
    <row r="98" spans="2:12">
      <c r="B98" s="219" t="s">
        <v>162</v>
      </c>
      <c r="C98" s="220"/>
      <c r="D98" s="221"/>
      <c r="E98" s="221"/>
      <c r="F98" s="221">
        <v>3.2094865616157889E-2</v>
      </c>
      <c r="G98" s="221">
        <v>3.0006335467055393E-2</v>
      </c>
      <c r="H98" s="221">
        <v>3.4654506909697014E-2</v>
      </c>
      <c r="I98" s="222">
        <v>4.0115681500898261E-2</v>
      </c>
    </row>
    <row r="99" spans="2:12" ht="15" thickBot="1">
      <c r="B99" s="223" t="s">
        <v>163</v>
      </c>
      <c r="C99" s="224"/>
      <c r="D99" s="225"/>
      <c r="E99" s="225"/>
      <c r="F99" s="217">
        <v>0.44960618397765512</v>
      </c>
      <c r="G99" s="217">
        <v>0.41985305068738149</v>
      </c>
      <c r="H99" s="217">
        <v>0.48444694798897947</v>
      </c>
      <c r="I99" s="218">
        <v>0.55986841019279876</v>
      </c>
    </row>
    <row r="100" spans="2:12" ht="15" thickBot="1">
      <c r="B100" s="399" t="s">
        <v>164</v>
      </c>
      <c r="C100" s="399"/>
      <c r="D100" s="226"/>
      <c r="E100" s="226"/>
      <c r="F100" s="226">
        <v>11.502426557303403</v>
      </c>
      <c r="G100" s="226">
        <v>13.415638529190833</v>
      </c>
      <c r="H100" s="226">
        <v>17.428660254067189</v>
      </c>
      <c r="I100" s="226">
        <v>22.759546457609648</v>
      </c>
    </row>
    <row r="104" spans="2:12">
      <c r="B104" t="s">
        <v>165</v>
      </c>
      <c r="D104">
        <v>2020</v>
      </c>
      <c r="E104">
        <v>2030</v>
      </c>
      <c r="F104">
        <v>2040</v>
      </c>
      <c r="G104">
        <v>2050</v>
      </c>
    </row>
    <row r="105" spans="2:12">
      <c r="B105" t="s">
        <v>166</v>
      </c>
      <c r="D105" s="227">
        <f>SUM(F87:F94)</f>
        <v>10.460419867900901</v>
      </c>
      <c r="E105" s="227">
        <f>SUM(G87:G94)</f>
        <v>12.443992555826405</v>
      </c>
      <c r="F105" s="227">
        <f>SUM(H87:H94)</f>
        <v>16.309549226949748</v>
      </c>
      <c r="G105" s="227">
        <f>SUM(I87:I94)</f>
        <v>21.46895174641606</v>
      </c>
    </row>
    <row r="106" spans="2:12">
      <c r="B106" t="s">
        <v>167</v>
      </c>
      <c r="D106" s="227">
        <f>SUM(F95:F99)</f>
        <v>1.0420066894025033</v>
      </c>
      <c r="E106" s="227">
        <f>SUM(G95:G99)</f>
        <v>0.97164597336443026</v>
      </c>
      <c r="F106" s="227">
        <f>SUM(H95:H99)</f>
        <v>1.1191110271174445</v>
      </c>
      <c r="G106" s="227">
        <f>SUM(I95:I99)</f>
        <v>1.2905947111935918</v>
      </c>
    </row>
    <row r="110" spans="2:12" ht="15" thickBot="1"/>
    <row r="111" spans="2:12">
      <c r="B111" s="351" t="s">
        <v>133</v>
      </c>
      <c r="C111" s="352"/>
      <c r="D111" s="352"/>
      <c r="E111" s="352"/>
      <c r="F111" s="352"/>
      <c r="G111" s="352"/>
      <c r="H111" s="352"/>
      <c r="I111" s="352"/>
      <c r="J111" s="352"/>
      <c r="K111" s="352"/>
      <c r="L111" s="353"/>
    </row>
    <row r="114" spans="2:10">
      <c r="B114" s="228" t="s">
        <v>168</v>
      </c>
    </row>
    <row r="115" spans="2:10">
      <c r="B115" t="s">
        <v>169</v>
      </c>
      <c r="C115" s="207">
        <v>2020</v>
      </c>
      <c r="D115" s="207">
        <f t="shared" ref="D115:I115" si="22">C115+5</f>
        <v>2025</v>
      </c>
      <c r="E115" s="207">
        <f t="shared" si="22"/>
        <v>2030</v>
      </c>
      <c r="F115" s="207">
        <f t="shared" si="22"/>
        <v>2035</v>
      </c>
      <c r="G115" s="207">
        <f t="shared" si="22"/>
        <v>2040</v>
      </c>
      <c r="H115" s="207">
        <f>G115+5</f>
        <v>2045</v>
      </c>
      <c r="I115" s="207">
        <f t="shared" si="22"/>
        <v>2050</v>
      </c>
    </row>
    <row r="116" spans="2:10">
      <c r="B116" s="207" t="s">
        <v>170</v>
      </c>
      <c r="C116" s="229">
        <v>6.5</v>
      </c>
      <c r="D116" s="229">
        <v>6</v>
      </c>
      <c r="E116" s="229">
        <v>5.5</v>
      </c>
      <c r="F116" s="229">
        <f>(E116+G116)/2</f>
        <v>5.2</v>
      </c>
      <c r="G116" s="229">
        <f>(E116+I116)/2</f>
        <v>4.9000000000000004</v>
      </c>
      <c r="H116" s="229">
        <f>(G116+I116)/2</f>
        <v>4.5999999999999996</v>
      </c>
      <c r="I116" s="229">
        <v>4.3</v>
      </c>
      <c r="J116" t="s">
        <v>171</v>
      </c>
    </row>
    <row r="117" spans="2:10">
      <c r="B117" s="207" t="s">
        <v>172</v>
      </c>
      <c r="C117" s="229">
        <v>7.7</v>
      </c>
      <c r="D117" s="229">
        <f>(C117+E117)/2</f>
        <v>8.8979999999999997</v>
      </c>
      <c r="E117" s="229">
        <v>10.096</v>
      </c>
      <c r="F117" s="229">
        <f>(E117+G117)/2</f>
        <v>13.347</v>
      </c>
      <c r="G117" s="229">
        <f>(E117+I117)/2</f>
        <v>16.597999999999999</v>
      </c>
      <c r="H117" s="229">
        <f>(G117+I117)/2</f>
        <v>19.849</v>
      </c>
      <c r="I117" s="229">
        <f>C117*3</f>
        <v>23.1</v>
      </c>
      <c r="J117" t="s">
        <v>173</v>
      </c>
    </row>
    <row r="118" spans="2:10">
      <c r="B118" s="207" t="s">
        <v>174</v>
      </c>
      <c r="C118" s="229">
        <v>1.27</v>
      </c>
      <c r="D118" s="229">
        <f>(C118+E118)/2</f>
        <v>1.3017500000000002</v>
      </c>
      <c r="E118" s="229">
        <f>C118*1.05</f>
        <v>1.3335000000000001</v>
      </c>
      <c r="F118" s="229">
        <f>(E118+G118)/2</f>
        <v>1.3652500000000001</v>
      </c>
      <c r="G118" s="229">
        <f>C118*1.1</f>
        <v>1.3970000000000002</v>
      </c>
      <c r="H118" s="229">
        <f>(G118+I118)/2</f>
        <v>1.4033500000000001</v>
      </c>
      <c r="I118" s="229">
        <f>C118*1.11</f>
        <v>1.4097000000000002</v>
      </c>
      <c r="J118" s="230" t="s">
        <v>175</v>
      </c>
    </row>
    <row r="119" spans="2:10">
      <c r="B119" s="207" t="s">
        <v>176</v>
      </c>
      <c r="C119" s="229">
        <v>1.3640000000000001</v>
      </c>
      <c r="D119" s="229">
        <v>1.3783241646930562</v>
      </c>
      <c r="E119" s="229">
        <v>1.3905453076033989</v>
      </c>
      <c r="F119" s="229">
        <v>1.3985924909797756</v>
      </c>
      <c r="G119" s="229">
        <v>1.402494701126376</v>
      </c>
      <c r="H119" s="229">
        <v>1.404315717055008</v>
      </c>
      <c r="I119" s="229">
        <v>1.4020086574724688</v>
      </c>
      <c r="J119" t="s">
        <v>177</v>
      </c>
    </row>
    <row r="120" spans="2:10">
      <c r="B120" s="207" t="s">
        <v>178</v>
      </c>
      <c r="C120" s="229">
        <v>6.2960000000000003</v>
      </c>
      <c r="D120" s="229">
        <v>6.4</v>
      </c>
      <c r="E120" s="229">
        <v>6.5</v>
      </c>
      <c r="F120" s="229">
        <v>6.6</v>
      </c>
      <c r="G120" s="229">
        <v>6.7</v>
      </c>
      <c r="H120" s="229">
        <v>6.8</v>
      </c>
      <c r="I120" s="229">
        <v>6.9</v>
      </c>
      <c r="J120" t="s">
        <v>179</v>
      </c>
    </row>
    <row r="121" spans="2:10">
      <c r="B121" s="207" t="s">
        <v>180</v>
      </c>
      <c r="C121" s="229">
        <v>6.3630000000000004</v>
      </c>
      <c r="D121" s="229">
        <v>6.4298215981978863</v>
      </c>
      <c r="E121" s="229">
        <v>6.4868326922877024</v>
      </c>
      <c r="F121" s="229">
        <v>6.5243724487568269</v>
      </c>
      <c r="G121" s="229">
        <v>6.5425760874392447</v>
      </c>
      <c r="H121" s="229">
        <v>6.5510710466429742</v>
      </c>
      <c r="I121" s="229">
        <v>6.5403087151739872</v>
      </c>
      <c r="J121" t="s">
        <v>177</v>
      </c>
    </row>
    <row r="122" spans="2:10">
      <c r="B122" s="207" t="s">
        <v>181</v>
      </c>
      <c r="C122" s="229">
        <v>1.92</v>
      </c>
      <c r="D122" s="229">
        <v>1.92</v>
      </c>
      <c r="E122" s="229">
        <v>1.92</v>
      </c>
      <c r="F122" s="229">
        <v>1.92</v>
      </c>
      <c r="G122" s="229">
        <v>1.92</v>
      </c>
      <c r="H122" s="229">
        <v>1.92</v>
      </c>
      <c r="I122" s="229">
        <v>1.92</v>
      </c>
      <c r="J122" t="s">
        <v>182</v>
      </c>
    </row>
    <row r="123" spans="2:10">
      <c r="B123" t="s">
        <v>183</v>
      </c>
      <c r="C123" s="231"/>
    </row>
    <row r="124" spans="2:10">
      <c r="B124" s="228" t="s">
        <v>17</v>
      </c>
      <c r="C124" s="232">
        <f>SUM(C116:C123)</f>
        <v>31.412999999999997</v>
      </c>
      <c r="D124" s="232">
        <f t="shared" ref="D124:H124" si="23">SUM(D116:D123)</f>
        <v>32.32789576289094</v>
      </c>
      <c r="E124" s="232">
        <f t="shared" si="23"/>
        <v>33.226877999891101</v>
      </c>
      <c r="F124" s="232">
        <f t="shared" si="23"/>
        <v>36.355214939736605</v>
      </c>
      <c r="G124" s="232">
        <f>SUM(G116:G123)</f>
        <v>39.460070788565616</v>
      </c>
      <c r="H124" s="232">
        <f t="shared" si="23"/>
        <v>42.52773676369798</v>
      </c>
      <c r="I124" s="232">
        <f>SUM(I116:I123)</f>
        <v>45.572017372646457</v>
      </c>
    </row>
  </sheetData>
  <mergeCells count="13">
    <mergeCell ref="B111:L111"/>
    <mergeCell ref="B72:L72"/>
    <mergeCell ref="B82:L82"/>
    <mergeCell ref="A1:M1"/>
    <mergeCell ref="B19:L19"/>
    <mergeCell ref="B28:B34"/>
    <mergeCell ref="B36:B42"/>
    <mergeCell ref="B55:B61"/>
    <mergeCell ref="B63:B69"/>
    <mergeCell ref="B100:C100"/>
    <mergeCell ref="C3:H3"/>
    <mergeCell ref="B45:L45"/>
    <mergeCell ref="C13:H13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0"/>
  </sheetPr>
  <dimension ref="C2"/>
  <sheetViews>
    <sheetView zoomScaleNormal="100" workbookViewId="0">
      <selection activeCell="B41" sqref="B41"/>
    </sheetView>
  </sheetViews>
  <sheetFormatPr baseColWidth="10" defaultRowHeight="14.5"/>
  <sheetData>
    <row r="2" spans="3:3">
      <c r="C2" t="s">
        <v>63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3FC3BD01BCA347AF146D1331670E52" ma:contentTypeVersion="11" ma:contentTypeDescription="Crée un document." ma:contentTypeScope="" ma:versionID="838a3b530ac448d2a084e46382c3b214">
  <xsd:schema xmlns:xsd="http://www.w3.org/2001/XMLSchema" xmlns:xs="http://www.w3.org/2001/XMLSchema" xmlns:p="http://schemas.microsoft.com/office/2006/metadata/properties" xmlns:ns2="57b07b31-5b0a-4088-a810-7d347523ea75" xmlns:ns3="4949664f-4b47-4c35-a82e-d1e31b98dc67" targetNamespace="http://schemas.microsoft.com/office/2006/metadata/properties" ma:root="true" ma:fieldsID="7242b9b9ccb9c7c305a3d910b5c4d2f2" ns2:_="" ns3:_="">
    <xsd:import namespace="57b07b31-5b0a-4088-a810-7d347523ea75"/>
    <xsd:import namespace="4949664f-4b47-4c35-a82e-d1e31b98dc6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b07b31-5b0a-4088-a810-7d347523e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49664f-4b47-4c35-a82e-d1e31b98dc67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272BD32-32D0-492C-B124-D113A55EBAD2}">
  <ds:schemaRefs>
    <ds:schemaRef ds:uri="57b07b31-5b0a-4088-a810-7d347523ea75"/>
    <ds:schemaRef ds:uri="4949664f-4b47-4c35-a82e-d1e31b98dc67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85F43DB2-DC5C-457C-93D0-B05CAC1845E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BAB31D6-5F8C-4BB7-A688-A846A8265E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b07b31-5b0a-4088-a810-7d347523ea75"/>
    <ds:schemaRef ds:uri="4949664f-4b47-4c35-a82e-d1e31b98dc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21</vt:i4>
      </vt:variant>
      <vt:variant>
        <vt:lpstr>Plages nommées</vt:lpstr>
      </vt:variant>
      <vt:variant>
        <vt:i4>14</vt:i4>
      </vt:variant>
    </vt:vector>
  </HeadingPairs>
  <TitlesOfParts>
    <vt:vector size="35" baseType="lpstr">
      <vt:lpstr>Init. parc</vt:lpstr>
      <vt:lpstr>Bureaux - AME</vt:lpstr>
      <vt:lpstr>CaHoREs - AME</vt:lpstr>
      <vt:lpstr>Commerce - AME</vt:lpstr>
      <vt:lpstr>Enseignement - AME</vt:lpstr>
      <vt:lpstr>Santé social - AME</vt:lpstr>
      <vt:lpstr>Sport Loisir Culture - AME</vt:lpstr>
      <vt:lpstr>Transport - AME</vt:lpstr>
      <vt:lpstr>Init. énergie</vt:lpstr>
      <vt:lpstr>Tableau de bord</vt:lpstr>
      <vt:lpstr>Résultats</vt:lpstr>
      <vt:lpstr>Bureaux - AMS</vt:lpstr>
      <vt:lpstr>CaHoREs - AMS</vt:lpstr>
      <vt:lpstr>Commerce - AMS</vt:lpstr>
      <vt:lpstr>Enseignement - AMS</vt:lpstr>
      <vt:lpstr>Santé social - AMS</vt:lpstr>
      <vt:lpstr>Sport Loisir Culture - AMS</vt:lpstr>
      <vt:lpstr>Transport - AMS</vt:lpstr>
      <vt:lpstr>Hors chauffage - AMS</vt:lpstr>
      <vt:lpstr>Hors chauffage - AME</vt:lpstr>
      <vt:lpstr>Sources</vt:lpstr>
      <vt:lpstr>'Bureaux - AME'!Zone_d_impression</vt:lpstr>
      <vt:lpstr>'Bureaux - AMS'!Zone_d_impression</vt:lpstr>
      <vt:lpstr>'CaHoREs - AME'!Zone_d_impression</vt:lpstr>
      <vt:lpstr>'CaHoREs - AMS'!Zone_d_impression</vt:lpstr>
      <vt:lpstr>'Commerce - AME'!Zone_d_impression</vt:lpstr>
      <vt:lpstr>'Commerce - AMS'!Zone_d_impression</vt:lpstr>
      <vt:lpstr>'Enseignement - AME'!Zone_d_impression</vt:lpstr>
      <vt:lpstr>'Enseignement - AMS'!Zone_d_impression</vt:lpstr>
      <vt:lpstr>'Santé social - AME'!Zone_d_impression</vt:lpstr>
      <vt:lpstr>'Santé social - AMS'!Zone_d_impression</vt:lpstr>
      <vt:lpstr>'Sport Loisir Culture - AME'!Zone_d_impression</vt:lpstr>
      <vt:lpstr>'Sport Loisir Culture - AMS'!Zone_d_impression</vt:lpstr>
      <vt:lpstr>'Transport - AME'!Zone_d_impression</vt:lpstr>
      <vt:lpstr>'Transport - AMS'!Zone_d_impression</vt:lpstr>
    </vt:vector>
  </TitlesOfParts>
  <Manager/>
  <Company>ADEME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GASPARD Albane</dc:creator>
  <cp:keywords/>
  <dc:description/>
  <cp:lastModifiedBy>TIRANA Florian</cp:lastModifiedBy>
  <cp:revision/>
  <dcterms:created xsi:type="dcterms:W3CDTF">2020-04-03T09:01:37Z</dcterms:created>
  <dcterms:modified xsi:type="dcterms:W3CDTF">2023-09-29T08:16:38Z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0x010100533FC3BD01BCA347AF146D1331670E52</vt:lpwstr>
  </property>
</Properties>
</file>