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5.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L:\4_Inventaires d'émissions, prospective et évaluation\42_Prospective\421_Scénarios prospectifs DGEC\4215_Scénarios 2023\14-Industrie\43_Hypothèses AMS run2\"/>
    </mc:Choice>
  </mc:AlternateContent>
  <bookViews>
    <workbookView xWindow="0" yWindow="0" windowWidth="23040" windowHeight="7752"/>
  </bookViews>
  <sheets>
    <sheet name="A renseigner" sheetId="13" r:id="rId1"/>
    <sheet name="1. Production" sheetId="1" r:id="rId2"/>
    <sheet name="IGCE" sheetId="2" r:id="rId3"/>
    <sheet name="Diffus" sheetId="3" r:id="rId4"/>
    <sheet name="VA historique" sheetId="4" r:id="rId5"/>
    <sheet name="Mix éner %" sheetId="5" r:id="rId6"/>
    <sheet name="Mix éner % (2)" sheetId="6" r:id="rId7"/>
    <sheet name="3. Efficacité" sheetId="7" r:id="rId8"/>
    <sheet name="4. Recyclage" sheetId="8" r:id="rId9"/>
    <sheet name="5. Non-énergétique" sheetId="9" r:id="rId10"/>
    <sheet name="6. CCUS" sheetId="10" r:id="rId11"/>
    <sheet name="Pepit0 AME" sheetId="11" r:id="rId12"/>
    <sheet name="Pepit0 AMS" sheetId="12" r:id="rId13"/>
    <sheet name="Traduction FdR 50 sites DGE" sheetId="15" r:id="rId14"/>
  </sheets>
  <externalReferences>
    <externalReference r:id="rId15"/>
    <externalReference r:id="rId16"/>
    <externalReference r:id="rId17"/>
    <externalReference r:id="rId18"/>
  </externalReferences>
  <definedNames>
    <definedName name="année">[1]Calcul_hypotheses!$D$6</definedName>
    <definedName name="anneeAffiche" localSheetId="2">#REF!</definedName>
    <definedName name="anneeAffiche" localSheetId="6">#REF!</definedName>
    <definedName name="anneeAffiche" localSheetId="12">#REF!</definedName>
    <definedName name="anneeAffiche">#REF!</definedName>
    <definedName name="anneeDataSet">[2]Dataset!$H$2:$AH$2</definedName>
    <definedName name="calIntAnnee">[2]Calculs_intermediaires!$B$328:$AP$328</definedName>
    <definedName name="calIntcode">[2]Calculs_intermediaires!$B:$B</definedName>
    <definedName name="calIntData">[2]Calculs_intermediaires!$B:$AM</definedName>
    <definedName name="convktoeGWh">[2]Intro!$C$40</definedName>
    <definedName name="convMtoeGWh">[2]Intro!$C$41</definedName>
    <definedName name="dataSet">[2]Dataset!$H:$AH</definedName>
    <definedName name="odsAnnee">[2]Odyssee!$A$8:$AMJ$8</definedName>
    <definedName name="odsCode">[2]Odyssee!$A:$A</definedName>
    <definedName name="odsData">[2]Odyssee!$A:$AMJ</definedName>
    <definedName name="Résultats_annuels">[3]RES_annuels!$N$3:$BW$858</definedName>
    <definedName name="Résultats_annuels_années">[3]RES_annuels!$N$1:$AX$1</definedName>
    <definedName name="Résultats_annuels_choix">[3]RES_annuels!$D$3:$D$858</definedName>
    <definedName name="tagOutDataSet">[2]Dataset!$H:$H</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56" i="13" l="1"/>
  <c r="F254" i="13"/>
  <c r="D252" i="13"/>
  <c r="E252" i="13"/>
  <c r="G252" i="13"/>
  <c r="C252" i="13"/>
  <c r="F252" i="13" l="1"/>
  <c r="AA33" i="1" l="1"/>
  <c r="S132" i="13" l="1"/>
  <c r="H104" i="13"/>
  <c r="S104" i="13" s="1"/>
  <c r="O104" i="13"/>
  <c r="S80" i="13"/>
  <c r="S81" i="13"/>
  <c r="S82" i="13"/>
  <c r="S83" i="13"/>
  <c r="S84" i="13"/>
  <c r="S85" i="13"/>
  <c r="S86" i="13"/>
  <c r="S87" i="13"/>
  <c r="S88" i="13"/>
  <c r="S89" i="13"/>
  <c r="S90" i="13"/>
  <c r="S91" i="13"/>
  <c r="S92" i="13"/>
  <c r="S93" i="13"/>
  <c r="S94" i="13"/>
  <c r="S95" i="13"/>
  <c r="S96" i="13"/>
  <c r="S97" i="13"/>
  <c r="S98" i="13"/>
  <c r="S99" i="13"/>
  <c r="S100" i="13"/>
  <c r="S101" i="13"/>
  <c r="S102" i="13"/>
  <c r="S103" i="13"/>
  <c r="S105" i="13"/>
  <c r="S106" i="13"/>
  <c r="S107" i="13"/>
  <c r="S108" i="13"/>
  <c r="S109" i="13"/>
  <c r="S110" i="13"/>
  <c r="S111" i="13"/>
  <c r="S112" i="13"/>
  <c r="S113" i="13"/>
  <c r="S114" i="13"/>
  <c r="S115" i="13"/>
  <c r="S116" i="13"/>
  <c r="S117" i="13"/>
  <c r="S118" i="13"/>
  <c r="S119" i="13"/>
  <c r="S120" i="13"/>
  <c r="S121" i="13"/>
  <c r="S122" i="13"/>
  <c r="S123" i="13"/>
  <c r="S124" i="13"/>
  <c r="S125" i="13"/>
  <c r="S126" i="13"/>
  <c r="S127" i="13"/>
  <c r="S128" i="13"/>
  <c r="S129" i="13"/>
  <c r="S130" i="13"/>
  <c r="S131" i="13"/>
  <c r="S133" i="13"/>
  <c r="S134" i="13"/>
  <c r="S135" i="13"/>
  <c r="S136" i="13"/>
  <c r="S137" i="13"/>
  <c r="S138" i="13"/>
  <c r="S139" i="13"/>
  <c r="S140" i="13"/>
  <c r="S141" i="13"/>
  <c r="S142" i="13"/>
  <c r="S143" i="13"/>
  <c r="S144" i="13"/>
  <c r="S145" i="13"/>
  <c r="S146" i="13"/>
  <c r="S147" i="13"/>
  <c r="S148" i="13"/>
  <c r="S149" i="13"/>
  <c r="S150" i="13"/>
  <c r="S151" i="13"/>
  <c r="S152" i="13"/>
  <c r="S153" i="13"/>
  <c r="S154" i="13"/>
  <c r="S155" i="13"/>
  <c r="S156" i="13"/>
  <c r="S157" i="13"/>
  <c r="S158" i="13"/>
  <c r="S159" i="13"/>
  <c r="S160" i="13"/>
  <c r="S161" i="13"/>
  <c r="S162" i="13"/>
  <c r="S79" i="13"/>
  <c r="Q33" i="1" l="1"/>
  <c r="Q32" i="1"/>
  <c r="Q31" i="1"/>
  <c r="Q30" i="1"/>
  <c r="Q29" i="1"/>
  <c r="Q28" i="1"/>
  <c r="Q27" i="1"/>
  <c r="Q26" i="1"/>
  <c r="BW50" i="12" l="1"/>
  <c r="BP50" i="12"/>
  <c r="BQ50" i="12"/>
  <c r="BR50" i="12"/>
  <c r="BS50" i="12"/>
  <c r="BT50" i="12"/>
  <c r="BU50" i="12"/>
  <c r="BO50" i="12"/>
  <c r="BO41" i="12"/>
  <c r="BP41" i="12"/>
  <c r="BQ41" i="12"/>
  <c r="BR41" i="12"/>
  <c r="BS41" i="12"/>
  <c r="BT41" i="12"/>
  <c r="BU41" i="12"/>
  <c r="BV41" i="12"/>
  <c r="BW41" i="12"/>
  <c r="BO42" i="12"/>
  <c r="BP42" i="12"/>
  <c r="BQ42" i="12"/>
  <c r="BR42" i="12"/>
  <c r="BS42" i="12"/>
  <c r="BT42" i="12"/>
  <c r="BU42" i="12"/>
  <c r="BV42" i="12"/>
  <c r="BW42" i="12"/>
  <c r="BO43" i="12"/>
  <c r="BP43" i="12"/>
  <c r="BQ43" i="12"/>
  <c r="BR43" i="12"/>
  <c r="BS43" i="12"/>
  <c r="BT43" i="12"/>
  <c r="BU43" i="12"/>
  <c r="BV43" i="12"/>
  <c r="BW43" i="12"/>
  <c r="BO44" i="12"/>
  <c r="BP44" i="12"/>
  <c r="BQ44" i="12"/>
  <c r="BR44" i="12"/>
  <c r="BS44" i="12"/>
  <c r="BT44" i="12"/>
  <c r="BU44" i="12"/>
  <c r="BV44" i="12"/>
  <c r="BW44" i="12"/>
  <c r="BO45" i="12"/>
  <c r="BP45" i="12"/>
  <c r="BQ45" i="12"/>
  <c r="BR45" i="12"/>
  <c r="BS45" i="12"/>
  <c r="BT45" i="12"/>
  <c r="BU45" i="12"/>
  <c r="BV45" i="12"/>
  <c r="BW45" i="12"/>
  <c r="BO46" i="12"/>
  <c r="BP46" i="12"/>
  <c r="BQ46" i="12"/>
  <c r="BR46" i="12"/>
  <c r="BS46" i="12"/>
  <c r="BT46" i="12"/>
  <c r="BU46" i="12"/>
  <c r="BV46" i="12"/>
  <c r="BW46" i="12"/>
  <c r="BO47" i="12"/>
  <c r="BP47" i="12"/>
  <c r="BQ47" i="12"/>
  <c r="BR47" i="12"/>
  <c r="BS47" i="12"/>
  <c r="BT47" i="12"/>
  <c r="BU47" i="12"/>
  <c r="BV47" i="12"/>
  <c r="BW47" i="12"/>
  <c r="BO48" i="12"/>
  <c r="BP48" i="12"/>
  <c r="BQ48" i="12"/>
  <c r="BR48" i="12"/>
  <c r="BS48" i="12"/>
  <c r="BT48" i="12"/>
  <c r="BU48" i="12"/>
  <c r="BV48" i="12"/>
  <c r="BW48" i="12"/>
  <c r="BO49" i="12"/>
  <c r="BP49" i="12"/>
  <c r="BQ49" i="12"/>
  <c r="BR49" i="12"/>
  <c r="BS49" i="12"/>
  <c r="BT49" i="12"/>
  <c r="BU49" i="12"/>
  <c r="BV49" i="12"/>
  <c r="BW49" i="12"/>
  <c r="BP40" i="12"/>
  <c r="BQ40" i="12"/>
  <c r="BR40" i="12"/>
  <c r="BS40" i="12"/>
  <c r="BT40" i="12"/>
  <c r="BU40" i="12"/>
  <c r="BV40" i="12"/>
  <c r="BW40" i="12"/>
  <c r="BO40" i="12"/>
  <c r="BW39" i="12"/>
  <c r="BP39" i="12"/>
  <c r="BQ39" i="12"/>
  <c r="BR39" i="12"/>
  <c r="BS39" i="12"/>
  <c r="BT39" i="12"/>
  <c r="BU39" i="12"/>
  <c r="BO39" i="12"/>
  <c r="BV39" i="12"/>
  <c r="BP38" i="12"/>
  <c r="BQ38" i="12"/>
  <c r="BR38" i="12"/>
  <c r="BS38" i="12"/>
  <c r="BT38" i="12"/>
  <c r="BU38" i="12"/>
  <c r="BV38" i="12"/>
  <c r="BW38" i="12"/>
  <c r="BO38" i="12"/>
  <c r="BP37" i="12"/>
  <c r="BQ37" i="12"/>
  <c r="BR37" i="12"/>
  <c r="BS37" i="12"/>
  <c r="BT37" i="12"/>
  <c r="BU37" i="12"/>
  <c r="BV37" i="12"/>
  <c r="BW37" i="12"/>
  <c r="BO37" i="12"/>
  <c r="BO35" i="12"/>
  <c r="BP35" i="12"/>
  <c r="BQ35" i="12"/>
  <c r="BR35" i="12"/>
  <c r="BS35" i="12"/>
  <c r="BT35" i="12"/>
  <c r="BU35" i="12"/>
  <c r="BV35" i="12"/>
  <c r="BW35" i="12"/>
  <c r="BO36" i="12"/>
  <c r="BP36" i="12"/>
  <c r="BQ36" i="12"/>
  <c r="BR36" i="12"/>
  <c r="BS36" i="12"/>
  <c r="BT36" i="12"/>
  <c r="BU36" i="12"/>
  <c r="BV36" i="12"/>
  <c r="BW36" i="12"/>
  <c r="BP34" i="12"/>
  <c r="BQ34" i="12"/>
  <c r="BR34" i="12"/>
  <c r="BS34" i="12"/>
  <c r="BT34" i="12"/>
  <c r="BU34" i="12"/>
  <c r="BV34" i="12"/>
  <c r="BW34" i="12"/>
  <c r="BO34" i="12"/>
  <c r="BP33" i="12"/>
  <c r="BQ33" i="12"/>
  <c r="BR33" i="12"/>
  <c r="BS33" i="12"/>
  <c r="BT33" i="12"/>
  <c r="BU33" i="12"/>
  <c r="BV33" i="12"/>
  <c r="BW33" i="12"/>
  <c r="BO33" i="12"/>
  <c r="BO28" i="12"/>
  <c r="BP28" i="12"/>
  <c r="BQ28" i="12"/>
  <c r="BR28" i="12"/>
  <c r="BS28" i="12"/>
  <c r="BT28" i="12"/>
  <c r="BU28" i="12"/>
  <c r="BV28" i="12"/>
  <c r="BW28" i="12"/>
  <c r="BO29" i="12"/>
  <c r="BP29" i="12"/>
  <c r="BQ29" i="12"/>
  <c r="BR29" i="12"/>
  <c r="BS29" i="12"/>
  <c r="BT29" i="12"/>
  <c r="BU29" i="12"/>
  <c r="BV29" i="12"/>
  <c r="BW29" i="12"/>
  <c r="BO30" i="12"/>
  <c r="BP30" i="12"/>
  <c r="BQ30" i="12"/>
  <c r="BR30" i="12"/>
  <c r="BS30" i="12"/>
  <c r="BT30" i="12"/>
  <c r="BU30" i="12"/>
  <c r="BV30" i="12"/>
  <c r="BW30" i="12"/>
  <c r="BO31" i="12"/>
  <c r="BP31" i="12"/>
  <c r="BQ31" i="12"/>
  <c r="BR31" i="12"/>
  <c r="BS31" i="12"/>
  <c r="BT31" i="12"/>
  <c r="BU31" i="12"/>
  <c r="BV31" i="12"/>
  <c r="BW31" i="12"/>
  <c r="BO32" i="12"/>
  <c r="BP32" i="12"/>
  <c r="BQ32" i="12"/>
  <c r="BR32" i="12"/>
  <c r="BS32" i="12"/>
  <c r="BT32" i="12"/>
  <c r="BU32" i="12"/>
  <c r="BV32" i="12"/>
  <c r="BW32" i="12"/>
  <c r="BP27" i="12"/>
  <c r="BQ27" i="12"/>
  <c r="BR27" i="12"/>
  <c r="BS27" i="12"/>
  <c r="BT27" i="12"/>
  <c r="BU27" i="12"/>
  <c r="BV27" i="12"/>
  <c r="BW27" i="12"/>
  <c r="BO27" i="12"/>
  <c r="BP26" i="12"/>
  <c r="BQ26" i="12"/>
  <c r="BR26" i="12"/>
  <c r="BS26" i="12"/>
  <c r="BT26" i="12"/>
  <c r="BU26" i="12"/>
  <c r="BV26" i="12"/>
  <c r="BW26" i="12"/>
  <c r="BO26" i="12"/>
  <c r="BO24" i="12"/>
  <c r="BP24" i="12"/>
  <c r="BQ24" i="12"/>
  <c r="BR24" i="12"/>
  <c r="BS24" i="12"/>
  <c r="BT24" i="12"/>
  <c r="BU24" i="12"/>
  <c r="BV24" i="12"/>
  <c r="BW24" i="12"/>
  <c r="BO25" i="12"/>
  <c r="BP25" i="12"/>
  <c r="BQ25" i="12"/>
  <c r="BR25" i="12"/>
  <c r="BS25" i="12"/>
  <c r="BT25" i="12"/>
  <c r="BU25" i="12"/>
  <c r="BV25" i="12"/>
  <c r="BW25" i="12"/>
  <c r="BP23" i="12"/>
  <c r="BQ23" i="12"/>
  <c r="BR23" i="12"/>
  <c r="BS23" i="12"/>
  <c r="BT23" i="12"/>
  <c r="BU23" i="12"/>
  <c r="BV23" i="12"/>
  <c r="BW23" i="12"/>
  <c r="BO23" i="12"/>
  <c r="BP22" i="12"/>
  <c r="BQ22" i="12"/>
  <c r="BR22" i="12"/>
  <c r="BS22" i="12"/>
  <c r="BT22" i="12"/>
  <c r="BU22" i="12"/>
  <c r="BV22" i="12"/>
  <c r="BW22" i="12"/>
  <c r="BO22" i="12"/>
  <c r="BS19" i="12"/>
  <c r="BT19" i="12"/>
  <c r="BU19" i="12"/>
  <c r="BV19" i="12"/>
  <c r="BW19" i="12"/>
  <c r="BS20" i="12"/>
  <c r="BT20" i="12"/>
  <c r="BU20" i="12"/>
  <c r="BV20" i="12"/>
  <c r="BW20" i="12"/>
  <c r="BS21" i="12"/>
  <c r="BT21" i="12"/>
  <c r="BU21" i="12"/>
  <c r="BV21" i="12"/>
  <c r="BW21" i="12"/>
  <c r="BT18" i="12"/>
  <c r="BU18" i="12"/>
  <c r="BV18" i="12"/>
  <c r="BW18" i="12"/>
  <c r="BS18" i="12"/>
  <c r="BO19" i="12"/>
  <c r="BP19" i="12"/>
  <c r="BQ19" i="12"/>
  <c r="BO20" i="12"/>
  <c r="BP20" i="12"/>
  <c r="BQ20" i="12"/>
  <c r="BO21" i="12"/>
  <c r="BP21" i="12"/>
  <c r="BQ21" i="12"/>
  <c r="BP18" i="12"/>
  <c r="BQ18" i="12"/>
  <c r="BO18" i="12"/>
  <c r="BT17" i="12"/>
  <c r="BU17" i="12"/>
  <c r="BV17" i="12"/>
  <c r="BW17" i="12"/>
  <c r="BS17" i="12"/>
  <c r="BP17" i="12"/>
  <c r="BQ17" i="12"/>
  <c r="BO17" i="12"/>
  <c r="BO15" i="12"/>
  <c r="BP15" i="12"/>
  <c r="BQ15" i="12"/>
  <c r="BR15" i="12"/>
  <c r="BS15" i="12"/>
  <c r="BT15" i="12"/>
  <c r="BU15" i="12"/>
  <c r="BV15" i="12"/>
  <c r="BW15" i="12"/>
  <c r="BO16" i="12"/>
  <c r="BP16" i="12"/>
  <c r="BQ16" i="12"/>
  <c r="BR16" i="12"/>
  <c r="BS16" i="12"/>
  <c r="BT16" i="12"/>
  <c r="BU16" i="12"/>
  <c r="BV16" i="12"/>
  <c r="BW16" i="12"/>
  <c r="BP14" i="12"/>
  <c r="BQ14" i="12"/>
  <c r="BR14" i="12"/>
  <c r="BS14" i="12"/>
  <c r="BT14" i="12"/>
  <c r="BU14" i="12"/>
  <c r="BV14" i="12"/>
  <c r="BW14" i="12"/>
  <c r="BO14" i="12"/>
  <c r="BW13" i="12"/>
  <c r="BP13" i="12"/>
  <c r="BQ13" i="12"/>
  <c r="BR13" i="12"/>
  <c r="BS13" i="12"/>
  <c r="BT13" i="12"/>
  <c r="BU13" i="12"/>
  <c r="BO13" i="12"/>
  <c r="BW12" i="12"/>
  <c r="BP12" i="12"/>
  <c r="BQ12" i="12"/>
  <c r="BR12" i="12"/>
  <c r="BS12" i="12"/>
  <c r="BT12" i="12"/>
  <c r="BU12" i="12"/>
  <c r="BO12" i="12"/>
  <c r="BO8" i="12"/>
  <c r="BP8" i="12"/>
  <c r="BQ8" i="12"/>
  <c r="BR8" i="12"/>
  <c r="BS8" i="12"/>
  <c r="BT8" i="12"/>
  <c r="BU8" i="12"/>
  <c r="BV8" i="12"/>
  <c r="BW8" i="12"/>
  <c r="BO9" i="12"/>
  <c r="BP9" i="12"/>
  <c r="BQ9" i="12"/>
  <c r="BR9" i="12"/>
  <c r="BS9" i="12"/>
  <c r="BT9" i="12"/>
  <c r="BU9" i="12"/>
  <c r="BV9" i="12"/>
  <c r="BW9" i="12"/>
  <c r="BO10" i="12"/>
  <c r="BP10" i="12"/>
  <c r="BQ10" i="12"/>
  <c r="BR10" i="12"/>
  <c r="BS10" i="12"/>
  <c r="BT10" i="12"/>
  <c r="BU10" i="12"/>
  <c r="BV10" i="12"/>
  <c r="BW10" i="12"/>
  <c r="BO11" i="12"/>
  <c r="BP11" i="12"/>
  <c r="BQ11" i="12"/>
  <c r="BR11" i="12"/>
  <c r="BS11" i="12"/>
  <c r="BT11" i="12"/>
  <c r="BU11" i="12"/>
  <c r="BV11" i="12"/>
  <c r="BW11" i="12"/>
  <c r="BP7" i="12"/>
  <c r="BQ7" i="12"/>
  <c r="BR7" i="12"/>
  <c r="BS7" i="12"/>
  <c r="BT7" i="12"/>
  <c r="BU7" i="12"/>
  <c r="BV7" i="12"/>
  <c r="BW7" i="12"/>
  <c r="BO7" i="12"/>
  <c r="BP6" i="12"/>
  <c r="BQ6" i="12"/>
  <c r="BR6" i="12"/>
  <c r="BS6" i="12"/>
  <c r="BT6" i="12"/>
  <c r="BU6" i="12"/>
  <c r="BV6" i="12"/>
  <c r="BW6" i="12"/>
  <c r="BO6" i="12"/>
  <c r="D10" i="13" l="1"/>
  <c r="E10" i="13"/>
  <c r="D11" i="13"/>
  <c r="E11" i="13"/>
  <c r="D12" i="13"/>
  <c r="E12" i="13"/>
  <c r="D13" i="13"/>
  <c r="E13" i="13"/>
  <c r="D14" i="13"/>
  <c r="E14" i="13"/>
  <c r="D15" i="13"/>
  <c r="E15" i="13"/>
  <c r="D16" i="13"/>
  <c r="E16" i="13"/>
  <c r="D17" i="13"/>
  <c r="E17" i="13"/>
  <c r="D18" i="13"/>
  <c r="E18" i="13"/>
  <c r="E9" i="13"/>
  <c r="D9" i="13"/>
  <c r="BV12" i="12"/>
  <c r="X77" i="3" l="1"/>
  <c r="W77" i="3"/>
  <c r="V77" i="3"/>
  <c r="U77" i="3"/>
  <c r="T77" i="3"/>
  <c r="S77" i="3"/>
  <c r="R77" i="3"/>
  <c r="Q77" i="3"/>
  <c r="P77" i="3"/>
  <c r="X76" i="3"/>
  <c r="W76" i="3"/>
  <c r="V76" i="3"/>
  <c r="U76" i="3"/>
  <c r="T76" i="3"/>
  <c r="S76" i="3"/>
  <c r="R76" i="3"/>
  <c r="Q76" i="3"/>
  <c r="P76" i="3"/>
  <c r="X75" i="3"/>
  <c r="W75" i="3"/>
  <c r="V75" i="3"/>
  <c r="U75" i="3"/>
  <c r="T75" i="3"/>
  <c r="S75" i="3"/>
  <c r="R75" i="3"/>
  <c r="Q75" i="3"/>
  <c r="P75" i="3"/>
  <c r="X74" i="3"/>
  <c r="W74" i="3"/>
  <c r="V74" i="3"/>
  <c r="U74" i="3"/>
  <c r="T74" i="3"/>
  <c r="S74" i="3"/>
  <c r="R74" i="3"/>
  <c r="Q74" i="3"/>
  <c r="P74" i="3"/>
  <c r="X73" i="3"/>
  <c r="W73" i="3"/>
  <c r="V73" i="3"/>
  <c r="U73" i="3"/>
  <c r="T73" i="3"/>
  <c r="S73" i="3"/>
  <c r="R73" i="3"/>
  <c r="Q73" i="3"/>
  <c r="P73" i="3"/>
  <c r="X72" i="3"/>
  <c r="W72" i="3"/>
  <c r="V72" i="3"/>
  <c r="U72" i="3"/>
  <c r="T72" i="3"/>
  <c r="S72" i="3"/>
  <c r="R72" i="3"/>
  <c r="Q72" i="3"/>
  <c r="P72" i="3"/>
  <c r="X71" i="3"/>
  <c r="W71" i="3"/>
  <c r="V71" i="3"/>
  <c r="U71" i="3"/>
  <c r="T71" i="3"/>
  <c r="S71" i="3"/>
  <c r="R71" i="3"/>
  <c r="Q71" i="3"/>
  <c r="P71" i="3"/>
  <c r="X70" i="3"/>
  <c r="W70" i="3"/>
  <c r="V70" i="3"/>
  <c r="U70" i="3"/>
  <c r="T70" i="3"/>
  <c r="S70" i="3"/>
  <c r="R70" i="3"/>
  <c r="Q70" i="3"/>
  <c r="P70" i="3"/>
  <c r="E94" i="2"/>
  <c r="F94" i="2"/>
  <c r="G94" i="2"/>
  <c r="H94" i="2"/>
  <c r="I94" i="2"/>
  <c r="J94" i="2"/>
  <c r="K94" i="2"/>
  <c r="E87" i="2"/>
  <c r="F87" i="2"/>
  <c r="G87" i="2"/>
  <c r="H87" i="2"/>
  <c r="I87" i="2"/>
  <c r="J87" i="2"/>
  <c r="K87" i="2"/>
  <c r="E88" i="2"/>
  <c r="F88" i="2"/>
  <c r="G88" i="2"/>
  <c r="H88" i="2"/>
  <c r="I88" i="2"/>
  <c r="J88" i="2"/>
  <c r="K88" i="2"/>
  <c r="E89" i="2"/>
  <c r="F89" i="2"/>
  <c r="G89" i="2"/>
  <c r="H89" i="2"/>
  <c r="I89" i="2"/>
  <c r="J89" i="2"/>
  <c r="K89" i="2"/>
  <c r="E90" i="2"/>
  <c r="F90" i="2"/>
  <c r="G90" i="2"/>
  <c r="H90" i="2"/>
  <c r="I90" i="2"/>
  <c r="J90" i="2"/>
  <c r="K90" i="2"/>
  <c r="E91" i="2"/>
  <c r="F91" i="2"/>
  <c r="E92" i="2"/>
  <c r="F92" i="2"/>
  <c r="G92" i="2"/>
  <c r="H92" i="2"/>
  <c r="I92" i="2"/>
  <c r="J92" i="2"/>
  <c r="K92" i="2"/>
  <c r="E93" i="2"/>
  <c r="F93" i="2"/>
  <c r="G93" i="2"/>
  <c r="H93" i="2"/>
  <c r="I93" i="2"/>
  <c r="J93" i="2"/>
  <c r="K93" i="2"/>
  <c r="F86" i="2"/>
  <c r="G86" i="2"/>
  <c r="H86" i="2"/>
  <c r="I86" i="2"/>
  <c r="J86" i="2"/>
  <c r="K86" i="2"/>
  <c r="F33" i="13"/>
  <c r="G33" i="13" s="1"/>
  <c r="H33" i="13" s="1"/>
  <c r="I33" i="13" s="1"/>
  <c r="J33" i="13" s="1"/>
  <c r="K91" i="2" s="1"/>
  <c r="C91" i="2"/>
  <c r="D91" i="2"/>
  <c r="F74" i="2"/>
  <c r="G74" i="2"/>
  <c r="H74" i="2"/>
  <c r="I74" i="2"/>
  <c r="J74" i="2"/>
  <c r="K74" i="2"/>
  <c r="F75" i="2"/>
  <c r="G75" i="2"/>
  <c r="H75" i="2"/>
  <c r="I75" i="2"/>
  <c r="J75" i="2"/>
  <c r="K75" i="2"/>
  <c r="F76" i="2"/>
  <c r="G76" i="2"/>
  <c r="H76" i="2"/>
  <c r="I76" i="2"/>
  <c r="J76" i="2"/>
  <c r="K76" i="2"/>
  <c r="F77" i="2"/>
  <c r="G77" i="2"/>
  <c r="H77" i="2"/>
  <c r="I77" i="2"/>
  <c r="J77" i="2"/>
  <c r="K77" i="2"/>
  <c r="F78" i="2"/>
  <c r="G78" i="2"/>
  <c r="H78" i="2"/>
  <c r="I78" i="2"/>
  <c r="J78" i="2"/>
  <c r="K78" i="2"/>
  <c r="F79" i="2"/>
  <c r="G79" i="2"/>
  <c r="H79" i="2"/>
  <c r="I79" i="2"/>
  <c r="J79" i="2"/>
  <c r="K79" i="2"/>
  <c r="F80" i="2"/>
  <c r="G80" i="2"/>
  <c r="H80" i="2"/>
  <c r="I80" i="2"/>
  <c r="J80" i="2"/>
  <c r="K80" i="2"/>
  <c r="F81" i="2"/>
  <c r="G81" i="2"/>
  <c r="H81" i="2"/>
  <c r="I81" i="2"/>
  <c r="J81" i="2"/>
  <c r="K81" i="2"/>
  <c r="F82" i="2"/>
  <c r="G82" i="2"/>
  <c r="H82" i="2"/>
  <c r="I82" i="2"/>
  <c r="J82" i="2"/>
  <c r="K82" i="2"/>
  <c r="G91" i="2" l="1"/>
  <c r="H91" i="2"/>
  <c r="J91" i="2"/>
  <c r="I91" i="2"/>
  <c r="N40" i="13"/>
  <c r="O40" i="13"/>
  <c r="P40" i="13"/>
  <c r="Q40" i="13"/>
  <c r="R40" i="13"/>
  <c r="S40" i="13"/>
  <c r="T40" i="13"/>
  <c r="U40" i="13"/>
  <c r="V40" i="13"/>
  <c r="N43" i="13"/>
  <c r="O43" i="13"/>
  <c r="P43" i="13"/>
  <c r="Q43" i="13"/>
  <c r="R43" i="13"/>
  <c r="S43" i="13"/>
  <c r="T43" i="13"/>
  <c r="U43" i="13"/>
  <c r="V43" i="13"/>
  <c r="F48" i="3" l="1"/>
  <c r="F49" i="3"/>
  <c r="G48" i="3"/>
  <c r="G49" i="3"/>
  <c r="H48" i="3"/>
  <c r="H49" i="3"/>
  <c r="I48" i="3"/>
  <c r="I49" i="3"/>
  <c r="J49" i="3"/>
  <c r="J48" i="3"/>
  <c r="K49" i="3"/>
  <c r="K48" i="3"/>
  <c r="L21" i="3" l="1"/>
  <c r="M21" i="3"/>
  <c r="N21" i="3"/>
  <c r="O21" i="3"/>
  <c r="P21" i="3"/>
  <c r="Q21" i="3"/>
  <c r="L22" i="3"/>
  <c r="M22" i="3"/>
  <c r="N22" i="3"/>
  <c r="O22" i="3"/>
  <c r="P22" i="3"/>
  <c r="Q22" i="3"/>
  <c r="L23" i="3"/>
  <c r="M23" i="3"/>
  <c r="N23" i="3"/>
  <c r="O23" i="3"/>
  <c r="P23" i="3"/>
  <c r="Q23" i="3"/>
  <c r="L24" i="3"/>
  <c r="M24" i="3"/>
  <c r="N24" i="3"/>
  <c r="O24" i="3"/>
  <c r="P24" i="3"/>
  <c r="Q24" i="3"/>
  <c r="L25" i="3"/>
  <c r="M25" i="3"/>
  <c r="N25" i="3"/>
  <c r="O25" i="3"/>
  <c r="P25" i="3"/>
  <c r="Q25" i="3"/>
  <c r="L26" i="3"/>
  <c r="M26" i="3"/>
  <c r="N26" i="3"/>
  <c r="O26" i="3"/>
  <c r="P26" i="3"/>
  <c r="Q26" i="3"/>
  <c r="M20" i="3"/>
  <c r="N20" i="3"/>
  <c r="O20" i="3"/>
  <c r="P20" i="3"/>
  <c r="Q20" i="3"/>
  <c r="L20" i="3"/>
  <c r="G61" i="3"/>
  <c r="H61" i="3"/>
  <c r="I61" i="3"/>
  <c r="J61" i="3"/>
  <c r="K61" i="3"/>
  <c r="F61" i="3"/>
  <c r="G57" i="3"/>
  <c r="H57" i="3"/>
  <c r="I57" i="3"/>
  <c r="J57" i="3"/>
  <c r="K57" i="3"/>
  <c r="F57" i="3"/>
  <c r="G56" i="3"/>
  <c r="H56" i="3"/>
  <c r="I56" i="3"/>
  <c r="J56" i="3"/>
  <c r="K56" i="3"/>
  <c r="F56" i="3"/>
  <c r="G55" i="3"/>
  <c r="H55" i="3"/>
  <c r="I55" i="3"/>
  <c r="J55" i="3"/>
  <c r="K55" i="3"/>
  <c r="F55" i="3"/>
  <c r="G54" i="3"/>
  <c r="H54" i="3"/>
  <c r="I54" i="3"/>
  <c r="J54" i="3"/>
  <c r="K54" i="3"/>
  <c r="F54" i="3"/>
  <c r="M48" i="3"/>
  <c r="L45" i="3"/>
  <c r="M45" i="3"/>
  <c r="N45" i="3"/>
  <c r="O45" i="3"/>
  <c r="P45" i="3"/>
  <c r="Q45" i="3"/>
  <c r="L46" i="3"/>
  <c r="M46" i="3"/>
  <c r="N46" i="3"/>
  <c r="O46" i="3"/>
  <c r="P46" i="3"/>
  <c r="Q46" i="3"/>
  <c r="L47" i="3"/>
  <c r="M47" i="3"/>
  <c r="N47" i="3"/>
  <c r="O47" i="3"/>
  <c r="P47" i="3"/>
  <c r="Q47" i="3"/>
  <c r="L48" i="3"/>
  <c r="N48" i="3"/>
  <c r="O48" i="3"/>
  <c r="P48" i="3"/>
  <c r="Q48" i="3"/>
  <c r="L49" i="3"/>
  <c r="M49" i="3"/>
  <c r="N49" i="3"/>
  <c r="O49" i="3"/>
  <c r="P49" i="3"/>
  <c r="Q49" i="3"/>
  <c r="L50" i="3"/>
  <c r="M50" i="3"/>
  <c r="N50" i="3"/>
  <c r="O50" i="3"/>
  <c r="P50" i="3"/>
  <c r="Q50" i="3"/>
  <c r="M44" i="3"/>
  <c r="N44" i="3"/>
  <c r="O44" i="3"/>
  <c r="P44" i="3"/>
  <c r="Q44" i="3"/>
  <c r="L44" i="3"/>
  <c r="T399" i="15" l="1"/>
  <c r="S403" i="15" s="1"/>
  <c r="J290" i="15"/>
  <c r="G271" i="15"/>
  <c r="J270" i="15"/>
  <c r="J277" i="15" s="1"/>
  <c r="C270" i="15"/>
  <c r="D269" i="15"/>
  <c r="D271" i="15" s="1"/>
  <c r="C269" i="15"/>
  <c r="H268" i="15"/>
  <c r="G268" i="15"/>
  <c r="G270" i="15" s="1"/>
  <c r="F268" i="15"/>
  <c r="F269" i="15" s="1"/>
  <c r="E268" i="15"/>
  <c r="D268" i="15"/>
  <c r="C268" i="15"/>
  <c r="J271" i="15"/>
  <c r="J278" i="15" s="1"/>
  <c r="J267" i="15"/>
  <c r="J276" i="15" s="1"/>
  <c r="F246" i="15"/>
  <c r="P236" i="15"/>
  <c r="P229" i="15"/>
  <c r="M229" i="15"/>
  <c r="L229" i="15"/>
  <c r="I229" i="15"/>
  <c r="P228" i="15"/>
  <c r="O228" i="15"/>
  <c r="N228" i="15"/>
  <c r="M228" i="15"/>
  <c r="L228" i="15"/>
  <c r="K228" i="15"/>
  <c r="J228" i="15"/>
  <c r="I228" i="15"/>
  <c r="H228" i="15"/>
  <c r="I227" i="15"/>
  <c r="T227" i="15" s="1"/>
  <c r="T226" i="15"/>
  <c r="O229" i="15" s="1"/>
  <c r="I226" i="15"/>
  <c r="I221" i="15"/>
  <c r="H221" i="15"/>
  <c r="G221" i="15"/>
  <c r="F221" i="15"/>
  <c r="E221" i="15"/>
  <c r="D221" i="15"/>
  <c r="L215" i="15"/>
  <c r="K203" i="15"/>
  <c r="J203" i="15"/>
  <c r="I203" i="15"/>
  <c r="H203" i="15"/>
  <c r="G203" i="15"/>
  <c r="F203" i="15"/>
  <c r="E203" i="15"/>
  <c r="D203" i="15"/>
  <c r="I188" i="15"/>
  <c r="H188" i="15"/>
  <c r="G188" i="15"/>
  <c r="F188" i="15"/>
  <c r="E188" i="15"/>
  <c r="D188" i="15"/>
  <c r="C188" i="15"/>
  <c r="N178" i="15"/>
  <c r="R176" i="15"/>
  <c r="Q176" i="15"/>
  <c r="P176" i="15"/>
  <c r="O176" i="15"/>
  <c r="N176" i="15"/>
  <c r="M176" i="15"/>
  <c r="L176" i="15"/>
  <c r="K176" i="15"/>
  <c r="J176" i="15"/>
  <c r="I176" i="15"/>
  <c r="H176" i="15"/>
  <c r="T174" i="15"/>
  <c r="I178" i="15" s="1"/>
  <c r="P174" i="15"/>
  <c r="P178" i="15" s="1"/>
  <c r="T173" i="15"/>
  <c r="H177" i="15" s="1"/>
  <c r="P173" i="15"/>
  <c r="I173" i="15"/>
  <c r="I177" i="15" s="1"/>
  <c r="K161" i="15"/>
  <c r="K156" i="15" s="1"/>
  <c r="J156" i="15"/>
  <c r="I156" i="15"/>
  <c r="H156" i="15"/>
  <c r="G156" i="15"/>
  <c r="F156" i="15"/>
  <c r="E156" i="15"/>
  <c r="D156" i="15"/>
  <c r="C156" i="15"/>
  <c r="O158" i="15" s="1"/>
  <c r="P111" i="15"/>
  <c r="I111" i="15"/>
  <c r="P107" i="15"/>
  <c r="I107" i="15"/>
  <c r="P106" i="15"/>
  <c r="P105" i="15"/>
  <c r="S102" i="15"/>
  <c r="P102" i="15"/>
  <c r="M102" i="15"/>
  <c r="T102" i="15" s="1"/>
  <c r="T101" i="15"/>
  <c r="O90" i="15" s="1"/>
  <c r="N90" i="15" s="1"/>
  <c r="P101" i="15"/>
  <c r="M101" i="15"/>
  <c r="I101" i="15"/>
  <c r="I108" i="15" s="1"/>
  <c r="T96" i="15"/>
  <c r="Q89" i="15"/>
  <c r="O89" i="15"/>
  <c r="S25" i="15"/>
  <c r="I25" i="15"/>
  <c r="S24" i="15"/>
  <c r="U24" i="15" s="1"/>
  <c r="P24" i="15"/>
  <c r="P25" i="15" s="1"/>
  <c r="T25" i="15" s="1"/>
  <c r="M18" i="15" s="1"/>
  <c r="I24" i="15"/>
  <c r="M16" i="15"/>
  <c r="J16" i="15"/>
  <c r="I16" i="15"/>
  <c r="H16" i="15"/>
  <c r="G16" i="15"/>
  <c r="F16" i="15"/>
  <c r="J403" i="15" l="1"/>
  <c r="K403" i="15"/>
  <c r="L403" i="15"/>
  <c r="M403" i="15"/>
  <c r="N403" i="15"/>
  <c r="H403" i="15"/>
  <c r="I403" i="15"/>
  <c r="T400" i="15"/>
  <c r="O403" i="15"/>
  <c r="P403" i="15"/>
  <c r="Q403" i="15"/>
  <c r="R403" i="15"/>
  <c r="T401" i="15"/>
  <c r="P230" i="15"/>
  <c r="O230" i="15"/>
  <c r="L217" i="15"/>
  <c r="K217" i="15" s="1"/>
  <c r="N230" i="15"/>
  <c r="M230" i="15"/>
  <c r="L230" i="15"/>
  <c r="K230" i="15"/>
  <c r="I230" i="15"/>
  <c r="H230" i="15"/>
  <c r="J230" i="15"/>
  <c r="H269" i="15"/>
  <c r="F271" i="15"/>
  <c r="E269" i="15"/>
  <c r="E271" i="15" s="1"/>
  <c r="F270" i="15"/>
  <c r="C271" i="15"/>
  <c r="H229" i="15"/>
  <c r="L216" i="15"/>
  <c r="K216" i="15" s="1"/>
  <c r="J229" i="15"/>
  <c r="K229" i="15"/>
  <c r="D270" i="15"/>
  <c r="H270" i="15" s="1"/>
  <c r="N229" i="15"/>
  <c r="E270" i="15"/>
  <c r="R177" i="15"/>
  <c r="J178" i="15"/>
  <c r="K177" i="15"/>
  <c r="L178" i="15"/>
  <c r="J177" i="15"/>
  <c r="K178" i="15"/>
  <c r="O159" i="15"/>
  <c r="N159" i="15" s="1"/>
  <c r="L177" i="15"/>
  <c r="M178" i="15"/>
  <c r="O160" i="15"/>
  <c r="N160" i="15" s="1"/>
  <c r="N177" i="15"/>
  <c r="O178" i="15"/>
  <c r="O177" i="15"/>
  <c r="P177" i="15"/>
  <c r="Q178" i="15"/>
  <c r="M177" i="15"/>
  <c r="Q177" i="15"/>
  <c r="R178" i="15"/>
  <c r="H178" i="15"/>
  <c r="O91" i="15"/>
  <c r="N91" i="15" s="1"/>
  <c r="I109" i="15"/>
  <c r="P109" i="15"/>
  <c r="S109" i="15"/>
  <c r="T105" i="15"/>
  <c r="M109" i="15"/>
  <c r="T97" i="15"/>
  <c r="T106" i="15"/>
  <c r="M108" i="15"/>
  <c r="P108" i="15"/>
  <c r="U25" i="15"/>
  <c r="T24" i="15"/>
  <c r="M17" i="15" s="1"/>
  <c r="L17" i="15" s="1"/>
  <c r="R404" i="15" l="1"/>
  <c r="Q404" i="15"/>
  <c r="O404" i="15"/>
  <c r="N404" i="15"/>
  <c r="S400" i="15"/>
  <c r="S404" i="15" s="1"/>
  <c r="P400" i="15"/>
  <c r="P404" i="15" s="1"/>
  <c r="L404" i="15"/>
  <c r="M400" i="15"/>
  <c r="M404" i="15" s="1"/>
  <c r="K404" i="15"/>
  <c r="I400" i="15"/>
  <c r="I404" i="15" s="1"/>
  <c r="H404" i="15"/>
  <c r="J404" i="15"/>
  <c r="R405" i="15"/>
  <c r="S401" i="15"/>
  <c r="S405" i="15" s="1"/>
  <c r="Q405" i="15"/>
  <c r="P401" i="15"/>
  <c r="P405" i="15" s="1"/>
  <c r="M401" i="15"/>
  <c r="M405" i="15" s="1"/>
  <c r="H405" i="15"/>
  <c r="O405" i="15"/>
  <c r="N405" i="15"/>
  <c r="L405" i="15"/>
  <c r="K405" i="15"/>
  <c r="I405" i="15"/>
  <c r="J405" i="15"/>
  <c r="H271" i="15"/>
  <c r="Q91" i="15"/>
  <c r="P91" i="15" s="1"/>
  <c r="I113" i="15"/>
  <c r="Q90" i="15"/>
  <c r="P90" i="15" s="1"/>
  <c r="I112" i="15"/>
  <c r="P112" i="15"/>
  <c r="P113" i="15"/>
  <c r="T98" i="15"/>
  <c r="L18" i="15"/>
  <c r="E97" i="3" l="1"/>
  <c r="E61" i="13" s="1"/>
  <c r="E98" i="3"/>
  <c r="E62" i="13" s="1"/>
  <c r="E99" i="3"/>
  <c r="E63" i="13" s="1"/>
  <c r="E100" i="3"/>
  <c r="E64" i="13" s="1"/>
  <c r="E101" i="3"/>
  <c r="E65" i="13" s="1"/>
  <c r="E102" i="3"/>
  <c r="E66" i="13" s="1"/>
  <c r="E103" i="3"/>
  <c r="E67" i="13" s="1"/>
  <c r="E104" i="3"/>
  <c r="D123" i="2"/>
  <c r="O30" i="13" s="1"/>
  <c r="E123" i="2"/>
  <c r="P30" i="13" s="1"/>
  <c r="F123" i="2"/>
  <c r="Q30" i="13" s="1"/>
  <c r="G123" i="2"/>
  <c r="R30" i="13" s="1"/>
  <c r="H123" i="2"/>
  <c r="S30" i="13" s="1"/>
  <c r="I123" i="2"/>
  <c r="T30" i="13" s="1"/>
  <c r="J123" i="2"/>
  <c r="U30" i="13" s="1"/>
  <c r="K123" i="2"/>
  <c r="V30" i="13" s="1"/>
  <c r="C123" i="2"/>
  <c r="N30" i="13" s="1"/>
  <c r="O8" i="10"/>
  <c r="P8" i="10"/>
  <c r="T8" i="10"/>
  <c r="O9" i="10"/>
  <c r="P9" i="10"/>
  <c r="Q9" i="10"/>
  <c r="R9" i="10"/>
  <c r="S9" i="10"/>
  <c r="T9" i="10"/>
  <c r="O11" i="10"/>
  <c r="P11" i="10"/>
  <c r="Q11" i="10"/>
  <c r="R11" i="10"/>
  <c r="S11" i="10"/>
  <c r="T11" i="10"/>
  <c r="O12" i="10"/>
  <c r="P12" i="10"/>
  <c r="T12" i="10"/>
  <c r="O13" i="10"/>
  <c r="P13" i="10"/>
  <c r="Q13" i="10"/>
  <c r="R13" i="10"/>
  <c r="S13" i="10"/>
  <c r="T13" i="10"/>
  <c r="O15" i="10"/>
  <c r="P15" i="10"/>
  <c r="Q15" i="10"/>
  <c r="R15" i="10"/>
  <c r="S15" i="10"/>
  <c r="T15" i="10"/>
  <c r="O16" i="10"/>
  <c r="P16" i="10"/>
  <c r="T16" i="10"/>
  <c r="O17" i="10"/>
  <c r="P17" i="10"/>
  <c r="Q17" i="10"/>
  <c r="R17" i="10"/>
  <c r="S17" i="10"/>
  <c r="T17" i="10"/>
  <c r="O19" i="10"/>
  <c r="P19" i="10"/>
  <c r="Q19" i="10"/>
  <c r="R19" i="10"/>
  <c r="S19" i="10"/>
  <c r="T19" i="10"/>
  <c r="O20" i="10"/>
  <c r="P20" i="10"/>
  <c r="T20" i="10"/>
  <c r="O21" i="10"/>
  <c r="P21" i="10"/>
  <c r="Q21" i="10"/>
  <c r="R21" i="10"/>
  <c r="S21" i="10"/>
  <c r="T21" i="10"/>
  <c r="O23" i="10"/>
  <c r="P23" i="10"/>
  <c r="Q23" i="10"/>
  <c r="R23" i="10"/>
  <c r="S23" i="10"/>
  <c r="T23" i="10"/>
  <c r="O24" i="10"/>
  <c r="P24" i="10"/>
  <c r="Q24" i="10"/>
  <c r="R24" i="10"/>
  <c r="S24" i="10"/>
  <c r="T24" i="10"/>
  <c r="O25" i="10"/>
  <c r="P25" i="10"/>
  <c r="Q25" i="10"/>
  <c r="R25" i="10"/>
  <c r="S25" i="10"/>
  <c r="T25" i="10"/>
  <c r="O26" i="10"/>
  <c r="P26" i="10"/>
  <c r="T26" i="10"/>
  <c r="O27" i="10"/>
  <c r="P27" i="10"/>
  <c r="Q27" i="10"/>
  <c r="R27" i="10"/>
  <c r="S27" i="10"/>
  <c r="T27" i="10"/>
  <c r="O30" i="10"/>
  <c r="P30" i="10"/>
  <c r="Q30" i="10"/>
  <c r="R30" i="10"/>
  <c r="S30" i="10"/>
  <c r="T30" i="10"/>
  <c r="O31" i="10"/>
  <c r="P31" i="10"/>
  <c r="Q31" i="10"/>
  <c r="R31" i="10"/>
  <c r="S31" i="10"/>
  <c r="T31" i="10"/>
  <c r="O32" i="10"/>
  <c r="P32" i="10"/>
  <c r="Q32" i="10"/>
  <c r="R32" i="10"/>
  <c r="S32" i="10"/>
  <c r="T32" i="10"/>
  <c r="O33" i="10"/>
  <c r="P33" i="10"/>
  <c r="Q33" i="10"/>
  <c r="R33" i="10"/>
  <c r="S33" i="10"/>
  <c r="T33" i="10"/>
  <c r="O34" i="10"/>
  <c r="P34" i="10"/>
  <c r="Q34" i="10"/>
  <c r="R34" i="10"/>
  <c r="S34" i="10"/>
  <c r="T34" i="10"/>
  <c r="O36" i="10"/>
  <c r="P36" i="10"/>
  <c r="Q36" i="10"/>
  <c r="R36" i="10"/>
  <c r="S36" i="10"/>
  <c r="T36" i="10"/>
  <c r="O37" i="10"/>
  <c r="P37" i="10"/>
  <c r="Q37" i="10"/>
  <c r="R37" i="10"/>
  <c r="S37" i="10"/>
  <c r="T37" i="10"/>
  <c r="O38" i="10"/>
  <c r="P38" i="10"/>
  <c r="Q38" i="10"/>
  <c r="R38" i="10"/>
  <c r="S38" i="10"/>
  <c r="T38" i="10"/>
  <c r="O40" i="10"/>
  <c r="P40" i="10"/>
  <c r="Q40" i="10"/>
  <c r="R40" i="10"/>
  <c r="S40" i="10"/>
  <c r="T40" i="10"/>
  <c r="O41" i="10"/>
  <c r="P41" i="10"/>
  <c r="Q41" i="10"/>
  <c r="R41" i="10"/>
  <c r="S41" i="10"/>
  <c r="T41" i="10"/>
  <c r="O42" i="10"/>
  <c r="P42" i="10"/>
  <c r="Q42" i="10"/>
  <c r="R42" i="10"/>
  <c r="S42" i="10"/>
  <c r="T42" i="10"/>
  <c r="O45" i="10"/>
  <c r="P45" i="10"/>
  <c r="Q45" i="10"/>
  <c r="R45" i="10"/>
  <c r="S45" i="10"/>
  <c r="T45" i="10"/>
  <c r="O47" i="10"/>
  <c r="P47" i="10"/>
  <c r="Q47" i="10"/>
  <c r="R47" i="10"/>
  <c r="S47" i="10"/>
  <c r="T47" i="10"/>
  <c r="O48" i="10"/>
  <c r="P48" i="10"/>
  <c r="Q48" i="10"/>
  <c r="R48" i="10"/>
  <c r="S48" i="10"/>
  <c r="T48" i="10"/>
  <c r="O49" i="10"/>
  <c r="P49" i="10"/>
  <c r="Q49" i="10"/>
  <c r="R49" i="10"/>
  <c r="S49" i="10"/>
  <c r="T49" i="10"/>
  <c r="O51" i="10"/>
  <c r="P51" i="10"/>
  <c r="Q51" i="10"/>
  <c r="R51" i="10"/>
  <c r="S51" i="10"/>
  <c r="T51" i="10"/>
  <c r="O58" i="10"/>
  <c r="P58" i="10"/>
  <c r="Q58" i="10"/>
  <c r="R58" i="10"/>
  <c r="S58" i="10"/>
  <c r="T58" i="10"/>
  <c r="O59" i="10"/>
  <c r="P59" i="10"/>
  <c r="Q59" i="10"/>
  <c r="R59" i="10"/>
  <c r="S59" i="10"/>
  <c r="T59" i="10"/>
  <c r="O61" i="10"/>
  <c r="P61" i="10"/>
  <c r="Q61" i="10"/>
  <c r="R61" i="10"/>
  <c r="S61" i="10"/>
  <c r="T61" i="10"/>
  <c r="P7" i="10"/>
  <c r="Q7" i="10"/>
  <c r="R7" i="10"/>
  <c r="S7" i="10"/>
  <c r="T7" i="10"/>
  <c r="O7" i="10"/>
  <c r="C86" i="9"/>
  <c r="D86" i="9"/>
  <c r="E86" i="9"/>
  <c r="F86" i="9"/>
  <c r="G86" i="9"/>
  <c r="C87" i="9"/>
  <c r="D87" i="9"/>
  <c r="E87" i="9"/>
  <c r="F87" i="9"/>
  <c r="G87" i="9"/>
  <c r="C88" i="9"/>
  <c r="D88" i="9"/>
  <c r="E88" i="9"/>
  <c r="F88" i="9"/>
  <c r="G88" i="9"/>
  <c r="C89" i="9"/>
  <c r="D89" i="9"/>
  <c r="E89" i="9"/>
  <c r="F89" i="9"/>
  <c r="G89" i="9"/>
  <c r="C90" i="9"/>
  <c r="D90" i="9"/>
  <c r="E90" i="9"/>
  <c r="F90" i="9"/>
  <c r="G90" i="9"/>
  <c r="C91" i="9"/>
  <c r="D91" i="9"/>
  <c r="E91" i="9"/>
  <c r="F91" i="9"/>
  <c r="G91" i="9"/>
  <c r="C92" i="9"/>
  <c r="D92" i="9"/>
  <c r="E92" i="9"/>
  <c r="F92" i="9"/>
  <c r="G92" i="9"/>
  <c r="C93" i="9"/>
  <c r="D93" i="9"/>
  <c r="E93" i="9"/>
  <c r="F93" i="9"/>
  <c r="G93" i="9"/>
  <c r="C94" i="9"/>
  <c r="D94" i="9"/>
  <c r="E94" i="9"/>
  <c r="F94" i="9"/>
  <c r="G94" i="9"/>
  <c r="C95" i="9"/>
  <c r="D95" i="9"/>
  <c r="E95" i="9"/>
  <c r="F95" i="9"/>
  <c r="G95" i="9"/>
  <c r="C96" i="9"/>
  <c r="D96" i="9"/>
  <c r="E96" i="9"/>
  <c r="F96" i="9"/>
  <c r="G96" i="9"/>
  <c r="C97" i="9"/>
  <c r="D97" i="9"/>
  <c r="E97" i="9"/>
  <c r="F97" i="9"/>
  <c r="G97" i="9"/>
  <c r="C98" i="9"/>
  <c r="D98" i="9"/>
  <c r="E98" i="9"/>
  <c r="F98" i="9"/>
  <c r="G98" i="9"/>
  <c r="C99" i="9"/>
  <c r="D99" i="9"/>
  <c r="E99" i="9"/>
  <c r="F99" i="9"/>
  <c r="G99" i="9"/>
  <c r="C100" i="9"/>
  <c r="D100" i="9"/>
  <c r="E100" i="9"/>
  <c r="F100" i="9"/>
  <c r="G100" i="9"/>
  <c r="C101" i="9"/>
  <c r="D101" i="9"/>
  <c r="E101" i="9"/>
  <c r="F101" i="9"/>
  <c r="G101" i="9"/>
  <c r="C102" i="9"/>
  <c r="D102" i="9"/>
  <c r="E102" i="9"/>
  <c r="F102" i="9"/>
  <c r="G102" i="9"/>
  <c r="C103" i="9"/>
  <c r="D103" i="9"/>
  <c r="E103" i="9"/>
  <c r="F103" i="9"/>
  <c r="G103" i="9"/>
  <c r="C104" i="9"/>
  <c r="D104" i="9"/>
  <c r="E104" i="9"/>
  <c r="F104" i="9"/>
  <c r="G104" i="9"/>
  <c r="C105" i="9"/>
  <c r="D105" i="9"/>
  <c r="E105" i="9"/>
  <c r="F105" i="9"/>
  <c r="G105" i="9"/>
  <c r="C106" i="9"/>
  <c r="D106" i="9"/>
  <c r="E106" i="9"/>
  <c r="F106" i="9"/>
  <c r="G106" i="9"/>
  <c r="C107" i="9"/>
  <c r="D107" i="9"/>
  <c r="E107" i="9"/>
  <c r="F107" i="9"/>
  <c r="G107" i="9"/>
  <c r="C108" i="9"/>
  <c r="D108" i="9"/>
  <c r="E108" i="9"/>
  <c r="F108" i="9"/>
  <c r="G108" i="9"/>
  <c r="D85" i="9"/>
  <c r="E85" i="9"/>
  <c r="F85" i="9"/>
  <c r="G85" i="9"/>
  <c r="C85" i="9"/>
  <c r="P13" i="8"/>
  <c r="Q13" i="8"/>
  <c r="R13" i="8"/>
  <c r="S13" i="8"/>
  <c r="T13" i="8"/>
  <c r="U13" i="8"/>
  <c r="P14" i="8"/>
  <c r="Q14" i="8"/>
  <c r="R14" i="8"/>
  <c r="S14" i="8"/>
  <c r="T14" i="8"/>
  <c r="U14" i="8"/>
  <c r="P16" i="8"/>
  <c r="Q16" i="8"/>
  <c r="R16" i="8"/>
  <c r="S16" i="8"/>
  <c r="T16" i="8"/>
  <c r="U16" i="8"/>
  <c r="P17" i="8"/>
  <c r="Q17" i="8"/>
  <c r="R17" i="8"/>
  <c r="S17" i="8"/>
  <c r="T17" i="8"/>
  <c r="U17" i="8"/>
  <c r="P18" i="8"/>
  <c r="Q18" i="8"/>
  <c r="R18" i="8"/>
  <c r="S18" i="8"/>
  <c r="T18" i="8"/>
  <c r="U18" i="8"/>
  <c r="P20" i="8"/>
  <c r="Q20" i="8"/>
  <c r="R20" i="8"/>
  <c r="S20" i="8"/>
  <c r="T20" i="8"/>
  <c r="U20" i="8"/>
  <c r="P21" i="8"/>
  <c r="Q21" i="8"/>
  <c r="R21" i="8"/>
  <c r="S21" i="8"/>
  <c r="T21" i="8"/>
  <c r="U21" i="8"/>
  <c r="P22" i="8"/>
  <c r="Q22" i="8"/>
  <c r="R22" i="8"/>
  <c r="S22" i="8"/>
  <c r="T22" i="8"/>
  <c r="U22" i="8"/>
  <c r="P24" i="8"/>
  <c r="Q24" i="8"/>
  <c r="R24" i="8"/>
  <c r="S24" i="8"/>
  <c r="T24" i="8"/>
  <c r="U24" i="8"/>
  <c r="P25" i="8"/>
  <c r="Q25" i="8"/>
  <c r="R25" i="8"/>
  <c r="S25" i="8"/>
  <c r="T25" i="8"/>
  <c r="U25" i="8"/>
  <c r="P26" i="8"/>
  <c r="Q26" i="8"/>
  <c r="R26" i="8"/>
  <c r="S26" i="8"/>
  <c r="T26" i="8"/>
  <c r="U26" i="8"/>
  <c r="P27" i="8"/>
  <c r="Q27" i="8"/>
  <c r="R27" i="8"/>
  <c r="S27" i="8"/>
  <c r="T27" i="8"/>
  <c r="U27" i="8"/>
  <c r="P29" i="8"/>
  <c r="Q29" i="8"/>
  <c r="R29" i="8"/>
  <c r="S29" i="8"/>
  <c r="T29" i="8"/>
  <c r="U29" i="8"/>
  <c r="P30" i="8"/>
  <c r="Q30" i="8"/>
  <c r="R30" i="8"/>
  <c r="S30" i="8"/>
  <c r="T30" i="8"/>
  <c r="U30" i="8"/>
  <c r="Q12" i="8"/>
  <c r="R12" i="8"/>
  <c r="S12" i="8"/>
  <c r="T12" i="8"/>
  <c r="U12" i="8"/>
  <c r="P12" i="8"/>
  <c r="D108" i="7"/>
  <c r="E108" i="7"/>
  <c r="F108" i="7"/>
  <c r="G108" i="7"/>
  <c r="D109" i="7"/>
  <c r="E109" i="7"/>
  <c r="F109" i="7"/>
  <c r="G109" i="7"/>
  <c r="D110" i="7"/>
  <c r="E110" i="7"/>
  <c r="F110" i="7"/>
  <c r="G110" i="7"/>
  <c r="D111" i="7"/>
  <c r="E111" i="7"/>
  <c r="F111" i="7"/>
  <c r="G111" i="7"/>
  <c r="D112" i="7"/>
  <c r="E112" i="7"/>
  <c r="F112" i="7"/>
  <c r="G112" i="7"/>
  <c r="D113" i="7"/>
  <c r="E113" i="7"/>
  <c r="F113" i="7"/>
  <c r="G113" i="7"/>
  <c r="D114" i="7"/>
  <c r="E114" i="7"/>
  <c r="F114" i="7"/>
  <c r="G114" i="7"/>
  <c r="D115" i="7"/>
  <c r="E115" i="7"/>
  <c r="F115" i="7"/>
  <c r="G115" i="7"/>
  <c r="D116" i="7"/>
  <c r="E116" i="7"/>
  <c r="F116" i="7"/>
  <c r="G116" i="7"/>
  <c r="D117" i="7"/>
  <c r="E117" i="7"/>
  <c r="F117" i="7"/>
  <c r="G117" i="7"/>
  <c r="D118" i="7"/>
  <c r="E118" i="7"/>
  <c r="F118" i="7"/>
  <c r="G118" i="7"/>
  <c r="D119" i="7"/>
  <c r="E119" i="7"/>
  <c r="F119" i="7"/>
  <c r="G119" i="7"/>
  <c r="D120" i="7"/>
  <c r="E120" i="7"/>
  <c r="F120" i="7"/>
  <c r="G120" i="7"/>
  <c r="D121" i="7"/>
  <c r="E121" i="7"/>
  <c r="F121" i="7"/>
  <c r="G121" i="7"/>
  <c r="D122" i="7"/>
  <c r="E122" i="7"/>
  <c r="F122" i="7"/>
  <c r="G122" i="7"/>
  <c r="D123" i="7"/>
  <c r="E123" i="7"/>
  <c r="F123" i="7"/>
  <c r="G123" i="7"/>
  <c r="D124" i="7"/>
  <c r="E124" i="7"/>
  <c r="F124" i="7"/>
  <c r="G124" i="7"/>
  <c r="D125" i="7"/>
  <c r="E125" i="7"/>
  <c r="F125" i="7"/>
  <c r="G125" i="7"/>
  <c r="D126" i="7"/>
  <c r="E126" i="7"/>
  <c r="F126" i="7"/>
  <c r="G126" i="7"/>
  <c r="D127" i="7"/>
  <c r="E127" i="7"/>
  <c r="F127" i="7"/>
  <c r="G127" i="7"/>
  <c r="D128" i="7"/>
  <c r="E128" i="7"/>
  <c r="F128" i="7"/>
  <c r="G128" i="7"/>
  <c r="D129" i="7"/>
  <c r="E129" i="7"/>
  <c r="F129" i="7"/>
  <c r="G129" i="7"/>
  <c r="E107" i="7"/>
  <c r="F107" i="7"/>
  <c r="G107" i="7"/>
  <c r="D107" i="7"/>
  <c r="Y73" i="5"/>
  <c r="Z73" i="5"/>
  <c r="AA73" i="5"/>
  <c r="AB73" i="5"/>
  <c r="AC73" i="5"/>
  <c r="AD73" i="5"/>
  <c r="AE73" i="5"/>
  <c r="AF73" i="5"/>
  <c r="AG73" i="5"/>
  <c r="AH73" i="5"/>
  <c r="AI73" i="5"/>
  <c r="AJ73" i="5"/>
  <c r="AK73" i="5"/>
  <c r="AL73" i="5"/>
  <c r="AM73" i="5"/>
  <c r="Y74" i="5"/>
  <c r="Z74" i="5"/>
  <c r="AA74" i="5"/>
  <c r="AB74" i="5"/>
  <c r="AC74" i="5"/>
  <c r="AD74" i="5"/>
  <c r="AE74" i="5"/>
  <c r="AF74" i="5"/>
  <c r="AG74" i="5"/>
  <c r="AH74" i="5"/>
  <c r="AI74" i="5"/>
  <c r="AJ74" i="5"/>
  <c r="AK74" i="5"/>
  <c r="AL74" i="5"/>
  <c r="AM74" i="5"/>
  <c r="Y75" i="5"/>
  <c r="Z75" i="5"/>
  <c r="AA75" i="5"/>
  <c r="AB75" i="5"/>
  <c r="AC75" i="5"/>
  <c r="AD75" i="5"/>
  <c r="AE75" i="5"/>
  <c r="AF75" i="5"/>
  <c r="AG75" i="5"/>
  <c r="AH75" i="5"/>
  <c r="AI75" i="5"/>
  <c r="AJ75" i="5"/>
  <c r="AK75" i="5"/>
  <c r="AL75" i="5"/>
  <c r="AM75" i="5"/>
  <c r="Y76" i="5"/>
  <c r="Z76" i="5"/>
  <c r="AA76" i="5"/>
  <c r="AB76" i="5"/>
  <c r="AC76" i="5"/>
  <c r="AD76" i="5"/>
  <c r="AE76" i="5"/>
  <c r="AF76" i="5"/>
  <c r="AG76" i="5"/>
  <c r="AH76" i="5"/>
  <c r="AI76" i="5"/>
  <c r="AJ76" i="5"/>
  <c r="AK76" i="5"/>
  <c r="AL76" i="5"/>
  <c r="AM76" i="5"/>
  <c r="Y77" i="5"/>
  <c r="Z77" i="5"/>
  <c r="AA77" i="5"/>
  <c r="AB77" i="5"/>
  <c r="AC77" i="5"/>
  <c r="AD77" i="5"/>
  <c r="AE77" i="5"/>
  <c r="AF77" i="5"/>
  <c r="AG77" i="5"/>
  <c r="AH77" i="5"/>
  <c r="AI77" i="5"/>
  <c r="AJ77" i="5"/>
  <c r="AK77" i="5"/>
  <c r="AL77" i="5"/>
  <c r="AM77" i="5"/>
  <c r="Y78" i="5"/>
  <c r="Z78" i="5"/>
  <c r="AA78" i="5"/>
  <c r="AB78" i="5"/>
  <c r="AC78" i="5"/>
  <c r="AD78" i="5"/>
  <c r="AE78" i="5"/>
  <c r="AF78" i="5"/>
  <c r="AG78" i="5"/>
  <c r="AH78" i="5"/>
  <c r="AI78" i="5"/>
  <c r="AJ78" i="5"/>
  <c r="AK78" i="5"/>
  <c r="AL78" i="5"/>
  <c r="AM78" i="5"/>
  <c r="Y79" i="5"/>
  <c r="Z79" i="5"/>
  <c r="AA79" i="5"/>
  <c r="AB79" i="5"/>
  <c r="AC79" i="5"/>
  <c r="AD79" i="5"/>
  <c r="AE79" i="5"/>
  <c r="AF79" i="5"/>
  <c r="AG79" i="5"/>
  <c r="AH79" i="5"/>
  <c r="AI79" i="5"/>
  <c r="AJ79" i="5"/>
  <c r="AK79" i="5"/>
  <c r="AL79" i="5"/>
  <c r="AM79" i="5"/>
  <c r="Y80" i="5"/>
  <c r="Z80" i="5"/>
  <c r="AA80" i="5"/>
  <c r="AB80" i="5"/>
  <c r="AC80" i="5"/>
  <c r="AD80" i="5"/>
  <c r="AE80" i="5"/>
  <c r="AF80" i="5"/>
  <c r="AG80" i="5"/>
  <c r="AH80" i="5"/>
  <c r="AI80" i="5"/>
  <c r="AJ80" i="5"/>
  <c r="AK80" i="5"/>
  <c r="AL80" i="5"/>
  <c r="AM80" i="5"/>
  <c r="Y81" i="5"/>
  <c r="Z81" i="5"/>
  <c r="AA81" i="5"/>
  <c r="AB81" i="5"/>
  <c r="AC81" i="5"/>
  <c r="AD81" i="5"/>
  <c r="AE81" i="5"/>
  <c r="AF81" i="5"/>
  <c r="AG81" i="5"/>
  <c r="AH81" i="5"/>
  <c r="AI81" i="5"/>
  <c r="AJ81" i="5"/>
  <c r="AK81" i="5"/>
  <c r="AL81" i="5"/>
  <c r="AM81" i="5"/>
  <c r="Y82" i="5"/>
  <c r="Z82" i="5"/>
  <c r="AA82" i="5"/>
  <c r="AB82" i="5"/>
  <c r="AC82" i="5"/>
  <c r="AD82" i="5"/>
  <c r="AE82" i="5"/>
  <c r="AF82" i="5"/>
  <c r="AG82" i="5"/>
  <c r="AH82" i="5"/>
  <c r="AI82" i="5"/>
  <c r="AJ82" i="5"/>
  <c r="AK82" i="5"/>
  <c r="AL82" i="5"/>
  <c r="AM82" i="5"/>
  <c r="Y83" i="5"/>
  <c r="Z83" i="5"/>
  <c r="AA83" i="5"/>
  <c r="AB83" i="5"/>
  <c r="AC83" i="5"/>
  <c r="AD83" i="5"/>
  <c r="AE83" i="5"/>
  <c r="AF83" i="5"/>
  <c r="AG83" i="5"/>
  <c r="AH83" i="5"/>
  <c r="AI83" i="5"/>
  <c r="AJ83" i="5"/>
  <c r="AK83" i="5"/>
  <c r="AL83" i="5"/>
  <c r="AM83" i="5"/>
  <c r="Y84" i="5"/>
  <c r="Z84" i="5"/>
  <c r="AA84" i="5"/>
  <c r="AB84" i="5"/>
  <c r="AC84" i="5"/>
  <c r="AD84" i="5"/>
  <c r="AE84" i="5"/>
  <c r="AF84" i="5"/>
  <c r="AG84" i="5"/>
  <c r="AH84" i="5"/>
  <c r="AI84" i="5"/>
  <c r="AJ84" i="5"/>
  <c r="AK84" i="5"/>
  <c r="AL84" i="5"/>
  <c r="AM84" i="5"/>
  <c r="Y85" i="5"/>
  <c r="Z85" i="5"/>
  <c r="AA85" i="5"/>
  <c r="AB85" i="5"/>
  <c r="AC85" i="5"/>
  <c r="AD85" i="5"/>
  <c r="AE85" i="5"/>
  <c r="AF85" i="5"/>
  <c r="AG85" i="5"/>
  <c r="AH85" i="5"/>
  <c r="AI85" i="5"/>
  <c r="AJ85" i="5"/>
  <c r="AK85" i="5"/>
  <c r="AL85" i="5"/>
  <c r="AM85" i="5"/>
  <c r="Y86" i="5"/>
  <c r="Z86" i="5"/>
  <c r="AA86" i="5"/>
  <c r="AB86" i="5"/>
  <c r="AC86" i="5"/>
  <c r="AD86" i="5"/>
  <c r="AE86" i="5"/>
  <c r="AF86" i="5"/>
  <c r="AG86" i="5"/>
  <c r="AH86" i="5"/>
  <c r="AI86" i="5"/>
  <c r="AJ86" i="5"/>
  <c r="AK86" i="5"/>
  <c r="AL86" i="5"/>
  <c r="AM86" i="5"/>
  <c r="Y87" i="5"/>
  <c r="Z87" i="5"/>
  <c r="AA87" i="5"/>
  <c r="AB87" i="5"/>
  <c r="AC87" i="5"/>
  <c r="AD87" i="5"/>
  <c r="AE87" i="5"/>
  <c r="AF87" i="5"/>
  <c r="AG87" i="5"/>
  <c r="AH87" i="5"/>
  <c r="AI87" i="5"/>
  <c r="AJ87" i="5"/>
  <c r="AK87" i="5"/>
  <c r="AL87" i="5"/>
  <c r="AM87" i="5"/>
  <c r="Y88" i="5"/>
  <c r="Z88" i="5"/>
  <c r="AA88" i="5"/>
  <c r="AB88" i="5"/>
  <c r="AC88" i="5"/>
  <c r="AD88" i="5"/>
  <c r="AE88" i="5"/>
  <c r="AF88" i="5"/>
  <c r="AG88" i="5"/>
  <c r="AH88" i="5"/>
  <c r="AI88" i="5"/>
  <c r="AJ88" i="5"/>
  <c r="AK88" i="5"/>
  <c r="AL88" i="5"/>
  <c r="AM88" i="5"/>
  <c r="Y89" i="5"/>
  <c r="Z89" i="5"/>
  <c r="AA89" i="5"/>
  <c r="AB89" i="5"/>
  <c r="AC89" i="5"/>
  <c r="AD89" i="5"/>
  <c r="AE89" i="5"/>
  <c r="AF89" i="5"/>
  <c r="AG89" i="5"/>
  <c r="AH89" i="5"/>
  <c r="AI89" i="5"/>
  <c r="AJ89" i="5"/>
  <c r="AK89" i="5"/>
  <c r="AL89" i="5"/>
  <c r="AM89" i="5"/>
  <c r="Y90" i="5"/>
  <c r="Z90" i="5"/>
  <c r="AA90" i="5"/>
  <c r="AB90" i="5"/>
  <c r="AC90" i="5"/>
  <c r="AD90" i="5"/>
  <c r="AE90" i="5"/>
  <c r="AF90" i="5"/>
  <c r="AG90" i="5"/>
  <c r="AH90" i="5"/>
  <c r="AI90" i="5"/>
  <c r="AJ90" i="5"/>
  <c r="AK90" i="5"/>
  <c r="AL90" i="5"/>
  <c r="AM90" i="5"/>
  <c r="Y91" i="5"/>
  <c r="Z91" i="5"/>
  <c r="AA91" i="5"/>
  <c r="AB91" i="5"/>
  <c r="AC91" i="5"/>
  <c r="AD91" i="5"/>
  <c r="AE91" i="5"/>
  <c r="AF91" i="5"/>
  <c r="AG91" i="5"/>
  <c r="AH91" i="5"/>
  <c r="AI91" i="5"/>
  <c r="AJ91" i="5"/>
  <c r="AK91" i="5"/>
  <c r="AL91" i="5"/>
  <c r="AM91" i="5"/>
  <c r="Y92" i="5"/>
  <c r="Z92" i="5"/>
  <c r="AA92" i="5"/>
  <c r="AB92" i="5"/>
  <c r="AC92" i="5"/>
  <c r="AD92" i="5"/>
  <c r="AE92" i="5"/>
  <c r="AF92" i="5"/>
  <c r="AG92" i="5"/>
  <c r="AH92" i="5"/>
  <c r="AI92" i="5"/>
  <c r="AJ92" i="5"/>
  <c r="AK92" i="5"/>
  <c r="AL92" i="5"/>
  <c r="AM92" i="5"/>
  <c r="Y93" i="5"/>
  <c r="Z93" i="5"/>
  <c r="AA93" i="5"/>
  <c r="AB93" i="5"/>
  <c r="AC93" i="5"/>
  <c r="AD93" i="5"/>
  <c r="AE93" i="5"/>
  <c r="AF93" i="5"/>
  <c r="AG93" i="5"/>
  <c r="AH93" i="5"/>
  <c r="AI93" i="5"/>
  <c r="AJ93" i="5"/>
  <c r="AK93" i="5"/>
  <c r="AL93" i="5"/>
  <c r="AM93" i="5"/>
  <c r="Y94" i="5"/>
  <c r="Z94" i="5"/>
  <c r="AA94" i="5"/>
  <c r="AB94" i="5"/>
  <c r="AC94" i="5"/>
  <c r="AD94" i="5"/>
  <c r="AE94" i="5"/>
  <c r="AF94" i="5"/>
  <c r="AG94" i="5"/>
  <c r="AH94" i="5"/>
  <c r="AI94" i="5"/>
  <c r="AJ94" i="5"/>
  <c r="AK94" i="5"/>
  <c r="AL94" i="5"/>
  <c r="AM94" i="5"/>
  <c r="Y95" i="5"/>
  <c r="Z95" i="5"/>
  <c r="AA95" i="5"/>
  <c r="AB95" i="5"/>
  <c r="AC95" i="5"/>
  <c r="AD95" i="5"/>
  <c r="AE95" i="5"/>
  <c r="AF95" i="5"/>
  <c r="AG95" i="5"/>
  <c r="AH95" i="5"/>
  <c r="AI95" i="5"/>
  <c r="AJ95" i="5"/>
  <c r="AK95" i="5"/>
  <c r="AL95" i="5"/>
  <c r="AM95" i="5"/>
  <c r="Y96" i="5"/>
  <c r="Z96" i="5"/>
  <c r="AA96" i="5"/>
  <c r="AB96" i="5"/>
  <c r="AC96" i="5"/>
  <c r="AD96" i="5"/>
  <c r="AE96" i="5"/>
  <c r="AF96" i="5"/>
  <c r="AG96" i="5"/>
  <c r="AH96" i="5"/>
  <c r="AI96" i="5"/>
  <c r="AJ96" i="5"/>
  <c r="AK96" i="5"/>
  <c r="AL96" i="5"/>
  <c r="AM96" i="5"/>
  <c r="Y97" i="5"/>
  <c r="Z97" i="5"/>
  <c r="AA97" i="5"/>
  <c r="AB97" i="5"/>
  <c r="AC97" i="5"/>
  <c r="AD97" i="5"/>
  <c r="AE97" i="5"/>
  <c r="AF97" i="5"/>
  <c r="AG97" i="5"/>
  <c r="AH97" i="5"/>
  <c r="AI97" i="5"/>
  <c r="AJ97" i="5"/>
  <c r="AK97" i="5"/>
  <c r="AL97" i="5"/>
  <c r="AM97" i="5"/>
  <c r="Y98" i="5"/>
  <c r="Z98" i="5"/>
  <c r="AA98" i="5"/>
  <c r="AB98" i="5"/>
  <c r="AC98" i="5"/>
  <c r="AD98" i="5"/>
  <c r="AE98" i="5"/>
  <c r="AF98" i="5"/>
  <c r="AG98" i="5"/>
  <c r="AH98" i="5"/>
  <c r="AI98" i="5"/>
  <c r="AJ98" i="5"/>
  <c r="AK98" i="5"/>
  <c r="AL98" i="5"/>
  <c r="AM98" i="5"/>
  <c r="Y99" i="5"/>
  <c r="Z99" i="5"/>
  <c r="AA99" i="5"/>
  <c r="AB99" i="5"/>
  <c r="AC99" i="5"/>
  <c r="AD99" i="5"/>
  <c r="AE99" i="5"/>
  <c r="AF99" i="5"/>
  <c r="AG99" i="5"/>
  <c r="AH99" i="5"/>
  <c r="AI99" i="5"/>
  <c r="AJ99" i="5"/>
  <c r="AK99" i="5"/>
  <c r="AL99" i="5"/>
  <c r="AM99" i="5"/>
  <c r="Y100" i="5"/>
  <c r="Z100" i="5"/>
  <c r="AA100" i="5"/>
  <c r="AB100" i="5"/>
  <c r="AC100" i="5"/>
  <c r="AD100" i="5"/>
  <c r="AE100" i="5"/>
  <c r="AF100" i="5"/>
  <c r="AG100" i="5"/>
  <c r="AH100" i="5"/>
  <c r="AI100" i="5"/>
  <c r="AJ100" i="5"/>
  <c r="AK100" i="5"/>
  <c r="AL100" i="5"/>
  <c r="AM100" i="5"/>
  <c r="Y101" i="5"/>
  <c r="Z101" i="5"/>
  <c r="AA101" i="5"/>
  <c r="AB101" i="5"/>
  <c r="AC101" i="5"/>
  <c r="AD101" i="5"/>
  <c r="AE101" i="5"/>
  <c r="AF101" i="5"/>
  <c r="AG101" i="5"/>
  <c r="AH101" i="5"/>
  <c r="AI101" i="5"/>
  <c r="AJ101" i="5"/>
  <c r="AK101" i="5"/>
  <c r="AL101" i="5"/>
  <c r="AM101" i="5"/>
  <c r="Y102" i="5"/>
  <c r="Z102" i="5"/>
  <c r="AA102" i="5"/>
  <c r="AB102" i="5"/>
  <c r="AC102" i="5"/>
  <c r="AD102" i="5"/>
  <c r="AE102" i="5"/>
  <c r="AF102" i="5"/>
  <c r="AG102" i="5"/>
  <c r="AH102" i="5"/>
  <c r="AI102" i="5"/>
  <c r="AJ102" i="5"/>
  <c r="AK102" i="5"/>
  <c r="AL102" i="5"/>
  <c r="AM102" i="5"/>
  <c r="Y103" i="5"/>
  <c r="Z103" i="5"/>
  <c r="AA103" i="5"/>
  <c r="AB103" i="5"/>
  <c r="AC103" i="5"/>
  <c r="AD103" i="5"/>
  <c r="AE103" i="5"/>
  <c r="AF103" i="5"/>
  <c r="AG103" i="5"/>
  <c r="AH103" i="5"/>
  <c r="AI103" i="5"/>
  <c r="AJ103" i="5"/>
  <c r="AK103" i="5"/>
  <c r="AL103" i="5"/>
  <c r="AM103" i="5"/>
  <c r="Y104" i="5"/>
  <c r="Z104" i="5"/>
  <c r="AA104" i="5"/>
  <c r="AB104" i="5"/>
  <c r="AC104" i="5"/>
  <c r="AD104" i="5"/>
  <c r="AE104" i="5"/>
  <c r="AF104" i="5"/>
  <c r="AG104" i="5"/>
  <c r="AH104" i="5"/>
  <c r="AI104" i="5"/>
  <c r="AJ104" i="5"/>
  <c r="AK104" i="5"/>
  <c r="AL104" i="5"/>
  <c r="AM104" i="5"/>
  <c r="Y105" i="5"/>
  <c r="Z105" i="5"/>
  <c r="AA105" i="5"/>
  <c r="AB105" i="5"/>
  <c r="AC105" i="5"/>
  <c r="AD105" i="5"/>
  <c r="AE105" i="5"/>
  <c r="AF105" i="5"/>
  <c r="AG105" i="5"/>
  <c r="AH105" i="5"/>
  <c r="AI105" i="5"/>
  <c r="AJ105" i="5"/>
  <c r="AK105" i="5"/>
  <c r="AL105" i="5"/>
  <c r="AM105" i="5"/>
  <c r="Y106" i="5"/>
  <c r="Z106" i="5"/>
  <c r="AA106" i="5"/>
  <c r="AB106" i="5"/>
  <c r="AC106" i="5"/>
  <c r="AD106" i="5"/>
  <c r="AE106" i="5"/>
  <c r="AF106" i="5"/>
  <c r="AG106" i="5"/>
  <c r="AH106" i="5"/>
  <c r="AI106" i="5"/>
  <c r="AJ106" i="5"/>
  <c r="AK106" i="5"/>
  <c r="AL106" i="5"/>
  <c r="AM106" i="5"/>
  <c r="Y107" i="5"/>
  <c r="Z107" i="5"/>
  <c r="AA107" i="5"/>
  <c r="AB107" i="5"/>
  <c r="AC107" i="5"/>
  <c r="AD107" i="5"/>
  <c r="AE107" i="5"/>
  <c r="AF107" i="5"/>
  <c r="AG107" i="5"/>
  <c r="AH107" i="5"/>
  <c r="AI107" i="5"/>
  <c r="AJ107" i="5"/>
  <c r="AK107" i="5"/>
  <c r="AL107" i="5"/>
  <c r="AM107" i="5"/>
  <c r="Y108" i="5"/>
  <c r="Z108" i="5"/>
  <c r="AA108" i="5"/>
  <c r="AB108" i="5"/>
  <c r="AC108" i="5"/>
  <c r="AD108" i="5"/>
  <c r="AE108" i="5"/>
  <c r="AF108" i="5"/>
  <c r="AG108" i="5"/>
  <c r="AH108" i="5"/>
  <c r="AI108" i="5"/>
  <c r="AJ108" i="5"/>
  <c r="AK108" i="5"/>
  <c r="AL108" i="5"/>
  <c r="AM108" i="5"/>
  <c r="Y109" i="5"/>
  <c r="Z109" i="5"/>
  <c r="AA109" i="5"/>
  <c r="AB109" i="5"/>
  <c r="AC109" i="5"/>
  <c r="AD109" i="5"/>
  <c r="AE109" i="5"/>
  <c r="AF109" i="5"/>
  <c r="AG109" i="5"/>
  <c r="AH109" i="5"/>
  <c r="AI109" i="5"/>
  <c r="AJ109" i="5"/>
  <c r="AK109" i="5"/>
  <c r="AL109" i="5"/>
  <c r="AM109" i="5"/>
  <c r="Y110" i="5"/>
  <c r="Z110" i="5"/>
  <c r="AA110" i="5"/>
  <c r="AB110" i="5"/>
  <c r="AC110" i="5"/>
  <c r="AD110" i="5"/>
  <c r="AE110" i="5"/>
  <c r="AF110" i="5"/>
  <c r="AG110" i="5"/>
  <c r="AH110" i="5"/>
  <c r="AI110" i="5"/>
  <c r="AJ110" i="5"/>
  <c r="AK110" i="5"/>
  <c r="AL110" i="5"/>
  <c r="AM110" i="5"/>
  <c r="Y111" i="5"/>
  <c r="Z111" i="5"/>
  <c r="AA111" i="5"/>
  <c r="AB111" i="5"/>
  <c r="AC111" i="5"/>
  <c r="AD111" i="5"/>
  <c r="AE111" i="5"/>
  <c r="AF111" i="5"/>
  <c r="AG111" i="5"/>
  <c r="AH111" i="5"/>
  <c r="AI111" i="5"/>
  <c r="AJ111" i="5"/>
  <c r="AK111" i="5"/>
  <c r="AL111" i="5"/>
  <c r="AM111" i="5"/>
  <c r="Y112" i="5"/>
  <c r="Z112" i="5"/>
  <c r="AA112" i="5"/>
  <c r="AB112" i="5"/>
  <c r="AC112" i="5"/>
  <c r="AD112" i="5"/>
  <c r="AE112" i="5"/>
  <c r="AF112" i="5"/>
  <c r="AG112" i="5"/>
  <c r="AH112" i="5"/>
  <c r="AI112" i="5"/>
  <c r="AJ112" i="5"/>
  <c r="AK112" i="5"/>
  <c r="AL112" i="5"/>
  <c r="AM112" i="5"/>
  <c r="Y113" i="5"/>
  <c r="Z113" i="5"/>
  <c r="AA113" i="5"/>
  <c r="AB113" i="5"/>
  <c r="AC113" i="5"/>
  <c r="AD113" i="5"/>
  <c r="AE113" i="5"/>
  <c r="AF113" i="5"/>
  <c r="AG113" i="5"/>
  <c r="AH113" i="5"/>
  <c r="AI113" i="5"/>
  <c r="AJ113" i="5"/>
  <c r="AK113" i="5"/>
  <c r="AL113" i="5"/>
  <c r="AM113" i="5"/>
  <c r="Y114" i="5"/>
  <c r="Z114" i="5"/>
  <c r="AA114" i="5"/>
  <c r="AB114" i="5"/>
  <c r="AC114" i="5"/>
  <c r="AD114" i="5"/>
  <c r="AE114" i="5"/>
  <c r="AF114" i="5"/>
  <c r="AG114" i="5"/>
  <c r="AH114" i="5"/>
  <c r="AI114" i="5"/>
  <c r="AJ114" i="5"/>
  <c r="AK114" i="5"/>
  <c r="AL114" i="5"/>
  <c r="AM114" i="5"/>
  <c r="Y115" i="5"/>
  <c r="Z115" i="5"/>
  <c r="AA115" i="5"/>
  <c r="AB115" i="5"/>
  <c r="AC115" i="5"/>
  <c r="AD115" i="5"/>
  <c r="AE115" i="5"/>
  <c r="AF115" i="5"/>
  <c r="AG115" i="5"/>
  <c r="AH115" i="5"/>
  <c r="AI115" i="5"/>
  <c r="AJ115" i="5"/>
  <c r="AK115" i="5"/>
  <c r="AL115" i="5"/>
  <c r="AM115" i="5"/>
  <c r="Y116" i="5"/>
  <c r="Z116" i="5"/>
  <c r="AA116" i="5"/>
  <c r="AB116" i="5"/>
  <c r="AC116" i="5"/>
  <c r="AD116" i="5"/>
  <c r="AE116" i="5"/>
  <c r="AF116" i="5"/>
  <c r="AG116" i="5"/>
  <c r="AH116" i="5"/>
  <c r="AI116" i="5"/>
  <c r="AJ116" i="5"/>
  <c r="AK116" i="5"/>
  <c r="AL116" i="5"/>
  <c r="AM116" i="5"/>
  <c r="Y117" i="5"/>
  <c r="Z117" i="5"/>
  <c r="AA117" i="5"/>
  <c r="AB117" i="5"/>
  <c r="AC117" i="5"/>
  <c r="AD117" i="5"/>
  <c r="AE117" i="5"/>
  <c r="AF117" i="5"/>
  <c r="AG117" i="5"/>
  <c r="AH117" i="5"/>
  <c r="AI117" i="5"/>
  <c r="AJ117" i="5"/>
  <c r="AK117" i="5"/>
  <c r="AL117" i="5"/>
  <c r="AM117" i="5"/>
  <c r="Y118" i="5"/>
  <c r="Z118" i="5"/>
  <c r="AA118" i="5"/>
  <c r="AB118" i="5"/>
  <c r="AC118" i="5"/>
  <c r="AD118" i="5"/>
  <c r="AE118" i="5"/>
  <c r="AF118" i="5"/>
  <c r="AG118" i="5"/>
  <c r="AH118" i="5"/>
  <c r="AI118" i="5"/>
  <c r="AJ118" i="5"/>
  <c r="AK118" i="5"/>
  <c r="AL118" i="5"/>
  <c r="AM118" i="5"/>
  <c r="Y119" i="5"/>
  <c r="Z119" i="5"/>
  <c r="AA119" i="5"/>
  <c r="AB119" i="5"/>
  <c r="AC119" i="5"/>
  <c r="AD119" i="5"/>
  <c r="AE119" i="5"/>
  <c r="AF119" i="5"/>
  <c r="AG119" i="5"/>
  <c r="AH119" i="5"/>
  <c r="AI119" i="5"/>
  <c r="AJ119" i="5"/>
  <c r="AK119" i="5"/>
  <c r="AL119" i="5"/>
  <c r="AM119" i="5"/>
  <c r="Y120" i="5"/>
  <c r="Z120" i="5"/>
  <c r="AA120" i="5"/>
  <c r="AB120" i="5"/>
  <c r="AC120" i="5"/>
  <c r="AD120" i="5"/>
  <c r="AE120" i="5"/>
  <c r="AF120" i="5"/>
  <c r="AG120" i="5"/>
  <c r="AH120" i="5"/>
  <c r="AI120" i="5"/>
  <c r="AJ120" i="5"/>
  <c r="AK120" i="5"/>
  <c r="AL120" i="5"/>
  <c r="AM120" i="5"/>
  <c r="Y121" i="5"/>
  <c r="Z121" i="5"/>
  <c r="AA121" i="5"/>
  <c r="AB121" i="5"/>
  <c r="AC121" i="5"/>
  <c r="AD121" i="5"/>
  <c r="AE121" i="5"/>
  <c r="AF121" i="5"/>
  <c r="AG121" i="5"/>
  <c r="AH121" i="5"/>
  <c r="AI121" i="5"/>
  <c r="AJ121" i="5"/>
  <c r="AK121" i="5"/>
  <c r="AL121" i="5"/>
  <c r="AM121" i="5"/>
  <c r="Y122" i="5"/>
  <c r="Z122" i="5"/>
  <c r="AA122" i="5"/>
  <c r="AB122" i="5"/>
  <c r="AC122" i="5"/>
  <c r="AD122" i="5"/>
  <c r="AE122" i="5"/>
  <c r="AF122" i="5"/>
  <c r="AG122" i="5"/>
  <c r="AH122" i="5"/>
  <c r="AI122" i="5"/>
  <c r="AJ122" i="5"/>
  <c r="AK122" i="5"/>
  <c r="AL122" i="5"/>
  <c r="AM122" i="5"/>
  <c r="Y123" i="5"/>
  <c r="Z123" i="5"/>
  <c r="AA123" i="5"/>
  <c r="AB123" i="5"/>
  <c r="AC123" i="5"/>
  <c r="AD123" i="5"/>
  <c r="AE123" i="5"/>
  <c r="AF123" i="5"/>
  <c r="AG123" i="5"/>
  <c r="AH123" i="5"/>
  <c r="AI123" i="5"/>
  <c r="AJ123" i="5"/>
  <c r="AK123" i="5"/>
  <c r="AL123" i="5"/>
  <c r="AM123" i="5"/>
  <c r="Y124" i="5"/>
  <c r="Z124" i="5"/>
  <c r="AA124" i="5"/>
  <c r="AB124" i="5"/>
  <c r="AC124" i="5"/>
  <c r="AD124" i="5"/>
  <c r="AE124" i="5"/>
  <c r="AF124" i="5"/>
  <c r="AG124" i="5"/>
  <c r="AH124" i="5"/>
  <c r="AI124" i="5"/>
  <c r="AJ124" i="5"/>
  <c r="AK124" i="5"/>
  <c r="AL124" i="5"/>
  <c r="AM124" i="5"/>
  <c r="Y125" i="5"/>
  <c r="Z125" i="5"/>
  <c r="AA125" i="5"/>
  <c r="AB125" i="5"/>
  <c r="AC125" i="5"/>
  <c r="AD125" i="5"/>
  <c r="AE125" i="5"/>
  <c r="AF125" i="5"/>
  <c r="AG125" i="5"/>
  <c r="AH125" i="5"/>
  <c r="AI125" i="5"/>
  <c r="AJ125" i="5"/>
  <c r="AK125" i="5"/>
  <c r="AL125" i="5"/>
  <c r="AM125" i="5"/>
  <c r="Y126" i="5"/>
  <c r="Z126" i="5"/>
  <c r="AA126" i="5"/>
  <c r="AB126" i="5"/>
  <c r="AC126" i="5"/>
  <c r="AD126" i="5"/>
  <c r="AE126" i="5"/>
  <c r="AF126" i="5"/>
  <c r="AG126" i="5"/>
  <c r="AH126" i="5"/>
  <c r="AI126" i="5"/>
  <c r="AJ126" i="5"/>
  <c r="AK126" i="5"/>
  <c r="AL126" i="5"/>
  <c r="AM126" i="5"/>
  <c r="Y127" i="5"/>
  <c r="Z127" i="5"/>
  <c r="AA127" i="5"/>
  <c r="AB127" i="5"/>
  <c r="AC127" i="5"/>
  <c r="AD127" i="5"/>
  <c r="AE127" i="5"/>
  <c r="AF127" i="5"/>
  <c r="AG127" i="5"/>
  <c r="AH127" i="5"/>
  <c r="AI127" i="5"/>
  <c r="AJ127" i="5"/>
  <c r="AK127" i="5"/>
  <c r="AL127" i="5"/>
  <c r="AM127" i="5"/>
  <c r="Y128" i="5"/>
  <c r="Z128" i="5"/>
  <c r="AA128" i="5"/>
  <c r="AB128" i="5"/>
  <c r="AC128" i="5"/>
  <c r="AD128" i="5"/>
  <c r="AE128" i="5"/>
  <c r="AF128" i="5"/>
  <c r="AG128" i="5"/>
  <c r="AH128" i="5"/>
  <c r="AI128" i="5"/>
  <c r="AJ128" i="5"/>
  <c r="AK128" i="5"/>
  <c r="AL128" i="5"/>
  <c r="AM128" i="5"/>
  <c r="Y129" i="5"/>
  <c r="Z129" i="5"/>
  <c r="AA129" i="5"/>
  <c r="AB129" i="5"/>
  <c r="AC129" i="5"/>
  <c r="AD129" i="5"/>
  <c r="AE129" i="5"/>
  <c r="AF129" i="5"/>
  <c r="AG129" i="5"/>
  <c r="AH129" i="5"/>
  <c r="AI129" i="5"/>
  <c r="AJ129" i="5"/>
  <c r="AK129" i="5"/>
  <c r="AL129" i="5"/>
  <c r="AM129" i="5"/>
  <c r="Y130" i="5"/>
  <c r="Z130" i="5"/>
  <c r="AA130" i="5"/>
  <c r="AB130" i="5"/>
  <c r="AC130" i="5"/>
  <c r="AD130" i="5"/>
  <c r="AE130" i="5"/>
  <c r="AF130" i="5"/>
  <c r="AG130" i="5"/>
  <c r="AH130" i="5"/>
  <c r="AI130" i="5"/>
  <c r="AJ130" i="5"/>
  <c r="AK130" i="5"/>
  <c r="AL130" i="5"/>
  <c r="AM130" i="5"/>
  <c r="Y131" i="5"/>
  <c r="Z131" i="5"/>
  <c r="AA131" i="5"/>
  <c r="AB131" i="5"/>
  <c r="AC131" i="5"/>
  <c r="AD131" i="5"/>
  <c r="AE131" i="5"/>
  <c r="AF131" i="5"/>
  <c r="AG131" i="5"/>
  <c r="AH131" i="5"/>
  <c r="AI131" i="5"/>
  <c r="AJ131" i="5"/>
  <c r="AK131" i="5"/>
  <c r="AL131" i="5"/>
  <c r="AM131" i="5"/>
  <c r="Y132" i="5"/>
  <c r="Z132" i="5"/>
  <c r="AA132" i="5"/>
  <c r="AB132" i="5"/>
  <c r="AC132" i="5"/>
  <c r="AD132" i="5"/>
  <c r="AE132" i="5"/>
  <c r="AF132" i="5"/>
  <c r="AG132" i="5"/>
  <c r="AH132" i="5"/>
  <c r="AI132" i="5"/>
  <c r="AJ132" i="5"/>
  <c r="AK132" i="5"/>
  <c r="AL132" i="5"/>
  <c r="AM132" i="5"/>
  <c r="Y133" i="5"/>
  <c r="Z133" i="5"/>
  <c r="AA133" i="5"/>
  <c r="AB133" i="5"/>
  <c r="AC133" i="5"/>
  <c r="AD133" i="5"/>
  <c r="AE133" i="5"/>
  <c r="AF133" i="5"/>
  <c r="AG133" i="5"/>
  <c r="AH133" i="5"/>
  <c r="AI133" i="5"/>
  <c r="AJ133" i="5"/>
  <c r="AK133" i="5"/>
  <c r="AL133" i="5"/>
  <c r="AM133" i="5"/>
  <c r="Y134" i="5"/>
  <c r="Z134" i="5"/>
  <c r="AA134" i="5"/>
  <c r="AB134" i="5"/>
  <c r="AC134" i="5"/>
  <c r="AD134" i="5"/>
  <c r="AE134" i="5"/>
  <c r="AF134" i="5"/>
  <c r="AG134" i="5"/>
  <c r="AH134" i="5"/>
  <c r="AI134" i="5"/>
  <c r="AJ134" i="5"/>
  <c r="AK134" i="5"/>
  <c r="AL134" i="5"/>
  <c r="AM134" i="5"/>
  <c r="Y135" i="5"/>
  <c r="Z135" i="5"/>
  <c r="AA135" i="5"/>
  <c r="AB135" i="5"/>
  <c r="AC135" i="5"/>
  <c r="AD135" i="5"/>
  <c r="AE135" i="5"/>
  <c r="AF135" i="5"/>
  <c r="AG135" i="5"/>
  <c r="AH135" i="5"/>
  <c r="AI135" i="5"/>
  <c r="AJ135" i="5"/>
  <c r="AK135" i="5"/>
  <c r="AL135" i="5"/>
  <c r="AM135" i="5"/>
  <c r="Y136" i="5"/>
  <c r="Z136" i="5"/>
  <c r="AA136" i="5"/>
  <c r="AB136" i="5"/>
  <c r="AC136" i="5"/>
  <c r="AD136" i="5"/>
  <c r="AE136" i="5"/>
  <c r="AF136" i="5"/>
  <c r="AG136" i="5"/>
  <c r="AH136" i="5"/>
  <c r="AI136" i="5"/>
  <c r="AJ136" i="5"/>
  <c r="AK136" i="5"/>
  <c r="AL136" i="5"/>
  <c r="AM136" i="5"/>
  <c r="Y137" i="5"/>
  <c r="Z137" i="5"/>
  <c r="AA137" i="5"/>
  <c r="AB137" i="5"/>
  <c r="AC137" i="5"/>
  <c r="AD137" i="5"/>
  <c r="AE137" i="5"/>
  <c r="AF137" i="5"/>
  <c r="AG137" i="5"/>
  <c r="AH137" i="5"/>
  <c r="AI137" i="5"/>
  <c r="AJ137" i="5"/>
  <c r="AK137" i="5"/>
  <c r="AL137" i="5"/>
  <c r="AM137" i="5"/>
  <c r="Y138" i="5"/>
  <c r="Z138" i="5"/>
  <c r="AA138" i="5"/>
  <c r="AB138" i="5"/>
  <c r="AC138" i="5"/>
  <c r="AD138" i="5"/>
  <c r="AE138" i="5"/>
  <c r="AF138" i="5"/>
  <c r="AG138" i="5"/>
  <c r="AH138" i="5"/>
  <c r="AI138" i="5"/>
  <c r="AJ138" i="5"/>
  <c r="AK138" i="5"/>
  <c r="AL138" i="5"/>
  <c r="AM138" i="5"/>
  <c r="Y139" i="5"/>
  <c r="Z139" i="5"/>
  <c r="AA139" i="5"/>
  <c r="AB139" i="5"/>
  <c r="AC139" i="5"/>
  <c r="AD139" i="5"/>
  <c r="AE139" i="5"/>
  <c r="AF139" i="5"/>
  <c r="AG139" i="5"/>
  <c r="AH139" i="5"/>
  <c r="AI139" i="5"/>
  <c r="AJ139" i="5"/>
  <c r="AK139" i="5"/>
  <c r="AL139" i="5"/>
  <c r="AM139" i="5"/>
  <c r="Y140" i="5"/>
  <c r="Z140" i="5"/>
  <c r="AA140" i="5"/>
  <c r="AB140" i="5"/>
  <c r="AC140" i="5"/>
  <c r="AD140" i="5"/>
  <c r="AE140" i="5"/>
  <c r="AF140" i="5"/>
  <c r="AG140" i="5"/>
  <c r="AH140" i="5"/>
  <c r="AI140" i="5"/>
  <c r="AJ140" i="5"/>
  <c r="AK140" i="5"/>
  <c r="AL140" i="5"/>
  <c r="AM140" i="5"/>
  <c r="Y141" i="5"/>
  <c r="Z141" i="5"/>
  <c r="AA141" i="5"/>
  <c r="AB141" i="5"/>
  <c r="AC141" i="5"/>
  <c r="AD141" i="5"/>
  <c r="AE141" i="5"/>
  <c r="AF141" i="5"/>
  <c r="AG141" i="5"/>
  <c r="AH141" i="5"/>
  <c r="AI141" i="5"/>
  <c r="AJ141" i="5"/>
  <c r="AK141" i="5"/>
  <c r="AL141" i="5"/>
  <c r="AM141" i="5"/>
  <c r="Y142" i="5"/>
  <c r="Z142" i="5"/>
  <c r="AA142" i="5"/>
  <c r="AB142" i="5"/>
  <c r="AC142" i="5"/>
  <c r="AD142" i="5"/>
  <c r="AE142" i="5"/>
  <c r="AF142" i="5"/>
  <c r="AG142" i="5"/>
  <c r="AH142" i="5"/>
  <c r="AI142" i="5"/>
  <c r="AJ142" i="5"/>
  <c r="AK142" i="5"/>
  <c r="AL142" i="5"/>
  <c r="AM142" i="5"/>
  <c r="Y143" i="5"/>
  <c r="Z143" i="5"/>
  <c r="AA143" i="5"/>
  <c r="AB143" i="5"/>
  <c r="AC143" i="5"/>
  <c r="AD143" i="5"/>
  <c r="AE143" i="5"/>
  <c r="AF143" i="5"/>
  <c r="AG143" i="5"/>
  <c r="AH143" i="5"/>
  <c r="AI143" i="5"/>
  <c r="AJ143" i="5"/>
  <c r="AK143" i="5"/>
  <c r="AL143" i="5"/>
  <c r="AM143" i="5"/>
  <c r="Y144" i="5"/>
  <c r="Z144" i="5"/>
  <c r="AA144" i="5"/>
  <c r="AB144" i="5"/>
  <c r="AC144" i="5"/>
  <c r="AD144" i="5"/>
  <c r="AE144" i="5"/>
  <c r="AF144" i="5"/>
  <c r="AG144" i="5"/>
  <c r="AH144" i="5"/>
  <c r="AI144" i="5"/>
  <c r="AJ144" i="5"/>
  <c r="AK144" i="5"/>
  <c r="AL144" i="5"/>
  <c r="AM144" i="5"/>
  <c r="Y145" i="5"/>
  <c r="Z145" i="5"/>
  <c r="AA145" i="5"/>
  <c r="AB145" i="5"/>
  <c r="AC145" i="5"/>
  <c r="AD145" i="5"/>
  <c r="AE145" i="5"/>
  <c r="AF145" i="5"/>
  <c r="AG145" i="5"/>
  <c r="AH145" i="5"/>
  <c r="AI145" i="5"/>
  <c r="AJ145" i="5"/>
  <c r="AK145" i="5"/>
  <c r="AL145" i="5"/>
  <c r="AM145" i="5"/>
  <c r="Y146" i="5"/>
  <c r="Z146" i="5"/>
  <c r="AA146" i="5"/>
  <c r="AB146" i="5"/>
  <c r="AC146" i="5"/>
  <c r="AD146" i="5"/>
  <c r="AE146" i="5"/>
  <c r="AF146" i="5"/>
  <c r="AG146" i="5"/>
  <c r="AH146" i="5"/>
  <c r="AI146" i="5"/>
  <c r="AJ146" i="5"/>
  <c r="AK146" i="5"/>
  <c r="AL146" i="5"/>
  <c r="AM146" i="5"/>
  <c r="Y147" i="5"/>
  <c r="Z147" i="5"/>
  <c r="AA147" i="5"/>
  <c r="AB147" i="5"/>
  <c r="AC147" i="5"/>
  <c r="AD147" i="5"/>
  <c r="AE147" i="5"/>
  <c r="AF147" i="5"/>
  <c r="AG147" i="5"/>
  <c r="AH147" i="5"/>
  <c r="AI147" i="5"/>
  <c r="AJ147" i="5"/>
  <c r="AK147" i="5"/>
  <c r="AL147" i="5"/>
  <c r="AM147" i="5"/>
  <c r="Y148" i="5"/>
  <c r="Z148" i="5"/>
  <c r="AA148" i="5"/>
  <c r="AB148" i="5"/>
  <c r="AC148" i="5"/>
  <c r="AD148" i="5"/>
  <c r="AE148" i="5"/>
  <c r="AF148" i="5"/>
  <c r="AG148" i="5"/>
  <c r="AH148" i="5"/>
  <c r="AI148" i="5"/>
  <c r="AJ148" i="5"/>
  <c r="AK148" i="5"/>
  <c r="AL148" i="5"/>
  <c r="AM148" i="5"/>
  <c r="Y149" i="5"/>
  <c r="Z149" i="5"/>
  <c r="AA149" i="5"/>
  <c r="AB149" i="5"/>
  <c r="AC149" i="5"/>
  <c r="AD149" i="5"/>
  <c r="AE149" i="5"/>
  <c r="AF149" i="5"/>
  <c r="AG149" i="5"/>
  <c r="AH149" i="5"/>
  <c r="AI149" i="5"/>
  <c r="AJ149" i="5"/>
  <c r="AK149" i="5"/>
  <c r="AL149" i="5"/>
  <c r="AM149" i="5"/>
  <c r="Y150" i="5"/>
  <c r="Z150" i="5"/>
  <c r="AA150" i="5"/>
  <c r="AB150" i="5"/>
  <c r="AC150" i="5"/>
  <c r="AD150" i="5"/>
  <c r="AE150" i="5"/>
  <c r="AF150" i="5"/>
  <c r="AG150" i="5"/>
  <c r="AH150" i="5"/>
  <c r="AI150" i="5"/>
  <c r="AJ150" i="5"/>
  <c r="AK150" i="5"/>
  <c r="AL150" i="5"/>
  <c r="AM150" i="5"/>
  <c r="Y151" i="5"/>
  <c r="Z151" i="5"/>
  <c r="AA151" i="5"/>
  <c r="AB151" i="5"/>
  <c r="AC151" i="5"/>
  <c r="AD151" i="5"/>
  <c r="AE151" i="5"/>
  <c r="AF151" i="5"/>
  <c r="AG151" i="5"/>
  <c r="AH151" i="5"/>
  <c r="AI151" i="5"/>
  <c r="AJ151" i="5"/>
  <c r="AK151" i="5"/>
  <c r="AL151" i="5"/>
  <c r="AM151" i="5"/>
  <c r="Y152" i="5"/>
  <c r="Z152" i="5"/>
  <c r="AA152" i="5"/>
  <c r="AB152" i="5"/>
  <c r="AC152" i="5"/>
  <c r="AD152" i="5"/>
  <c r="AE152" i="5"/>
  <c r="AF152" i="5"/>
  <c r="AG152" i="5"/>
  <c r="AH152" i="5"/>
  <c r="AI152" i="5"/>
  <c r="AJ152" i="5"/>
  <c r="AK152" i="5"/>
  <c r="AL152" i="5"/>
  <c r="AM152" i="5"/>
  <c r="Y153" i="5"/>
  <c r="Z153" i="5"/>
  <c r="AA153" i="5"/>
  <c r="AB153" i="5"/>
  <c r="AC153" i="5"/>
  <c r="AD153" i="5"/>
  <c r="AE153" i="5"/>
  <c r="AF153" i="5"/>
  <c r="AG153" i="5"/>
  <c r="AH153" i="5"/>
  <c r="AI153" i="5"/>
  <c r="AJ153" i="5"/>
  <c r="AK153" i="5"/>
  <c r="AL153" i="5"/>
  <c r="AM153" i="5"/>
  <c r="Y154" i="5"/>
  <c r="Z154" i="5"/>
  <c r="AA154" i="5"/>
  <c r="AB154" i="5"/>
  <c r="AC154" i="5"/>
  <c r="AD154" i="5"/>
  <c r="AE154" i="5"/>
  <c r="AF154" i="5"/>
  <c r="AG154" i="5"/>
  <c r="AH154" i="5"/>
  <c r="AI154" i="5"/>
  <c r="AJ154" i="5"/>
  <c r="AK154" i="5"/>
  <c r="AL154" i="5"/>
  <c r="AM154" i="5"/>
  <c r="Y155" i="5"/>
  <c r="Z155" i="5"/>
  <c r="AA155" i="5"/>
  <c r="AB155" i="5"/>
  <c r="AC155" i="5"/>
  <c r="AD155" i="5"/>
  <c r="AE155" i="5"/>
  <c r="AF155" i="5"/>
  <c r="AG155" i="5"/>
  <c r="AH155" i="5"/>
  <c r="AI155" i="5"/>
  <c r="AJ155" i="5"/>
  <c r="AK155" i="5"/>
  <c r="AL155" i="5"/>
  <c r="AM155" i="5"/>
  <c r="Z72" i="5"/>
  <c r="AA72" i="5"/>
  <c r="AB72" i="5"/>
  <c r="AC72" i="5"/>
  <c r="AD72" i="5"/>
  <c r="AE72" i="5"/>
  <c r="AF72" i="5"/>
  <c r="AG72" i="5"/>
  <c r="AH72" i="5"/>
  <c r="AI72" i="5"/>
  <c r="AJ72" i="5"/>
  <c r="AK72" i="5"/>
  <c r="AL72" i="5"/>
  <c r="AM72" i="5"/>
  <c r="Y72" i="5"/>
  <c r="E106" i="3" l="1"/>
  <c r="E68" i="13"/>
  <c r="AO96" i="5"/>
  <c r="Y43" i="6" l="1"/>
  <c r="Z43" i="6"/>
  <c r="AA43" i="6"/>
  <c r="AB43" i="6"/>
  <c r="AC43" i="6"/>
  <c r="AD43" i="6"/>
  <c r="AE43" i="6"/>
  <c r="AF43" i="6"/>
  <c r="AG43" i="6"/>
  <c r="AH43" i="6"/>
  <c r="AI43" i="6"/>
  <c r="AJ43" i="6"/>
  <c r="AK43" i="6"/>
  <c r="AL43" i="6"/>
  <c r="AM43" i="6"/>
  <c r="Y44" i="6"/>
  <c r="Z44" i="6"/>
  <c r="AA44" i="6"/>
  <c r="AB44" i="6"/>
  <c r="AC44" i="6"/>
  <c r="AD44" i="6"/>
  <c r="AE44" i="6"/>
  <c r="AF44" i="6"/>
  <c r="AG44" i="6"/>
  <c r="AH44" i="6"/>
  <c r="AI44" i="6"/>
  <c r="AJ44" i="6"/>
  <c r="AK44" i="6"/>
  <c r="AL44" i="6"/>
  <c r="AM44" i="6"/>
  <c r="Y45" i="6"/>
  <c r="Z45" i="6"/>
  <c r="AA45" i="6"/>
  <c r="AB45" i="6"/>
  <c r="AC45" i="6"/>
  <c r="AD45" i="6"/>
  <c r="AE45" i="6"/>
  <c r="AF45" i="6"/>
  <c r="AG45" i="6"/>
  <c r="AH45" i="6"/>
  <c r="AI45" i="6"/>
  <c r="AJ45" i="6"/>
  <c r="AK45" i="6"/>
  <c r="AL45" i="6"/>
  <c r="AM45" i="6"/>
  <c r="Y46" i="6"/>
  <c r="Z46" i="6"/>
  <c r="AA46" i="6"/>
  <c r="AB46" i="6"/>
  <c r="AC46" i="6"/>
  <c r="AD46" i="6"/>
  <c r="AE46" i="6"/>
  <c r="AF46" i="6"/>
  <c r="AG46" i="6"/>
  <c r="AH46" i="6"/>
  <c r="AI46" i="6"/>
  <c r="AJ46" i="6"/>
  <c r="AK46" i="6"/>
  <c r="AL46" i="6"/>
  <c r="AM46" i="6"/>
  <c r="Y47" i="6"/>
  <c r="Z47" i="6"/>
  <c r="AA47" i="6"/>
  <c r="AB47" i="6"/>
  <c r="AC47" i="6"/>
  <c r="AD47" i="6"/>
  <c r="AE47" i="6"/>
  <c r="AF47" i="6"/>
  <c r="AG47" i="6"/>
  <c r="AH47" i="6"/>
  <c r="AI47" i="6"/>
  <c r="AJ47" i="6"/>
  <c r="AK47" i="6"/>
  <c r="AL47" i="6"/>
  <c r="AM47" i="6"/>
  <c r="Y48" i="6"/>
  <c r="Z48" i="6"/>
  <c r="AA48" i="6"/>
  <c r="AB48" i="6"/>
  <c r="AC48" i="6"/>
  <c r="AD48" i="6"/>
  <c r="AE48" i="6"/>
  <c r="AF48" i="6"/>
  <c r="AG48" i="6"/>
  <c r="AH48" i="6"/>
  <c r="AI48" i="6"/>
  <c r="AJ48" i="6"/>
  <c r="AK48" i="6"/>
  <c r="AL48" i="6"/>
  <c r="AM48" i="6"/>
  <c r="Y49" i="6"/>
  <c r="Z49" i="6"/>
  <c r="AA49" i="6"/>
  <c r="AB49" i="6"/>
  <c r="AC49" i="6"/>
  <c r="AD49" i="6"/>
  <c r="AE49" i="6"/>
  <c r="AF49" i="6"/>
  <c r="AG49" i="6"/>
  <c r="AH49" i="6"/>
  <c r="AI49" i="6"/>
  <c r="AJ49" i="6"/>
  <c r="AK49" i="6"/>
  <c r="AL49" i="6"/>
  <c r="AM49" i="6"/>
  <c r="Y50" i="6"/>
  <c r="Z50" i="6"/>
  <c r="AA50" i="6"/>
  <c r="AB50" i="6"/>
  <c r="AC50" i="6"/>
  <c r="AD50" i="6"/>
  <c r="AE50" i="6"/>
  <c r="AF50" i="6"/>
  <c r="AG50" i="6"/>
  <c r="AH50" i="6"/>
  <c r="AI50" i="6"/>
  <c r="AJ50" i="6"/>
  <c r="AK50" i="6"/>
  <c r="AL50" i="6"/>
  <c r="AM50" i="6"/>
  <c r="Y51" i="6"/>
  <c r="Z51" i="6"/>
  <c r="AA51" i="6"/>
  <c r="AB51" i="6"/>
  <c r="AC51" i="6"/>
  <c r="AD51" i="6"/>
  <c r="AE51" i="6"/>
  <c r="AF51" i="6"/>
  <c r="AG51" i="6"/>
  <c r="AH51" i="6"/>
  <c r="AI51" i="6"/>
  <c r="AJ51" i="6"/>
  <c r="AK51" i="6"/>
  <c r="AL51" i="6"/>
  <c r="AM51" i="6"/>
  <c r="Y52" i="6"/>
  <c r="Z52" i="6"/>
  <c r="AA52" i="6"/>
  <c r="AB52" i="6"/>
  <c r="AC52" i="6"/>
  <c r="AD52" i="6"/>
  <c r="AE52" i="6"/>
  <c r="AF52" i="6"/>
  <c r="AG52" i="6"/>
  <c r="AH52" i="6"/>
  <c r="AI52" i="6"/>
  <c r="AJ52" i="6"/>
  <c r="AK52" i="6"/>
  <c r="AL52" i="6"/>
  <c r="AM52" i="6"/>
  <c r="Y53" i="6"/>
  <c r="Z53" i="6"/>
  <c r="AA53" i="6"/>
  <c r="AB53" i="6"/>
  <c r="AC53" i="6"/>
  <c r="AD53" i="6"/>
  <c r="AE53" i="6"/>
  <c r="AF53" i="6"/>
  <c r="AG53" i="6"/>
  <c r="AH53" i="6"/>
  <c r="AI53" i="6"/>
  <c r="AJ53" i="6"/>
  <c r="AK53" i="6"/>
  <c r="AL53" i="6"/>
  <c r="AM53" i="6"/>
  <c r="Y54" i="6"/>
  <c r="Z54" i="6"/>
  <c r="AA54" i="6"/>
  <c r="AB54" i="6"/>
  <c r="AC54" i="6"/>
  <c r="AD54" i="6"/>
  <c r="AE54" i="6"/>
  <c r="AF54" i="6"/>
  <c r="AG54" i="6"/>
  <c r="AH54" i="6"/>
  <c r="AI54" i="6"/>
  <c r="AJ54" i="6"/>
  <c r="AK54" i="6"/>
  <c r="AL54" i="6"/>
  <c r="AM54" i="6"/>
  <c r="Y55" i="6"/>
  <c r="Z55" i="6"/>
  <c r="AA55" i="6"/>
  <c r="AB55" i="6"/>
  <c r="AC55" i="6"/>
  <c r="AD55" i="6"/>
  <c r="AE55" i="6"/>
  <c r="AF55" i="6"/>
  <c r="AG55" i="6"/>
  <c r="AH55" i="6"/>
  <c r="AI55" i="6"/>
  <c r="AJ55" i="6"/>
  <c r="AK55" i="6"/>
  <c r="AL55" i="6"/>
  <c r="AM55" i="6"/>
  <c r="Y56" i="6"/>
  <c r="Z56" i="6"/>
  <c r="AA56" i="6"/>
  <c r="AB56" i="6"/>
  <c r="AC56" i="6"/>
  <c r="AD56" i="6"/>
  <c r="AE56" i="6"/>
  <c r="AF56" i="6"/>
  <c r="AG56" i="6"/>
  <c r="AH56" i="6"/>
  <c r="AI56" i="6"/>
  <c r="AJ56" i="6"/>
  <c r="AK56" i="6"/>
  <c r="AL56" i="6"/>
  <c r="AM56" i="6"/>
  <c r="Y57" i="6"/>
  <c r="Z57" i="6"/>
  <c r="AA57" i="6"/>
  <c r="AB57" i="6"/>
  <c r="AC57" i="6"/>
  <c r="AD57" i="6"/>
  <c r="AE57" i="6"/>
  <c r="AF57" i="6"/>
  <c r="AG57" i="6"/>
  <c r="AH57" i="6"/>
  <c r="AI57" i="6"/>
  <c r="AJ57" i="6"/>
  <c r="AK57" i="6"/>
  <c r="AL57" i="6"/>
  <c r="AM57" i="6"/>
  <c r="Y58" i="6"/>
  <c r="Z58" i="6"/>
  <c r="AA58" i="6"/>
  <c r="AB58" i="6"/>
  <c r="AC58" i="6"/>
  <c r="AD58" i="6"/>
  <c r="AE58" i="6"/>
  <c r="AF58" i="6"/>
  <c r="AG58" i="6"/>
  <c r="AH58" i="6"/>
  <c r="AI58" i="6"/>
  <c r="AJ58" i="6"/>
  <c r="AK58" i="6"/>
  <c r="AL58" i="6"/>
  <c r="AM58" i="6"/>
  <c r="Y59" i="6"/>
  <c r="Z59" i="6"/>
  <c r="AA59" i="6"/>
  <c r="AB59" i="6"/>
  <c r="AC59" i="6"/>
  <c r="AD59" i="6"/>
  <c r="AE59" i="6"/>
  <c r="AF59" i="6"/>
  <c r="AG59" i="6"/>
  <c r="AH59" i="6"/>
  <c r="AI59" i="6"/>
  <c r="AJ59" i="6"/>
  <c r="AK59" i="6"/>
  <c r="AL59" i="6"/>
  <c r="AM59" i="6"/>
  <c r="Y60" i="6"/>
  <c r="Z60" i="6"/>
  <c r="AA60" i="6"/>
  <c r="AB60" i="6"/>
  <c r="AC60" i="6"/>
  <c r="AD60" i="6"/>
  <c r="AE60" i="6"/>
  <c r="AF60" i="6"/>
  <c r="AG60" i="6"/>
  <c r="AH60" i="6"/>
  <c r="AI60" i="6"/>
  <c r="AJ60" i="6"/>
  <c r="AK60" i="6"/>
  <c r="AL60" i="6"/>
  <c r="AM60" i="6"/>
  <c r="Y61" i="6"/>
  <c r="Z61" i="6"/>
  <c r="AA61" i="6"/>
  <c r="AB61" i="6"/>
  <c r="AC61" i="6"/>
  <c r="AD61" i="6"/>
  <c r="AE61" i="6"/>
  <c r="AF61" i="6"/>
  <c r="AG61" i="6"/>
  <c r="AH61" i="6"/>
  <c r="AI61" i="6"/>
  <c r="AJ61" i="6"/>
  <c r="AK61" i="6"/>
  <c r="AL61" i="6"/>
  <c r="AM61" i="6"/>
  <c r="Y62" i="6"/>
  <c r="Z62" i="6"/>
  <c r="AA62" i="6"/>
  <c r="AB62" i="6"/>
  <c r="AC62" i="6"/>
  <c r="AD62" i="6"/>
  <c r="AE62" i="6"/>
  <c r="AF62" i="6"/>
  <c r="AG62" i="6"/>
  <c r="AH62" i="6"/>
  <c r="AI62" i="6"/>
  <c r="AJ62" i="6"/>
  <c r="AK62" i="6"/>
  <c r="AL62" i="6"/>
  <c r="AM62" i="6"/>
  <c r="Y63" i="6"/>
  <c r="Z63" i="6"/>
  <c r="AA63" i="6"/>
  <c r="AB63" i="6"/>
  <c r="AC63" i="6"/>
  <c r="AD63" i="6"/>
  <c r="AE63" i="6"/>
  <c r="AF63" i="6"/>
  <c r="AG63" i="6"/>
  <c r="AH63" i="6"/>
  <c r="AI63" i="6"/>
  <c r="AJ63" i="6"/>
  <c r="AK63" i="6"/>
  <c r="AL63" i="6"/>
  <c r="AM63" i="6"/>
  <c r="Y64" i="6"/>
  <c r="Z64" i="6"/>
  <c r="AA64" i="6"/>
  <c r="AB64" i="6"/>
  <c r="AC64" i="6"/>
  <c r="AD64" i="6"/>
  <c r="AE64" i="6"/>
  <c r="AF64" i="6"/>
  <c r="AG64" i="6"/>
  <c r="AH64" i="6"/>
  <c r="AI64" i="6"/>
  <c r="AJ64" i="6"/>
  <c r="AK64" i="6"/>
  <c r="AL64" i="6"/>
  <c r="AM64" i="6"/>
  <c r="Y65" i="6"/>
  <c r="Z65" i="6"/>
  <c r="AA65" i="6"/>
  <c r="AB65" i="6"/>
  <c r="AC65" i="6"/>
  <c r="AD65" i="6"/>
  <c r="AE65" i="6"/>
  <c r="AF65" i="6"/>
  <c r="AG65" i="6"/>
  <c r="AH65" i="6"/>
  <c r="AI65" i="6"/>
  <c r="AJ65" i="6"/>
  <c r="AK65" i="6"/>
  <c r="AL65" i="6"/>
  <c r="AM65" i="6"/>
  <c r="Y66" i="6"/>
  <c r="Z66" i="6"/>
  <c r="AA66" i="6"/>
  <c r="AB66" i="6"/>
  <c r="AC66" i="6"/>
  <c r="AD66" i="6"/>
  <c r="AE66" i="6"/>
  <c r="AF66" i="6"/>
  <c r="AG66" i="6"/>
  <c r="AH66" i="6"/>
  <c r="AI66" i="6"/>
  <c r="AJ66" i="6"/>
  <c r="AK66" i="6"/>
  <c r="AL66" i="6"/>
  <c r="AM66" i="6"/>
  <c r="Z42" i="6"/>
  <c r="AA42" i="6"/>
  <c r="AB42" i="6"/>
  <c r="AC42" i="6"/>
  <c r="AD42" i="6"/>
  <c r="AE42" i="6"/>
  <c r="AF42" i="6"/>
  <c r="AG42" i="6"/>
  <c r="AH42" i="6"/>
  <c r="AI42" i="6"/>
  <c r="AJ42" i="6"/>
  <c r="AK42" i="6"/>
  <c r="AL42" i="6"/>
  <c r="AM42" i="6"/>
  <c r="Y42" i="6"/>
  <c r="H327" i="13" l="1"/>
  <c r="T56" i="10" s="1"/>
  <c r="G327" i="13"/>
  <c r="S56" i="10" s="1"/>
  <c r="F327" i="13"/>
  <c r="R56" i="10" s="1"/>
  <c r="E327" i="13"/>
  <c r="Q56" i="10" s="1"/>
  <c r="D327" i="13"/>
  <c r="P56" i="10" s="1"/>
  <c r="C327" i="13"/>
  <c r="O56" i="10" s="1"/>
  <c r="H325" i="13"/>
  <c r="D325" i="13"/>
  <c r="C325" i="13"/>
  <c r="H323" i="13"/>
  <c r="D323" i="13"/>
  <c r="C323" i="13"/>
  <c r="H321" i="13"/>
  <c r="G321" i="13"/>
  <c r="F321" i="13"/>
  <c r="E321" i="13"/>
  <c r="D321" i="13"/>
  <c r="C321" i="13"/>
  <c r="H315" i="13"/>
  <c r="T44" i="10" s="1"/>
  <c r="G315" i="13"/>
  <c r="S44" i="10" s="1"/>
  <c r="F315" i="13"/>
  <c r="R44" i="10" s="1"/>
  <c r="E315" i="13"/>
  <c r="Q44" i="10" s="1"/>
  <c r="D315" i="13"/>
  <c r="P44" i="10" s="1"/>
  <c r="C315" i="13"/>
  <c r="O44" i="10" s="1"/>
  <c r="H314" i="13"/>
  <c r="T43" i="10" s="1"/>
  <c r="G314" i="13"/>
  <c r="S43" i="10" s="1"/>
  <c r="F314" i="13"/>
  <c r="R43" i="10" s="1"/>
  <c r="E314" i="13"/>
  <c r="Q43" i="10" s="1"/>
  <c r="D314" i="13"/>
  <c r="P43" i="10" s="1"/>
  <c r="C314" i="13"/>
  <c r="O43" i="10" s="1"/>
  <c r="H310" i="13"/>
  <c r="T39" i="10" s="1"/>
  <c r="G310" i="13"/>
  <c r="S39" i="10" s="1"/>
  <c r="F310" i="13"/>
  <c r="R39" i="10" s="1"/>
  <c r="E310" i="13"/>
  <c r="Q39" i="10" s="1"/>
  <c r="D310" i="13"/>
  <c r="P39" i="10" s="1"/>
  <c r="C310" i="13"/>
  <c r="O39" i="10" s="1"/>
  <c r="H306" i="13"/>
  <c r="T35" i="10" s="1"/>
  <c r="G306" i="13"/>
  <c r="S35" i="10" s="1"/>
  <c r="F306" i="13"/>
  <c r="R35" i="10" s="1"/>
  <c r="E306" i="13"/>
  <c r="Q35" i="10" s="1"/>
  <c r="D306" i="13"/>
  <c r="P35" i="10" s="1"/>
  <c r="C306" i="13"/>
  <c r="O35" i="10" s="1"/>
  <c r="H300" i="13"/>
  <c r="T29" i="10" s="1"/>
  <c r="G300" i="13"/>
  <c r="S29" i="10" s="1"/>
  <c r="F300" i="13"/>
  <c r="R29" i="10" s="1"/>
  <c r="E300" i="13"/>
  <c r="Q29" i="10" s="1"/>
  <c r="D300" i="13"/>
  <c r="P29" i="10" s="1"/>
  <c r="C300" i="13"/>
  <c r="O29" i="10" s="1"/>
  <c r="H299" i="13"/>
  <c r="T28" i="10" s="1"/>
  <c r="G299" i="13"/>
  <c r="S28" i="10" s="1"/>
  <c r="F299" i="13"/>
  <c r="R28" i="10" s="1"/>
  <c r="E299" i="13"/>
  <c r="Q28" i="10" s="1"/>
  <c r="D299" i="13"/>
  <c r="P28" i="10" s="1"/>
  <c r="C299" i="13"/>
  <c r="O28" i="10" s="1"/>
  <c r="F297" i="13"/>
  <c r="E297" i="13" s="1"/>
  <c r="Q26" i="10" s="1"/>
  <c r="H293" i="13"/>
  <c r="T22" i="10" s="1"/>
  <c r="G293" i="13"/>
  <c r="S22" i="10" s="1"/>
  <c r="F293" i="13"/>
  <c r="R22" i="10" s="1"/>
  <c r="E293" i="13"/>
  <c r="Q22" i="10" s="1"/>
  <c r="D293" i="13"/>
  <c r="P22" i="10" s="1"/>
  <c r="C293" i="13"/>
  <c r="O22" i="10" s="1"/>
  <c r="F291" i="13"/>
  <c r="E291" i="13" s="1"/>
  <c r="Q20" i="10" s="1"/>
  <c r="H289" i="13"/>
  <c r="T18" i="10" s="1"/>
  <c r="G289" i="13"/>
  <c r="S18" i="10" s="1"/>
  <c r="F289" i="13"/>
  <c r="R18" i="10" s="1"/>
  <c r="E289" i="13"/>
  <c r="Q18" i="10" s="1"/>
  <c r="D289" i="13"/>
  <c r="P18" i="10" s="1"/>
  <c r="C289" i="13"/>
  <c r="O18" i="10" s="1"/>
  <c r="F287" i="13"/>
  <c r="H285" i="13"/>
  <c r="T14" i="10" s="1"/>
  <c r="G285" i="13"/>
  <c r="S14" i="10" s="1"/>
  <c r="F285" i="13"/>
  <c r="R14" i="10" s="1"/>
  <c r="E285" i="13"/>
  <c r="Q14" i="10" s="1"/>
  <c r="D285" i="13"/>
  <c r="P14" i="10" s="1"/>
  <c r="C285" i="13"/>
  <c r="O14" i="10" s="1"/>
  <c r="F283" i="13"/>
  <c r="H281" i="13"/>
  <c r="G281" i="13"/>
  <c r="S10" i="10" s="1"/>
  <c r="F281" i="13"/>
  <c r="E281" i="13"/>
  <c r="Q10" i="10" s="1"/>
  <c r="D281" i="13"/>
  <c r="C281" i="13"/>
  <c r="F279" i="13"/>
  <c r="E279" i="13" s="1"/>
  <c r="Q8" i="10" s="1"/>
  <c r="C87" i="2"/>
  <c r="D87" i="2"/>
  <c r="C88" i="2"/>
  <c r="D88" i="2"/>
  <c r="C89" i="2"/>
  <c r="D89" i="2"/>
  <c r="C90" i="2"/>
  <c r="D90" i="2"/>
  <c r="C92" i="2"/>
  <c r="D92" i="2"/>
  <c r="C93" i="2"/>
  <c r="D93" i="2"/>
  <c r="C94" i="2"/>
  <c r="D94" i="2"/>
  <c r="D86" i="2"/>
  <c r="E86" i="2"/>
  <c r="C86" i="2"/>
  <c r="G287" i="13" l="1"/>
  <c r="S16" i="10" s="1"/>
  <c r="R16" i="10"/>
  <c r="D326" i="13"/>
  <c r="P55" i="10" s="1"/>
  <c r="P10" i="10"/>
  <c r="F324" i="13"/>
  <c r="R53" i="10" s="1"/>
  <c r="R10" i="10"/>
  <c r="G283" i="13"/>
  <c r="S12" i="10" s="1"/>
  <c r="R12" i="10"/>
  <c r="C328" i="13"/>
  <c r="O57" i="10" s="1"/>
  <c r="O50" i="10"/>
  <c r="H326" i="13"/>
  <c r="T55" i="10" s="1"/>
  <c r="T10" i="10"/>
  <c r="G297" i="13"/>
  <c r="S26" i="10" s="1"/>
  <c r="R26" i="10"/>
  <c r="D328" i="13"/>
  <c r="P57" i="10" s="1"/>
  <c r="P50" i="10"/>
  <c r="C326" i="13"/>
  <c r="O55" i="10" s="1"/>
  <c r="O10" i="10"/>
  <c r="E328" i="13"/>
  <c r="Q57" i="10" s="1"/>
  <c r="Q50" i="10"/>
  <c r="G328" i="13"/>
  <c r="S57" i="10" s="1"/>
  <c r="S50" i="10"/>
  <c r="G291" i="13"/>
  <c r="S20" i="10" s="1"/>
  <c r="R20" i="10"/>
  <c r="F328" i="13"/>
  <c r="R57" i="10" s="1"/>
  <c r="R50" i="10"/>
  <c r="G279" i="13"/>
  <c r="S8" i="10" s="1"/>
  <c r="R8" i="10"/>
  <c r="H328" i="13"/>
  <c r="T57" i="10" s="1"/>
  <c r="T50" i="10"/>
  <c r="D317" i="13"/>
  <c r="P46" i="10" s="1"/>
  <c r="C317" i="13"/>
  <c r="O46" i="10" s="1"/>
  <c r="G317" i="13"/>
  <c r="S46" i="10" s="1"/>
  <c r="H331" i="13"/>
  <c r="T60" i="10" s="1"/>
  <c r="T52" i="10"/>
  <c r="E317" i="13"/>
  <c r="Q46" i="10" s="1"/>
  <c r="C335" i="13"/>
  <c r="O64" i="10" s="1"/>
  <c r="O54" i="10"/>
  <c r="D335" i="13"/>
  <c r="P64" i="10" s="1"/>
  <c r="P54" i="10"/>
  <c r="H317" i="13"/>
  <c r="T46" i="10" s="1"/>
  <c r="D334" i="13"/>
  <c r="P63" i="10" s="1"/>
  <c r="P52" i="10"/>
  <c r="H335" i="13"/>
  <c r="T64" i="10" s="1"/>
  <c r="T54" i="10"/>
  <c r="C334" i="13"/>
  <c r="O63" i="10" s="1"/>
  <c r="O52" i="10"/>
  <c r="F317" i="13"/>
  <c r="R46" i="10" s="1"/>
  <c r="D331" i="13"/>
  <c r="P60" i="10" s="1"/>
  <c r="C331" i="13"/>
  <c r="O60" i="10" s="1"/>
  <c r="E287" i="13"/>
  <c r="F323" i="13"/>
  <c r="R52" i="10" s="1"/>
  <c r="F325" i="13"/>
  <c r="H334" i="13"/>
  <c r="T63" i="10" s="1"/>
  <c r="E283" i="13"/>
  <c r="C324" i="13"/>
  <c r="D324" i="13"/>
  <c r="F326" i="13"/>
  <c r="H324" i="13"/>
  <c r="BR17" i="12"/>
  <c r="BR18" i="12" s="1"/>
  <c r="BV13" i="12"/>
  <c r="BV50" i="12"/>
  <c r="E326" i="13" l="1"/>
  <c r="Q55" i="10" s="1"/>
  <c r="Q12" i="10"/>
  <c r="E323" i="13"/>
  <c r="Q52" i="10" s="1"/>
  <c r="Q16" i="10"/>
  <c r="G325" i="13"/>
  <c r="G335" i="13" s="1"/>
  <c r="S64" i="10" s="1"/>
  <c r="G323" i="13"/>
  <c r="S52" i="10" s="1"/>
  <c r="G324" i="13"/>
  <c r="G326" i="13"/>
  <c r="S55" i="10" s="1"/>
  <c r="BR20" i="12"/>
  <c r="BR21" i="12"/>
  <c r="BR19" i="12"/>
  <c r="F335" i="13"/>
  <c r="R64" i="10" s="1"/>
  <c r="R54" i="10"/>
  <c r="H333" i="13"/>
  <c r="T62" i="10" s="1"/>
  <c r="T53" i="10"/>
  <c r="F333" i="13"/>
  <c r="R62" i="10" s="1"/>
  <c r="R55" i="10"/>
  <c r="C333" i="13"/>
  <c r="O62" i="10" s="1"/>
  <c r="O53" i="10"/>
  <c r="D333" i="13"/>
  <c r="P62" i="10" s="1"/>
  <c r="P53" i="10"/>
  <c r="E324" i="13"/>
  <c r="E325" i="13"/>
  <c r="F334" i="13"/>
  <c r="R63" i="10" s="1"/>
  <c r="F331" i="13"/>
  <c r="R60" i="10" s="1"/>
  <c r="E116" i="2"/>
  <c r="E115" i="2"/>
  <c r="E108" i="2"/>
  <c r="E109" i="2"/>
  <c r="E110" i="2"/>
  <c r="E111" i="2"/>
  <c r="E112" i="2"/>
  <c r="E113" i="2"/>
  <c r="E107" i="2"/>
  <c r="E106" i="2"/>
  <c r="E105" i="2"/>
  <c r="E103" i="2"/>
  <c r="E102" i="2"/>
  <c r="I3" i="2"/>
  <c r="G3" i="2"/>
  <c r="H3" i="2"/>
  <c r="E101" i="2"/>
  <c r="G37" i="2"/>
  <c r="G36" i="2"/>
  <c r="G35" i="2"/>
  <c r="G34" i="2"/>
  <c r="G33" i="2"/>
  <c r="G32" i="2"/>
  <c r="G31" i="2"/>
  <c r="G30" i="2"/>
  <c r="G29" i="2"/>
  <c r="I11" i="2"/>
  <c r="I13" i="2"/>
  <c r="I20" i="2"/>
  <c r="G333" i="13" l="1"/>
  <c r="S62" i="10" s="1"/>
  <c r="G331" i="13"/>
  <c r="S60" i="10" s="1"/>
  <c r="G334" i="13"/>
  <c r="S63" i="10" s="1"/>
  <c r="S53" i="10"/>
  <c r="S54" i="10"/>
  <c r="E334" i="13"/>
  <c r="Q63" i="10" s="1"/>
  <c r="E335" i="13"/>
  <c r="Q64" i="10" s="1"/>
  <c r="Q54" i="10"/>
  <c r="E333" i="13"/>
  <c r="Q62" i="10" s="1"/>
  <c r="Q53" i="10"/>
  <c r="E331" i="13"/>
  <c r="Q60" i="10" s="1"/>
  <c r="G38" i="2"/>
  <c r="I6" i="3" l="1"/>
  <c r="I7" i="3"/>
  <c r="I8" i="3"/>
  <c r="I9" i="3"/>
  <c r="I10" i="3"/>
  <c r="I11" i="3"/>
  <c r="I12" i="3"/>
  <c r="I13" i="3"/>
  <c r="H26" i="1"/>
  <c r="I26" i="1"/>
  <c r="I32" i="1" s="1"/>
  <c r="H27" i="1"/>
  <c r="I27" i="1"/>
  <c r="H28" i="1"/>
  <c r="I28" i="1"/>
  <c r="H29" i="1"/>
  <c r="H32" i="1" s="1"/>
  <c r="I29" i="1"/>
  <c r="H30" i="1"/>
  <c r="I30" i="1"/>
  <c r="H31" i="1"/>
  <c r="I31" i="1"/>
  <c r="H33" i="1"/>
  <c r="I33" i="1"/>
  <c r="I7" i="2" l="1"/>
  <c r="I191" i="4" l="1"/>
  <c r="I192" i="4"/>
  <c r="I193" i="4"/>
  <c r="I194" i="4"/>
  <c r="I195" i="4"/>
  <c r="I196" i="4"/>
  <c r="I197" i="4"/>
  <c r="I198" i="4"/>
  <c r="I199" i="4" s="1"/>
  <c r="X5" i="4"/>
  <c r="X6" i="4"/>
  <c r="X7" i="4"/>
  <c r="X8" i="4"/>
  <c r="X9" i="4"/>
  <c r="X10" i="4"/>
  <c r="X11" i="4"/>
  <c r="S235" i="5" l="1"/>
  <c r="AM246" i="5"/>
  <c r="AL246" i="5"/>
  <c r="AK246" i="5"/>
  <c r="AJ246" i="5"/>
  <c r="AI246" i="5"/>
  <c r="AH246" i="5"/>
  <c r="AG246" i="5"/>
  <c r="AF246" i="5"/>
  <c r="AE246" i="5"/>
  <c r="AD246" i="5"/>
  <c r="AC246" i="5"/>
  <c r="AB246" i="5"/>
  <c r="AA246" i="5"/>
  <c r="Z246" i="5"/>
  <c r="Y246" i="5"/>
  <c r="AM242" i="5"/>
  <c r="AL242" i="5"/>
  <c r="AK242" i="5"/>
  <c r="AJ242" i="5"/>
  <c r="AI242" i="5"/>
  <c r="AH242" i="5"/>
  <c r="AG242" i="5"/>
  <c r="AF242" i="5"/>
  <c r="AE242" i="5"/>
  <c r="AD242" i="5"/>
  <c r="AC242" i="5"/>
  <c r="AB242" i="5"/>
  <c r="AA242" i="5"/>
  <c r="Z242" i="5"/>
  <c r="Y242" i="5"/>
  <c r="AM237" i="5"/>
  <c r="AL237" i="5"/>
  <c r="AK237" i="5"/>
  <c r="AJ237" i="5"/>
  <c r="AI237" i="5"/>
  <c r="AH237" i="5"/>
  <c r="AG237" i="5"/>
  <c r="AF237" i="5"/>
  <c r="AE237" i="5"/>
  <c r="AD237" i="5"/>
  <c r="AC237" i="5"/>
  <c r="AB237" i="5"/>
  <c r="AA237" i="5"/>
  <c r="Z237" i="5"/>
  <c r="Y237" i="5"/>
  <c r="AM233" i="5"/>
  <c r="AL233" i="5"/>
  <c r="AK233" i="5"/>
  <c r="AJ233" i="5"/>
  <c r="AI233" i="5"/>
  <c r="AH233" i="5"/>
  <c r="AG233" i="5"/>
  <c r="AF233" i="5"/>
  <c r="AE233" i="5"/>
  <c r="AD233" i="5"/>
  <c r="AC233" i="5"/>
  <c r="AB233" i="5"/>
  <c r="AA233" i="5"/>
  <c r="Z233" i="5"/>
  <c r="Y233" i="5"/>
  <c r="AM229" i="5"/>
  <c r="AL229" i="5"/>
  <c r="AK229" i="5"/>
  <c r="AJ229" i="5"/>
  <c r="AI229" i="5"/>
  <c r="AH229" i="5"/>
  <c r="AG229" i="5"/>
  <c r="AF229" i="5"/>
  <c r="AE229" i="5"/>
  <c r="AD229" i="5"/>
  <c r="AC229" i="5"/>
  <c r="AB229" i="5"/>
  <c r="AA229" i="5"/>
  <c r="Z229" i="5"/>
  <c r="Y229" i="5"/>
  <c r="AM225" i="5"/>
  <c r="AL225" i="5"/>
  <c r="AK225" i="5"/>
  <c r="AJ225" i="5"/>
  <c r="AI225" i="5"/>
  <c r="AH225" i="5"/>
  <c r="AG225" i="5"/>
  <c r="AF225" i="5"/>
  <c r="AE225" i="5"/>
  <c r="AD225" i="5"/>
  <c r="AC225" i="5"/>
  <c r="AB225" i="5"/>
  <c r="AA225" i="5"/>
  <c r="Z225" i="5"/>
  <c r="Y225" i="5"/>
  <c r="AM220" i="5"/>
  <c r="AL220" i="5"/>
  <c r="AK220" i="5"/>
  <c r="AJ220" i="5"/>
  <c r="AI220" i="5"/>
  <c r="AH220" i="5"/>
  <c r="AG220" i="5"/>
  <c r="AF220" i="5"/>
  <c r="AE220" i="5"/>
  <c r="AD220" i="5"/>
  <c r="AC220" i="5"/>
  <c r="AB220" i="5"/>
  <c r="AA220" i="5"/>
  <c r="Z220" i="5"/>
  <c r="Y220" i="5"/>
  <c r="AJ216" i="5"/>
  <c r="AI216" i="5"/>
  <c r="AG216" i="5"/>
  <c r="AC216" i="5"/>
  <c r="AM212" i="5"/>
  <c r="AL212" i="5"/>
  <c r="AJ212" i="5"/>
  <c r="AF212" i="5"/>
  <c r="AA212" i="5"/>
  <c r="Z212" i="5"/>
  <c r="AM207" i="5"/>
  <c r="AL207" i="5"/>
  <c r="AK207" i="5"/>
  <c r="AJ207" i="5"/>
  <c r="AI207" i="5"/>
  <c r="AH207" i="5"/>
  <c r="AG207" i="5"/>
  <c r="AF207" i="5"/>
  <c r="AE207" i="5"/>
  <c r="AD207" i="5"/>
  <c r="AC207" i="5"/>
  <c r="AB207" i="5"/>
  <c r="AA207" i="5"/>
  <c r="Z207" i="5"/>
  <c r="Y207" i="5"/>
  <c r="AM203" i="5"/>
  <c r="AL203" i="5"/>
  <c r="AK203" i="5"/>
  <c r="AJ203" i="5"/>
  <c r="AI203" i="5"/>
  <c r="AH203" i="5"/>
  <c r="AG203" i="5"/>
  <c r="AF203" i="5"/>
  <c r="AE203" i="5"/>
  <c r="AD203" i="5"/>
  <c r="AC203" i="5"/>
  <c r="AB203" i="5"/>
  <c r="AA203" i="5"/>
  <c r="Z203" i="5"/>
  <c r="Y203" i="5"/>
  <c r="AM199" i="5"/>
  <c r="AL199" i="5"/>
  <c r="AK199" i="5"/>
  <c r="AJ199" i="5"/>
  <c r="AI199" i="5"/>
  <c r="AH199" i="5"/>
  <c r="AG199" i="5"/>
  <c r="AF199" i="5"/>
  <c r="AE199" i="5"/>
  <c r="AD199" i="5"/>
  <c r="AC199" i="5"/>
  <c r="AB199" i="5"/>
  <c r="AA199" i="5"/>
  <c r="Z199" i="5"/>
  <c r="Y199" i="5"/>
  <c r="AM194" i="5"/>
  <c r="AL194" i="5"/>
  <c r="AK194" i="5"/>
  <c r="AJ194" i="5"/>
  <c r="AI194" i="5"/>
  <c r="AH194" i="5"/>
  <c r="AG194" i="5"/>
  <c r="AF194" i="5"/>
  <c r="AE194" i="5"/>
  <c r="AD194" i="5"/>
  <c r="AC194" i="5"/>
  <c r="AB194" i="5"/>
  <c r="AA194" i="5"/>
  <c r="Z194" i="5"/>
  <c r="Y194" i="5"/>
  <c r="AM190" i="5"/>
  <c r="AL190" i="5"/>
  <c r="AK190" i="5"/>
  <c r="AJ190" i="5"/>
  <c r="AI190" i="5"/>
  <c r="AH190" i="5"/>
  <c r="AG190" i="5"/>
  <c r="AF190" i="5"/>
  <c r="AE190" i="5"/>
  <c r="AD190" i="5"/>
  <c r="AC190" i="5"/>
  <c r="AB190" i="5"/>
  <c r="AA190" i="5"/>
  <c r="Z190" i="5"/>
  <c r="Y190" i="5"/>
  <c r="AM186" i="5"/>
  <c r="AL186" i="5"/>
  <c r="AK186" i="5"/>
  <c r="AJ186" i="5"/>
  <c r="AI186" i="5"/>
  <c r="AH186" i="5"/>
  <c r="AG186" i="5"/>
  <c r="AF186" i="5"/>
  <c r="AE186" i="5"/>
  <c r="AD186" i="5"/>
  <c r="AC186" i="5"/>
  <c r="AB186" i="5"/>
  <c r="AA186" i="5"/>
  <c r="Z186" i="5"/>
  <c r="Y186" i="5"/>
  <c r="AL182" i="5"/>
  <c r="AK182" i="5"/>
  <c r="AJ182" i="5"/>
  <c r="AI182" i="5"/>
  <c r="AH182" i="5"/>
  <c r="AG182" i="5"/>
  <c r="AF182" i="5"/>
  <c r="AE182" i="5"/>
  <c r="AD182" i="5"/>
  <c r="AC182" i="5"/>
  <c r="AB182" i="5"/>
  <c r="AA182" i="5"/>
  <c r="Z182" i="5"/>
  <c r="Y182" i="5"/>
  <c r="AM174" i="5"/>
  <c r="AL174" i="5"/>
  <c r="AK174" i="5"/>
  <c r="AJ174" i="5"/>
  <c r="AI174" i="5"/>
  <c r="AH174" i="5"/>
  <c r="AG174" i="5"/>
  <c r="AF174" i="5"/>
  <c r="AE174" i="5"/>
  <c r="AD174" i="5"/>
  <c r="AC174" i="5"/>
  <c r="AB174" i="5"/>
  <c r="AA174" i="5"/>
  <c r="Z174" i="5"/>
  <c r="Y174" i="5"/>
  <c r="AM171" i="5"/>
  <c r="AM170" i="5"/>
  <c r="AL170" i="5"/>
  <c r="AK170" i="5"/>
  <c r="AJ170" i="5"/>
  <c r="AH170" i="5"/>
  <c r="AG170" i="5"/>
  <c r="AF170" i="5"/>
  <c r="AE170" i="5"/>
  <c r="AD170" i="5"/>
  <c r="AC170" i="5"/>
  <c r="AB170" i="5"/>
  <c r="AA170" i="5"/>
  <c r="Z170" i="5"/>
  <c r="Y170" i="5"/>
  <c r="AM235" i="5"/>
  <c r="AL235" i="5"/>
  <c r="AJ235" i="5"/>
  <c r="AI235" i="5"/>
  <c r="AH235" i="5"/>
  <c r="AG235" i="5"/>
  <c r="AF235" i="5"/>
  <c r="AE235" i="5"/>
  <c r="AD235" i="5"/>
  <c r="AC235" i="5"/>
  <c r="AB235" i="5"/>
  <c r="AA235" i="5"/>
  <c r="Z235" i="5"/>
  <c r="AF216" i="5"/>
  <c r="Q29" i="2"/>
  <c r="Q30" i="2"/>
  <c r="Q31" i="2"/>
  <c r="Q32" i="2"/>
  <c r="Q33" i="2"/>
  <c r="Q34" i="2"/>
  <c r="Q35" i="2"/>
  <c r="Q36" i="2"/>
  <c r="Q37" i="2"/>
  <c r="Q38" i="2"/>
  <c r="Y212" i="5" l="1"/>
  <c r="AK212" i="5"/>
  <c r="AH216" i="5"/>
  <c r="AB212" i="5"/>
  <c r="Y216" i="5"/>
  <c r="AK216" i="5"/>
  <c r="AC212" i="5"/>
  <c r="Z216" i="5"/>
  <c r="AL216" i="5"/>
  <c r="AD212" i="5"/>
  <c r="AA216" i="5"/>
  <c r="AM216" i="5"/>
  <c r="AE212" i="5"/>
  <c r="AB216" i="5"/>
  <c r="AG212" i="5"/>
  <c r="AD216" i="5"/>
  <c r="AH212" i="5"/>
  <c r="AE216" i="5"/>
  <c r="AI212" i="5"/>
  <c r="D8" i="1"/>
  <c r="E8" i="1"/>
  <c r="F8" i="1"/>
  <c r="G8" i="1"/>
  <c r="H8" i="1"/>
  <c r="I8" i="1"/>
  <c r="D9" i="1"/>
  <c r="E9" i="1"/>
  <c r="F9" i="1"/>
  <c r="G9" i="1"/>
  <c r="H9" i="1"/>
  <c r="I9" i="1"/>
  <c r="D10" i="1"/>
  <c r="E10" i="1"/>
  <c r="F10" i="1"/>
  <c r="G10" i="1"/>
  <c r="H10" i="1"/>
  <c r="I10" i="1"/>
  <c r="D12" i="1"/>
  <c r="E12" i="1"/>
  <c r="F12" i="1"/>
  <c r="G12" i="1"/>
  <c r="H12" i="1"/>
  <c r="I12" i="1"/>
  <c r="D13" i="1"/>
  <c r="E13" i="1"/>
  <c r="F13" i="1"/>
  <c r="G13" i="1"/>
  <c r="H13" i="1"/>
  <c r="I13" i="1"/>
  <c r="D14" i="1"/>
  <c r="E14" i="1"/>
  <c r="F14" i="1"/>
  <c r="G14" i="1"/>
  <c r="H14" i="1"/>
  <c r="I14" i="1"/>
  <c r="D15" i="1"/>
  <c r="E15" i="1"/>
  <c r="F15" i="1"/>
  <c r="G15" i="1"/>
  <c r="H15" i="1"/>
  <c r="I15" i="1"/>
  <c r="D16" i="1"/>
  <c r="E16" i="1"/>
  <c r="F16" i="1"/>
  <c r="G16" i="1"/>
  <c r="H16" i="1"/>
  <c r="I16" i="1"/>
  <c r="D17" i="1"/>
  <c r="E17" i="1"/>
  <c r="F17" i="1"/>
  <c r="G17" i="1"/>
  <c r="H17" i="1"/>
  <c r="I17" i="1"/>
  <c r="D18" i="1"/>
  <c r="E18" i="1"/>
  <c r="F18" i="1"/>
  <c r="G18" i="1"/>
  <c r="H18" i="1"/>
  <c r="I18" i="1"/>
  <c r="D19" i="1"/>
  <c r="E19" i="1"/>
  <c r="F19" i="1"/>
  <c r="G19" i="1"/>
  <c r="H19" i="1"/>
  <c r="I19" i="1"/>
  <c r="D20" i="1"/>
  <c r="E20" i="1"/>
  <c r="F20" i="1"/>
  <c r="G20" i="1"/>
  <c r="H20" i="1"/>
  <c r="I20" i="1"/>
  <c r="C20" i="1"/>
  <c r="C19" i="1"/>
  <c r="C18" i="1"/>
  <c r="C17" i="1"/>
  <c r="C16" i="1"/>
  <c r="C15" i="1"/>
  <c r="C14" i="1"/>
  <c r="C13" i="1"/>
  <c r="C12" i="1"/>
  <c r="E55" i="3"/>
  <c r="E56" i="3"/>
  <c r="E57" i="3"/>
  <c r="E58" i="3"/>
  <c r="E59" i="3"/>
  <c r="E61" i="3"/>
  <c r="E54" i="3"/>
  <c r="E60" i="3" s="1"/>
  <c r="E31" i="3"/>
  <c r="E32" i="3"/>
  <c r="E33" i="3"/>
  <c r="E34" i="3"/>
  <c r="E35" i="3"/>
  <c r="E36" i="3"/>
  <c r="E37" i="3"/>
  <c r="E30" i="3"/>
  <c r="W5" i="4"/>
  <c r="H6" i="3" s="1"/>
  <c r="W6" i="4"/>
  <c r="H7" i="3" s="1"/>
  <c r="W7" i="4"/>
  <c r="H193" i="4" s="1"/>
  <c r="W8" i="4"/>
  <c r="H194" i="4" s="1"/>
  <c r="W9" i="4"/>
  <c r="H195" i="4" s="1"/>
  <c r="W10" i="4"/>
  <c r="H13" i="3" s="1"/>
  <c r="W11" i="4"/>
  <c r="H11" i="3" s="1"/>
  <c r="L15" i="9"/>
  <c r="E40" i="9" s="1"/>
  <c r="L14" i="9"/>
  <c r="L13" i="9"/>
  <c r="E37" i="9" s="1"/>
  <c r="L12" i="9"/>
  <c r="M41" i="9"/>
  <c r="L41" i="9"/>
  <c r="M38" i="9"/>
  <c r="M37" i="9"/>
  <c r="Q36" i="9"/>
  <c r="M36" i="9"/>
  <c r="Q35" i="9"/>
  <c r="L35" i="9"/>
  <c r="H36" i="9"/>
  <c r="H35" i="9"/>
  <c r="D41" i="9"/>
  <c r="F41" i="9"/>
  <c r="G41" i="9"/>
  <c r="C41" i="9"/>
  <c r="E39" i="9"/>
  <c r="H39" i="9" s="1"/>
  <c r="Q39" i="9" s="1"/>
  <c r="E38" i="9"/>
  <c r="H38" i="9" s="1"/>
  <c r="Q38" i="9" s="1"/>
  <c r="D38" i="9"/>
  <c r="D37" i="9"/>
  <c r="D36" i="9"/>
  <c r="C35" i="9"/>
  <c r="H197" i="4" l="1"/>
  <c r="H196" i="4"/>
  <c r="H9" i="3"/>
  <c r="H192" i="4"/>
  <c r="H191" i="4"/>
  <c r="H8" i="3"/>
  <c r="H10" i="3"/>
  <c r="H12" i="3"/>
  <c r="H40" i="9"/>
  <c r="Q40" i="9" s="1"/>
  <c r="N40" i="9"/>
  <c r="N38" i="9"/>
  <c r="N39" i="9"/>
  <c r="H37" i="9"/>
  <c r="Q37" i="9" s="1"/>
  <c r="N37" i="9"/>
  <c r="E41" i="9"/>
  <c r="N41" i="9" s="1"/>
  <c r="Q41" i="9" l="1"/>
  <c r="H41" i="9"/>
  <c r="M52" i="12" l="1"/>
  <c r="N52" i="12"/>
  <c r="O52" i="12"/>
  <c r="P52" i="12"/>
  <c r="Q52" i="12"/>
  <c r="R52" i="12"/>
  <c r="S52" i="12"/>
  <c r="T52" i="12"/>
  <c r="U52" i="12"/>
  <c r="V52" i="12"/>
  <c r="W52" i="12"/>
  <c r="X52" i="12"/>
  <c r="Y52" i="12"/>
  <c r="Z52" i="12"/>
  <c r="AA52" i="12"/>
  <c r="AB52" i="12"/>
  <c r="AC52" i="12"/>
  <c r="AD52" i="12"/>
  <c r="T104" i="10" l="1"/>
  <c r="S104" i="10"/>
  <c r="R104" i="10"/>
  <c r="Q104" i="10"/>
  <c r="P104" i="10"/>
  <c r="O104" i="10"/>
  <c r="T103" i="10"/>
  <c r="S103" i="10"/>
  <c r="R103" i="10"/>
  <c r="Q103" i="10"/>
  <c r="P103" i="10"/>
  <c r="O103" i="10"/>
  <c r="I104" i="10"/>
  <c r="H104" i="10"/>
  <c r="G104" i="10"/>
  <c r="F104" i="10"/>
  <c r="E104" i="10"/>
  <c r="D104" i="10"/>
  <c r="I103" i="10"/>
  <c r="H103" i="10"/>
  <c r="G103" i="10"/>
  <c r="F103" i="10"/>
  <c r="E103" i="10"/>
  <c r="D103" i="10"/>
  <c r="T101" i="10"/>
  <c r="P101" i="10"/>
  <c r="T100" i="10"/>
  <c r="P100" i="10"/>
  <c r="E101" i="10"/>
  <c r="I101" i="10"/>
  <c r="I100" i="10"/>
  <c r="I99" i="10" s="1"/>
  <c r="E100" i="10"/>
  <c r="T99" i="10" l="1"/>
  <c r="T106" i="10" s="1"/>
  <c r="E99" i="10"/>
  <c r="P99" i="10"/>
  <c r="P106" i="10" s="1"/>
  <c r="BW52" i="12" l="1"/>
  <c r="BV52" i="12"/>
  <c r="BU52" i="12"/>
  <c r="BT52" i="12"/>
  <c r="BS52" i="12"/>
  <c r="M46" i="2" s="1"/>
  <c r="M13" i="13" s="1"/>
  <c r="BR52" i="12"/>
  <c r="BQ52" i="12"/>
  <c r="BP52" i="12"/>
  <c r="BP54" i="12" s="1"/>
  <c r="BO52" i="12"/>
  <c r="BN52" i="12"/>
  <c r="BM52" i="12"/>
  <c r="BL52" i="12"/>
  <c r="BK52" i="12"/>
  <c r="BJ52" i="12"/>
  <c r="BI52" i="12"/>
  <c r="BH52" i="12"/>
  <c r="BG52" i="12"/>
  <c r="BF52" i="12"/>
  <c r="BE52" i="12"/>
  <c r="BD52" i="12"/>
  <c r="BC52" i="12"/>
  <c r="BB52" i="12"/>
  <c r="BA52" i="12"/>
  <c r="AZ52" i="12"/>
  <c r="AY52" i="12"/>
  <c r="AX52" i="12"/>
  <c r="AW52" i="12"/>
  <c r="AV52" i="12"/>
  <c r="AU52" i="12"/>
  <c r="I49" i="2" s="1"/>
  <c r="AT52" i="12"/>
  <c r="I48" i="2" s="1"/>
  <c r="I15" i="13" s="1"/>
  <c r="AS52" i="12"/>
  <c r="I47" i="2" s="1"/>
  <c r="AR52" i="12"/>
  <c r="I46" i="2" s="1"/>
  <c r="I13" i="13" s="1"/>
  <c r="AQ52" i="12"/>
  <c r="I45" i="2" s="1"/>
  <c r="AP52" i="12"/>
  <c r="I44" i="2" s="1"/>
  <c r="AO52" i="12"/>
  <c r="I43" i="2" s="1"/>
  <c r="AN52" i="12"/>
  <c r="I42" i="2" s="1"/>
  <c r="L52" i="12"/>
  <c r="K52" i="12"/>
  <c r="D49" i="2" s="1"/>
  <c r="E70" i="2" s="1"/>
  <c r="J52" i="12"/>
  <c r="I52" i="12"/>
  <c r="D47" i="2" s="1"/>
  <c r="N47" i="2" s="1"/>
  <c r="H52" i="12"/>
  <c r="D46" i="2" s="1"/>
  <c r="G52" i="12"/>
  <c r="D45" i="2" s="1"/>
  <c r="F52" i="12"/>
  <c r="D44" i="2" s="1"/>
  <c r="E52" i="12"/>
  <c r="D52" i="12"/>
  <c r="D42" i="2" s="1"/>
  <c r="AM50" i="12"/>
  <c r="AL50" i="12"/>
  <c r="AK50" i="12"/>
  <c r="AJ50" i="12"/>
  <c r="AI50" i="12"/>
  <c r="AH50" i="12"/>
  <c r="AG50" i="12"/>
  <c r="AF50" i="12"/>
  <c r="AE50" i="12"/>
  <c r="AM49" i="12"/>
  <c r="AL49" i="12"/>
  <c r="AK49" i="12"/>
  <c r="AJ49" i="12"/>
  <c r="AI49" i="12"/>
  <c r="AH49" i="12"/>
  <c r="AG49" i="12"/>
  <c r="AF49" i="12"/>
  <c r="AE49" i="12"/>
  <c r="AM48" i="12"/>
  <c r="AL48" i="12"/>
  <c r="AK48" i="12"/>
  <c r="AJ48" i="12"/>
  <c r="AI48" i="12"/>
  <c r="AH48" i="12"/>
  <c r="AG48" i="12"/>
  <c r="AF48" i="12"/>
  <c r="AE48" i="12"/>
  <c r="AM47" i="12"/>
  <c r="AL47" i="12"/>
  <c r="AK47" i="12"/>
  <c r="AJ47" i="12"/>
  <c r="AI47" i="12"/>
  <c r="AH47" i="12"/>
  <c r="AG47" i="12"/>
  <c r="AF47" i="12"/>
  <c r="AE47" i="12"/>
  <c r="AM46" i="12"/>
  <c r="AL46" i="12"/>
  <c r="AK46" i="12"/>
  <c r="AJ46" i="12"/>
  <c r="AI46" i="12"/>
  <c r="AH46" i="12"/>
  <c r="AG46" i="12"/>
  <c r="AF46" i="12"/>
  <c r="AE46" i="12"/>
  <c r="AM45" i="12"/>
  <c r="AL45" i="12"/>
  <c r="AK45" i="12"/>
  <c r="AJ45" i="12"/>
  <c r="AI45" i="12"/>
  <c r="AH45" i="12"/>
  <c r="AG45" i="12"/>
  <c r="AF45" i="12"/>
  <c r="AE45" i="12"/>
  <c r="AM44" i="12"/>
  <c r="AL44" i="12"/>
  <c r="AK44" i="12"/>
  <c r="AJ44" i="12"/>
  <c r="AI44" i="12"/>
  <c r="AH44" i="12"/>
  <c r="AG44" i="12"/>
  <c r="AF44" i="12"/>
  <c r="AE44" i="12"/>
  <c r="AM43" i="12"/>
  <c r="AL43" i="12"/>
  <c r="AK43" i="12"/>
  <c r="AJ43" i="12"/>
  <c r="AI43" i="12"/>
  <c r="AH43" i="12"/>
  <c r="AG43" i="12"/>
  <c r="AF43" i="12"/>
  <c r="AE43" i="12"/>
  <c r="AM42" i="12"/>
  <c r="AL42" i="12"/>
  <c r="AK42" i="12"/>
  <c r="AJ42" i="12"/>
  <c r="AI42" i="12"/>
  <c r="AH42" i="12"/>
  <c r="AG42" i="12"/>
  <c r="AF42" i="12"/>
  <c r="AE42" i="12"/>
  <c r="AM41" i="12"/>
  <c r="AL41" i="12"/>
  <c r="AK41" i="12"/>
  <c r="AJ41" i="12"/>
  <c r="AI41" i="12"/>
  <c r="AH41" i="12"/>
  <c r="AG41" i="12"/>
  <c r="AF41" i="12"/>
  <c r="AE41" i="12"/>
  <c r="AM40" i="12"/>
  <c r="AL40" i="12"/>
  <c r="AK40" i="12"/>
  <c r="AJ40" i="12"/>
  <c r="AI40" i="12"/>
  <c r="AH40" i="12"/>
  <c r="AG40" i="12"/>
  <c r="AF40" i="12"/>
  <c r="AE40" i="12"/>
  <c r="BZ39" i="12"/>
  <c r="BY39" i="12"/>
  <c r="AM39" i="12"/>
  <c r="AL39" i="12"/>
  <c r="AK39" i="12"/>
  <c r="AJ39" i="12"/>
  <c r="AI39" i="12"/>
  <c r="AH39" i="12"/>
  <c r="AG39" i="12"/>
  <c r="AF39" i="12"/>
  <c r="AE39" i="12"/>
  <c r="AM38" i="12"/>
  <c r="AL38" i="12"/>
  <c r="AK38" i="12"/>
  <c r="AJ38" i="12"/>
  <c r="AI38" i="12"/>
  <c r="AH38" i="12"/>
  <c r="AG38" i="12"/>
  <c r="AF38" i="12"/>
  <c r="AE38" i="12"/>
  <c r="BZ37" i="12"/>
  <c r="BY37" i="12"/>
  <c r="AM37" i="12"/>
  <c r="AL37" i="12"/>
  <c r="AK37" i="12"/>
  <c r="AJ37" i="12"/>
  <c r="AI37" i="12"/>
  <c r="AH37" i="12"/>
  <c r="AG37" i="12"/>
  <c r="AF37" i="12"/>
  <c r="AE37" i="12"/>
  <c r="AM36" i="12"/>
  <c r="AL36" i="12"/>
  <c r="AK36" i="12"/>
  <c r="AJ36" i="12"/>
  <c r="AI36" i="12"/>
  <c r="AH36" i="12"/>
  <c r="AG36" i="12"/>
  <c r="AF36" i="12"/>
  <c r="AE36" i="12"/>
  <c r="AM35" i="12"/>
  <c r="AL35" i="12"/>
  <c r="AK35" i="12"/>
  <c r="AJ35" i="12"/>
  <c r="AI35" i="12"/>
  <c r="AH35" i="12"/>
  <c r="AG35" i="12"/>
  <c r="AF35" i="12"/>
  <c r="AE35" i="12"/>
  <c r="AM34" i="12"/>
  <c r="AL34" i="12"/>
  <c r="AK34" i="12"/>
  <c r="AJ34" i="12"/>
  <c r="AI34" i="12"/>
  <c r="AH34" i="12"/>
  <c r="AG34" i="12"/>
  <c r="AF34" i="12"/>
  <c r="AE34" i="12"/>
  <c r="BZ33" i="12"/>
  <c r="BY33" i="12"/>
  <c r="AM33" i="12"/>
  <c r="AL33" i="12"/>
  <c r="AK33" i="12"/>
  <c r="AJ33" i="12"/>
  <c r="AI33" i="12"/>
  <c r="AH33" i="12"/>
  <c r="AG33" i="12"/>
  <c r="AF33" i="12"/>
  <c r="AE33" i="12"/>
  <c r="AM32" i="12"/>
  <c r="AL32" i="12"/>
  <c r="AK32" i="12"/>
  <c r="AJ32" i="12"/>
  <c r="AI32" i="12"/>
  <c r="AH32" i="12"/>
  <c r="AG32" i="12"/>
  <c r="AF32" i="12"/>
  <c r="AE32" i="12"/>
  <c r="AM31" i="12"/>
  <c r="AL31" i="12"/>
  <c r="AK31" i="12"/>
  <c r="AJ31" i="12"/>
  <c r="AI31" i="12"/>
  <c r="AH31" i="12"/>
  <c r="AG31" i="12"/>
  <c r="AF31" i="12"/>
  <c r="AE31" i="12"/>
  <c r="AM30" i="12"/>
  <c r="AL30" i="12"/>
  <c r="AK30" i="12"/>
  <c r="AJ30" i="12"/>
  <c r="AI30" i="12"/>
  <c r="AH30" i="12"/>
  <c r="AG30" i="12"/>
  <c r="AF30" i="12"/>
  <c r="AE30" i="12"/>
  <c r="AM29" i="12"/>
  <c r="AL29" i="12"/>
  <c r="AK29" i="12"/>
  <c r="AJ29" i="12"/>
  <c r="AI29" i="12"/>
  <c r="AH29" i="12"/>
  <c r="AG29" i="12"/>
  <c r="AF29" i="12"/>
  <c r="AE29" i="12"/>
  <c r="AM28" i="12"/>
  <c r="AL28" i="12"/>
  <c r="AK28" i="12"/>
  <c r="AJ28" i="12"/>
  <c r="AI28" i="12"/>
  <c r="AH28" i="12"/>
  <c r="AG28" i="12"/>
  <c r="AF28" i="12"/>
  <c r="AE28" i="12"/>
  <c r="AM27" i="12"/>
  <c r="AL27" i="12"/>
  <c r="AK27" i="12"/>
  <c r="AJ27" i="12"/>
  <c r="AI27" i="12"/>
  <c r="AH27" i="12"/>
  <c r="AG27" i="12"/>
  <c r="AF27" i="12"/>
  <c r="AE27" i="12"/>
  <c r="BZ26" i="12"/>
  <c r="BY26" i="12"/>
  <c r="AM26" i="12"/>
  <c r="AL26" i="12"/>
  <c r="AK26" i="12"/>
  <c r="AJ26" i="12"/>
  <c r="AI26" i="12"/>
  <c r="AH26" i="12"/>
  <c r="AG26" i="12"/>
  <c r="AF26" i="12"/>
  <c r="AE26" i="12"/>
  <c r="AM25" i="12"/>
  <c r="AL25" i="12"/>
  <c r="AK25" i="12"/>
  <c r="AJ25" i="12"/>
  <c r="AI25" i="12"/>
  <c r="AH25" i="12"/>
  <c r="AG25" i="12"/>
  <c r="AF25" i="12"/>
  <c r="AE25" i="12"/>
  <c r="AM24" i="12"/>
  <c r="AL24" i="12"/>
  <c r="AK24" i="12"/>
  <c r="AJ24" i="12"/>
  <c r="AI24" i="12"/>
  <c r="AH24" i="12"/>
  <c r="AG24" i="12"/>
  <c r="AF24" i="12"/>
  <c r="AE24" i="12"/>
  <c r="AM23" i="12"/>
  <c r="AL23" i="12"/>
  <c r="AK23" i="12"/>
  <c r="AJ23" i="12"/>
  <c r="AI23" i="12"/>
  <c r="AH23" i="12"/>
  <c r="AG23" i="12"/>
  <c r="AF23" i="12"/>
  <c r="AE23" i="12"/>
  <c r="BZ22" i="12"/>
  <c r="BY22" i="12"/>
  <c r="AM22" i="12"/>
  <c r="AL22" i="12"/>
  <c r="AK22" i="12"/>
  <c r="AJ22" i="12"/>
  <c r="AI22" i="12"/>
  <c r="AH22" i="12"/>
  <c r="AG22" i="12"/>
  <c r="AF22" i="12"/>
  <c r="AE22" i="12"/>
  <c r="AM21" i="12"/>
  <c r="AL21" i="12"/>
  <c r="AK21" i="12"/>
  <c r="AJ21" i="12"/>
  <c r="AI21" i="12"/>
  <c r="AH21" i="12"/>
  <c r="AG21" i="12"/>
  <c r="AF21" i="12"/>
  <c r="AE21" i="12"/>
  <c r="AM20" i="12"/>
  <c r="AL20" i="12"/>
  <c r="AK20" i="12"/>
  <c r="AJ20" i="12"/>
  <c r="AI20" i="12"/>
  <c r="AH20" i="12"/>
  <c r="AG20" i="12"/>
  <c r="AF20" i="12"/>
  <c r="AE20" i="12"/>
  <c r="AM19" i="12"/>
  <c r="AL19" i="12"/>
  <c r="AK19" i="12"/>
  <c r="AJ19" i="12"/>
  <c r="AI19" i="12"/>
  <c r="AH19" i="12"/>
  <c r="AG19" i="12"/>
  <c r="AF19" i="12"/>
  <c r="AE19" i="12"/>
  <c r="AM18" i="12"/>
  <c r="AL18" i="12"/>
  <c r="AK18" i="12"/>
  <c r="AJ18" i="12"/>
  <c r="AI18" i="12"/>
  <c r="AH18" i="12"/>
  <c r="AG18" i="12"/>
  <c r="AF18" i="12"/>
  <c r="AE18" i="12"/>
  <c r="BZ17" i="12"/>
  <c r="BY17" i="12"/>
  <c r="AM17" i="12"/>
  <c r="AL17" i="12"/>
  <c r="AK17" i="12"/>
  <c r="AJ17" i="12"/>
  <c r="AI17" i="12"/>
  <c r="AH17" i="12"/>
  <c r="AG17" i="12"/>
  <c r="AF17" i="12"/>
  <c r="AE17" i="12"/>
  <c r="AM16" i="12"/>
  <c r="AL16" i="12"/>
  <c r="AK16" i="12"/>
  <c r="AJ16" i="12"/>
  <c r="AI16" i="12"/>
  <c r="AH16" i="12"/>
  <c r="AG16" i="12"/>
  <c r="AF16" i="12"/>
  <c r="AE16" i="12"/>
  <c r="AM15" i="12"/>
  <c r="AL15" i="12"/>
  <c r="AK15" i="12"/>
  <c r="AJ15" i="12"/>
  <c r="AI15" i="12"/>
  <c r="AH15" i="12"/>
  <c r="AG15" i="12"/>
  <c r="AF15" i="12"/>
  <c r="AE15" i="12"/>
  <c r="BZ14" i="12"/>
  <c r="BY14" i="12"/>
  <c r="AM14" i="12"/>
  <c r="AL14" i="12"/>
  <c r="AK14" i="12"/>
  <c r="AJ14" i="12"/>
  <c r="AI14" i="12"/>
  <c r="AH14" i="12"/>
  <c r="AG14" i="12"/>
  <c r="AF14" i="12"/>
  <c r="AE14" i="12"/>
  <c r="AM13" i="12"/>
  <c r="AL13" i="12"/>
  <c r="AK13" i="12"/>
  <c r="AJ13" i="12"/>
  <c r="AI13" i="12"/>
  <c r="AH13" i="12"/>
  <c r="AG13" i="12"/>
  <c r="AF13" i="12"/>
  <c r="AE13" i="12"/>
  <c r="BZ12" i="12"/>
  <c r="BY12" i="12"/>
  <c r="AM12" i="12"/>
  <c r="AL12" i="12"/>
  <c r="AK12" i="12"/>
  <c r="AJ12" i="12"/>
  <c r="AI12" i="12"/>
  <c r="AH12" i="12"/>
  <c r="AG12" i="12"/>
  <c r="AF12" i="12"/>
  <c r="AE12" i="12"/>
  <c r="AM11" i="12"/>
  <c r="AL11" i="12"/>
  <c r="AK11" i="12"/>
  <c r="AJ11" i="12"/>
  <c r="AI11" i="12"/>
  <c r="AH11" i="12"/>
  <c r="AG11" i="12"/>
  <c r="AF11" i="12"/>
  <c r="AE11" i="12"/>
  <c r="AM10" i="12"/>
  <c r="AL10" i="12"/>
  <c r="AK10" i="12"/>
  <c r="AJ10" i="12"/>
  <c r="AI10" i="12"/>
  <c r="AH10" i="12"/>
  <c r="AG10" i="12"/>
  <c r="AF10" i="12"/>
  <c r="AE10" i="12"/>
  <c r="AM9" i="12"/>
  <c r="AL9" i="12"/>
  <c r="AK9" i="12"/>
  <c r="AJ9" i="12"/>
  <c r="AI9" i="12"/>
  <c r="AH9" i="12"/>
  <c r="AG9" i="12"/>
  <c r="AF9" i="12"/>
  <c r="AE9" i="12"/>
  <c r="AM8" i="12"/>
  <c r="AL8" i="12"/>
  <c r="AK8" i="12"/>
  <c r="AJ8" i="12"/>
  <c r="AI8" i="12"/>
  <c r="AH8" i="12"/>
  <c r="AG8" i="12"/>
  <c r="AF8" i="12"/>
  <c r="AE8" i="12"/>
  <c r="AM7" i="12"/>
  <c r="AL7" i="12"/>
  <c r="AK7" i="12"/>
  <c r="AJ7" i="12"/>
  <c r="AI7" i="12"/>
  <c r="AH7" i="12"/>
  <c r="AG7" i="12"/>
  <c r="AF7" i="12"/>
  <c r="AE7" i="12"/>
  <c r="BZ6" i="12"/>
  <c r="BY6" i="12"/>
  <c r="AM6" i="12"/>
  <c r="AL6" i="12"/>
  <c r="AK6" i="12"/>
  <c r="AJ6" i="12"/>
  <c r="AI6" i="12"/>
  <c r="AH6" i="12"/>
  <c r="AG6" i="12"/>
  <c r="AF6" i="12"/>
  <c r="AE6" i="12"/>
  <c r="BC54" i="11"/>
  <c r="BB54" i="11"/>
  <c r="BE52" i="11"/>
  <c r="BE54" i="11" s="1"/>
  <c r="BD52" i="11"/>
  <c r="BC52" i="11"/>
  <c r="BB52" i="11"/>
  <c r="BA52" i="11"/>
  <c r="AZ52" i="11"/>
  <c r="AZ54" i="11" s="1"/>
  <c r="AY52" i="11"/>
  <c r="AY54" i="11" s="1"/>
  <c r="AX52" i="11"/>
  <c r="AX54" i="11" s="1"/>
  <c r="AW52" i="11"/>
  <c r="AW54" i="11" s="1"/>
  <c r="AV52" i="11"/>
  <c r="AU52" i="11"/>
  <c r="AT52" i="11"/>
  <c r="AS52" i="11"/>
  <c r="AR52" i="11"/>
  <c r="AQ52" i="11"/>
  <c r="AP52" i="11"/>
  <c r="AO52" i="11"/>
  <c r="AN52" i="11"/>
  <c r="AM52" i="11"/>
  <c r="AL52" i="11"/>
  <c r="AK52" i="11"/>
  <c r="AJ52" i="11"/>
  <c r="AI52" i="11"/>
  <c r="BA54" i="11" s="1"/>
  <c r="AH52" i="11"/>
  <c r="AG52" i="11"/>
  <c r="AF52" i="11"/>
  <c r="AE52" i="11"/>
  <c r="AD52" i="11"/>
  <c r="AC52" i="11"/>
  <c r="AB52" i="11"/>
  <c r="AA52" i="11"/>
  <c r="I34" i="2" s="1"/>
  <c r="Z52" i="11"/>
  <c r="Y52" i="11"/>
  <c r="X52" i="11"/>
  <c r="W52" i="11"/>
  <c r="V52" i="11"/>
  <c r="U52" i="11"/>
  <c r="T52" i="11"/>
  <c r="S52" i="11"/>
  <c r="R52" i="11"/>
  <c r="Q52" i="11"/>
  <c r="P52" i="11"/>
  <c r="O52" i="11"/>
  <c r="N52" i="11"/>
  <c r="M52" i="11"/>
  <c r="L52" i="11"/>
  <c r="K52" i="11"/>
  <c r="D36" i="2" s="1"/>
  <c r="N36" i="2" s="1"/>
  <c r="J52" i="11"/>
  <c r="I52" i="11"/>
  <c r="H52" i="11"/>
  <c r="G52" i="11"/>
  <c r="F52" i="11"/>
  <c r="E52" i="11"/>
  <c r="D52" i="11"/>
  <c r="BH39" i="11"/>
  <c r="BG39" i="11"/>
  <c r="BH37" i="11"/>
  <c r="BG37" i="11"/>
  <c r="BH33" i="11"/>
  <c r="BG33" i="11"/>
  <c r="BH26" i="11"/>
  <c r="BG26" i="11"/>
  <c r="BH22" i="11"/>
  <c r="BG22" i="11"/>
  <c r="BH17" i="11"/>
  <c r="BG17" i="11"/>
  <c r="BH14" i="11"/>
  <c r="BG14" i="11"/>
  <c r="BH12" i="11"/>
  <c r="BG12" i="11"/>
  <c r="BH6" i="11"/>
  <c r="BG6" i="11"/>
  <c r="S76" i="10"/>
  <c r="T76" i="10" s="1"/>
  <c r="U76" i="10" s="1"/>
  <c r="I56" i="10"/>
  <c r="H56" i="10"/>
  <c r="G56" i="10"/>
  <c r="F56" i="10"/>
  <c r="E56" i="10"/>
  <c r="D56" i="10"/>
  <c r="I54" i="10"/>
  <c r="E54" i="10"/>
  <c r="E64" i="10" s="1"/>
  <c r="I52" i="10"/>
  <c r="I63" i="10" s="1"/>
  <c r="E52" i="10"/>
  <c r="E63" i="10" s="1"/>
  <c r="I50" i="10"/>
  <c r="I57" i="10" s="1"/>
  <c r="H50" i="10"/>
  <c r="H57" i="10" s="1"/>
  <c r="G50" i="10"/>
  <c r="G57" i="10" s="1"/>
  <c r="F50" i="10"/>
  <c r="F57" i="10" s="1"/>
  <c r="E50" i="10"/>
  <c r="E57" i="10" s="1"/>
  <c r="D50" i="10"/>
  <c r="D57" i="10" s="1"/>
  <c r="I44" i="10"/>
  <c r="H44" i="10"/>
  <c r="G44" i="10"/>
  <c r="F44" i="10"/>
  <c r="E44" i="10"/>
  <c r="D44" i="10"/>
  <c r="I43" i="10"/>
  <c r="H43" i="10"/>
  <c r="G43" i="10"/>
  <c r="F43" i="10"/>
  <c r="E43" i="10"/>
  <c r="D43" i="10"/>
  <c r="I39" i="10"/>
  <c r="H39" i="10"/>
  <c r="G39" i="10"/>
  <c r="F39" i="10"/>
  <c r="E39" i="10"/>
  <c r="D39" i="10"/>
  <c r="I35" i="10"/>
  <c r="H35" i="10"/>
  <c r="G35" i="10"/>
  <c r="F35" i="10"/>
  <c r="E35" i="10"/>
  <c r="D35" i="10"/>
  <c r="I29" i="10"/>
  <c r="H29" i="10"/>
  <c r="G29" i="10"/>
  <c r="F29" i="10"/>
  <c r="E29" i="10"/>
  <c r="D29" i="10"/>
  <c r="I28" i="10"/>
  <c r="H28" i="10"/>
  <c r="G28" i="10"/>
  <c r="F28" i="10"/>
  <c r="E28" i="10"/>
  <c r="D28" i="10"/>
  <c r="G26" i="10"/>
  <c r="H26" i="10" s="1"/>
  <c r="D26" i="10"/>
  <c r="I22" i="10"/>
  <c r="H22" i="10"/>
  <c r="G22" i="10"/>
  <c r="F22" i="10"/>
  <c r="E22" i="10"/>
  <c r="D22" i="10"/>
  <c r="G20" i="10"/>
  <c r="H20" i="10" s="1"/>
  <c r="D20" i="10"/>
  <c r="I18" i="10"/>
  <c r="H18" i="10"/>
  <c r="G18" i="10"/>
  <c r="F18" i="10"/>
  <c r="E18" i="10"/>
  <c r="D18" i="10"/>
  <c r="G16" i="10"/>
  <c r="H16" i="10" s="1"/>
  <c r="D16" i="10"/>
  <c r="I14" i="10"/>
  <c r="H14" i="10"/>
  <c r="G14" i="10"/>
  <c r="F14" i="10"/>
  <c r="E14" i="10"/>
  <c r="D14" i="10"/>
  <c r="G12" i="10"/>
  <c r="H12" i="10" s="1"/>
  <c r="D12" i="10"/>
  <c r="I10" i="10"/>
  <c r="H10" i="10"/>
  <c r="G10" i="10"/>
  <c r="F10" i="10"/>
  <c r="E10" i="10"/>
  <c r="D10" i="10"/>
  <c r="G8" i="10"/>
  <c r="F8" i="10" s="1"/>
  <c r="D8" i="10"/>
  <c r="E74" i="9"/>
  <c r="F74" i="9" s="1"/>
  <c r="E70" i="9"/>
  <c r="F70" i="9" s="1"/>
  <c r="F68" i="9"/>
  <c r="F65" i="9" s="1"/>
  <c r="G30" i="9"/>
  <c r="F30" i="9"/>
  <c r="E29" i="9"/>
  <c r="N29" i="9" s="1"/>
  <c r="E28" i="9"/>
  <c r="E27" i="9"/>
  <c r="N27" i="9" s="1"/>
  <c r="D27" i="9"/>
  <c r="M27" i="9" s="1"/>
  <c r="E26" i="9"/>
  <c r="N26" i="9" s="1"/>
  <c r="D26" i="9"/>
  <c r="D25" i="9"/>
  <c r="M25" i="9" s="1"/>
  <c r="C24" i="9"/>
  <c r="C30" i="9" s="1"/>
  <c r="O29" i="8"/>
  <c r="K29" i="8"/>
  <c r="J29" i="8"/>
  <c r="K21" i="8"/>
  <c r="J21" i="8" s="1"/>
  <c r="K17" i="8"/>
  <c r="J17" i="8"/>
  <c r="K13" i="8"/>
  <c r="O13" i="8" s="1"/>
  <c r="O12" i="8"/>
  <c r="K12" i="8"/>
  <c r="M12" i="8" s="1"/>
  <c r="N12" i="8" s="1"/>
  <c r="P4" i="8"/>
  <c r="F97" i="7"/>
  <c r="F96" i="7"/>
  <c r="F94" i="7"/>
  <c r="F93" i="7"/>
  <c r="F92" i="7"/>
  <c r="F91" i="7"/>
  <c r="F89" i="7"/>
  <c r="F88" i="7"/>
  <c r="F87" i="7"/>
  <c r="F85" i="7"/>
  <c r="F84" i="7"/>
  <c r="F83" i="7"/>
  <c r="F81" i="7"/>
  <c r="F80" i="7"/>
  <c r="F79" i="7"/>
  <c r="F78" i="7"/>
  <c r="F77" i="7"/>
  <c r="F76" i="7"/>
  <c r="F75" i="7"/>
  <c r="AA198" i="6"/>
  <c r="AD197" i="6"/>
  <c r="AC197" i="6"/>
  <c r="Y197" i="6"/>
  <c r="AK195" i="6"/>
  <c r="T195" i="6"/>
  <c r="AK194" i="6"/>
  <c r="Y194" i="6"/>
  <c r="T194" i="6"/>
  <c r="AI193" i="6"/>
  <c r="AC192" i="6"/>
  <c r="AB192" i="6"/>
  <c r="AA192" i="6"/>
  <c r="T192" i="6"/>
  <c r="T191" i="6"/>
  <c r="AI190" i="6"/>
  <c r="AC190" i="6"/>
  <c r="AB190" i="6"/>
  <c r="AA190" i="6"/>
  <c r="Y190" i="6"/>
  <c r="T190" i="6"/>
  <c r="T189" i="6"/>
  <c r="E187" i="6"/>
  <c r="T187" i="6" s="1"/>
  <c r="Y186" i="6"/>
  <c r="T186" i="6"/>
  <c r="AL185" i="6"/>
  <c r="AK185" i="6"/>
  <c r="AC185" i="6"/>
  <c r="AB185" i="6"/>
  <c r="T185" i="6"/>
  <c r="T183" i="6"/>
  <c r="T182" i="6"/>
  <c r="T181" i="6"/>
  <c r="T179" i="6"/>
  <c r="AM178" i="6"/>
  <c r="AL178" i="6"/>
  <c r="AK178" i="6"/>
  <c r="AJ178" i="6"/>
  <c r="AI178" i="6"/>
  <c r="AH178" i="6"/>
  <c r="AG178" i="6"/>
  <c r="AF178" i="6"/>
  <c r="AE178" i="6"/>
  <c r="AD178" i="6"/>
  <c r="AC178" i="6"/>
  <c r="AB178" i="6"/>
  <c r="AA178" i="6"/>
  <c r="Z178" i="6"/>
  <c r="Y178" i="6"/>
  <c r="T178" i="6"/>
  <c r="AI177" i="6"/>
  <c r="AC177" i="6"/>
  <c r="Y177" i="6"/>
  <c r="T177" i="6"/>
  <c r="AL176" i="6"/>
  <c r="AI176" i="6"/>
  <c r="T176" i="6"/>
  <c r="T175" i="6"/>
  <c r="T174" i="6"/>
  <c r="AD167" i="6"/>
  <c r="AC167" i="6"/>
  <c r="AB167" i="6"/>
  <c r="AA167" i="6"/>
  <c r="Y167" i="6"/>
  <c r="AK165" i="6"/>
  <c r="T165" i="6"/>
  <c r="AB164" i="6"/>
  <c r="Y164" i="6"/>
  <c r="T164" i="6"/>
  <c r="AI163" i="6"/>
  <c r="AC163" i="6"/>
  <c r="AA163" i="6"/>
  <c r="T163" i="6"/>
  <c r="AI162" i="6"/>
  <c r="AC162" i="6"/>
  <c r="AB162" i="6"/>
  <c r="Y162" i="6"/>
  <c r="T162" i="6"/>
  <c r="E161" i="6"/>
  <c r="T161" i="6" s="1"/>
  <c r="AI160" i="6"/>
  <c r="AC160" i="6"/>
  <c r="AB160" i="6"/>
  <c r="Y160" i="6"/>
  <c r="T160" i="6"/>
  <c r="T159" i="6"/>
  <c r="AD158" i="6"/>
  <c r="AC158" i="6"/>
  <c r="Y158" i="6"/>
  <c r="T158" i="6"/>
  <c r="E157" i="6"/>
  <c r="T157" i="6" s="1"/>
  <c r="AK156" i="6"/>
  <c r="AA156" i="6"/>
  <c r="Y156" i="6"/>
  <c r="T156" i="6"/>
  <c r="AL155" i="6"/>
  <c r="AK155" i="6"/>
  <c r="AI155" i="6"/>
  <c r="AB155" i="6"/>
  <c r="AA155" i="6"/>
  <c r="T155" i="6"/>
  <c r="T154" i="6"/>
  <c r="T153" i="6"/>
  <c r="AB152" i="6"/>
  <c r="AA152" i="6"/>
  <c r="T152" i="6"/>
  <c r="T151" i="6"/>
  <c r="T150" i="6"/>
  <c r="T149" i="6"/>
  <c r="AM148" i="6"/>
  <c r="AL148" i="6"/>
  <c r="AK148" i="6"/>
  <c r="AJ148" i="6"/>
  <c r="AI148" i="6"/>
  <c r="AH148" i="6"/>
  <c r="AG148" i="6"/>
  <c r="AF148" i="6"/>
  <c r="AE148" i="6"/>
  <c r="AD148" i="6"/>
  <c r="AC148" i="6"/>
  <c r="AB148" i="6"/>
  <c r="AA148" i="6"/>
  <c r="Z148" i="6"/>
  <c r="Y148" i="6"/>
  <c r="T148" i="6"/>
  <c r="AC147" i="6"/>
  <c r="T147" i="6"/>
  <c r="AI146" i="6"/>
  <c r="T146" i="6"/>
  <c r="T145" i="6"/>
  <c r="T144" i="6"/>
  <c r="E144" i="6"/>
  <c r="Z130" i="6"/>
  <c r="AK129" i="6"/>
  <c r="AI129" i="6"/>
  <c r="AG129" i="6"/>
  <c r="AC129" i="6"/>
  <c r="T128" i="6"/>
  <c r="AL127" i="6"/>
  <c r="AA127" i="6"/>
  <c r="Z127" i="6"/>
  <c r="T127" i="6"/>
  <c r="AK126" i="6"/>
  <c r="Z126" i="6"/>
  <c r="AI125" i="6"/>
  <c r="AG125" i="6"/>
  <c r="Z125" i="6"/>
  <c r="T125" i="6"/>
  <c r="Z124" i="6"/>
  <c r="T124" i="6"/>
  <c r="T123" i="6"/>
  <c r="Z122" i="6"/>
  <c r="T122" i="6"/>
  <c r="Z121" i="6"/>
  <c r="AK120" i="6"/>
  <c r="AI120" i="6"/>
  <c r="AD120" i="6"/>
  <c r="AC120" i="6"/>
  <c r="AB120" i="6"/>
  <c r="AA120" i="6"/>
  <c r="Z120" i="6"/>
  <c r="T120" i="6"/>
  <c r="T119" i="6"/>
  <c r="AK118" i="6"/>
  <c r="AH118" i="6"/>
  <c r="AG118" i="6"/>
  <c r="AC118" i="6"/>
  <c r="AB118" i="6"/>
  <c r="Z118" i="6"/>
  <c r="T118" i="6"/>
  <c r="AK117" i="6"/>
  <c r="AI117" i="6"/>
  <c r="AC117" i="6"/>
  <c r="AA117" i="6"/>
  <c r="Z117" i="6"/>
  <c r="AI116" i="6"/>
  <c r="Z116" i="6"/>
  <c r="T116" i="6"/>
  <c r="T115" i="6"/>
  <c r="AL114" i="6"/>
  <c r="AC114" i="6"/>
  <c r="Z114" i="6"/>
  <c r="T114" i="6"/>
  <c r="AB113" i="6"/>
  <c r="Z113" i="6"/>
  <c r="AI112" i="6"/>
  <c r="AB112" i="6"/>
  <c r="Z112" i="6"/>
  <c r="T112" i="6"/>
  <c r="AL111" i="6"/>
  <c r="AK111" i="6"/>
  <c r="AJ111" i="6"/>
  <c r="AI111" i="6"/>
  <c r="AH111" i="6"/>
  <c r="AG111" i="6"/>
  <c r="AF111" i="6"/>
  <c r="AE111" i="6"/>
  <c r="AD111" i="6"/>
  <c r="AC111" i="6"/>
  <c r="AA111" i="6"/>
  <c r="Z111" i="6"/>
  <c r="Y111" i="6"/>
  <c r="T111" i="6"/>
  <c r="Z110" i="6"/>
  <c r="T110" i="6"/>
  <c r="Z109" i="6"/>
  <c r="T109" i="6"/>
  <c r="AL108" i="6"/>
  <c r="AK108" i="6"/>
  <c r="AJ108" i="6"/>
  <c r="AI108" i="6"/>
  <c r="AH108" i="6"/>
  <c r="AG108" i="6"/>
  <c r="AF108" i="6"/>
  <c r="AE108" i="6"/>
  <c r="AD108" i="6"/>
  <c r="AC108" i="6"/>
  <c r="AB108" i="6"/>
  <c r="AA108" i="6"/>
  <c r="T108" i="6"/>
  <c r="E107" i="6"/>
  <c r="T107" i="6" s="1"/>
  <c r="AG100" i="6"/>
  <c r="Z100" i="6"/>
  <c r="AI99" i="6"/>
  <c r="AG99" i="6"/>
  <c r="AC99" i="6"/>
  <c r="T98" i="6"/>
  <c r="AL97" i="6"/>
  <c r="AA97" i="6"/>
  <c r="Z97" i="6"/>
  <c r="T97" i="6"/>
  <c r="AK96" i="6"/>
  <c r="AJ96" i="6"/>
  <c r="AI96" i="6"/>
  <c r="Z96" i="6"/>
  <c r="AJ95" i="6"/>
  <c r="AA95" i="6"/>
  <c r="Z95" i="6"/>
  <c r="T95" i="6"/>
  <c r="Z94" i="6"/>
  <c r="T94" i="6"/>
  <c r="T93" i="6"/>
  <c r="AC92" i="6"/>
  <c r="Z92" i="6"/>
  <c r="T92" i="6"/>
  <c r="Z91" i="6"/>
  <c r="AK90" i="6"/>
  <c r="AI90" i="6"/>
  <c r="AD90" i="6"/>
  <c r="AC90" i="6"/>
  <c r="AB90" i="6"/>
  <c r="AA90" i="6"/>
  <c r="Z90" i="6"/>
  <c r="Y90" i="6"/>
  <c r="T90" i="6"/>
  <c r="T89" i="6"/>
  <c r="AK88" i="6"/>
  <c r="AJ88" i="6"/>
  <c r="AI88" i="6"/>
  <c r="AC88" i="6"/>
  <c r="AB88" i="6"/>
  <c r="AA88" i="6"/>
  <c r="Z88" i="6"/>
  <c r="Y88" i="6"/>
  <c r="T88" i="6"/>
  <c r="AI87" i="6"/>
  <c r="AC87" i="6"/>
  <c r="AB87" i="6"/>
  <c r="AA87" i="6"/>
  <c r="AI86" i="6"/>
  <c r="Z86" i="6"/>
  <c r="T86" i="6"/>
  <c r="T85" i="6"/>
  <c r="AL84" i="6"/>
  <c r="AC84" i="6"/>
  <c r="Z84" i="6"/>
  <c r="T84" i="6"/>
  <c r="AI83" i="6"/>
  <c r="AB83" i="6"/>
  <c r="Z83" i="6"/>
  <c r="Z82" i="6"/>
  <c r="T82" i="6"/>
  <c r="AL81" i="6"/>
  <c r="AK81" i="6"/>
  <c r="AJ81" i="6"/>
  <c r="AI81" i="6"/>
  <c r="AH81" i="6"/>
  <c r="AG81" i="6"/>
  <c r="AF81" i="6"/>
  <c r="AE81" i="6"/>
  <c r="AD81" i="6"/>
  <c r="AC81" i="6"/>
  <c r="AA81" i="6"/>
  <c r="Z81" i="6"/>
  <c r="Y81" i="6"/>
  <c r="T81" i="6"/>
  <c r="Z80" i="6"/>
  <c r="T80" i="6"/>
  <c r="AB79" i="6"/>
  <c r="Z79" i="6"/>
  <c r="T79" i="6"/>
  <c r="AL78" i="6"/>
  <c r="AK78" i="6"/>
  <c r="AJ78" i="6"/>
  <c r="AI78" i="6"/>
  <c r="AH78" i="6"/>
  <c r="AG78" i="6"/>
  <c r="AF78" i="6"/>
  <c r="AE78" i="6"/>
  <c r="AC78" i="6"/>
  <c r="AB78" i="6"/>
  <c r="AA78" i="6"/>
  <c r="T78" i="6"/>
  <c r="E77" i="6"/>
  <c r="T77" i="6" s="1"/>
  <c r="AL38" i="6"/>
  <c r="AK38" i="6"/>
  <c r="AJ38" i="6"/>
  <c r="AI38" i="6"/>
  <c r="AH38" i="6"/>
  <c r="AG38" i="6"/>
  <c r="AF38" i="6"/>
  <c r="AE38" i="6"/>
  <c r="AD38" i="6"/>
  <c r="AC38" i="6"/>
  <c r="AB38" i="6"/>
  <c r="AA38" i="6"/>
  <c r="Z38" i="6"/>
  <c r="Y38" i="6"/>
  <c r="AV36" i="6"/>
  <c r="AT36" i="6"/>
  <c r="AV35" i="6"/>
  <c r="AT35" i="6"/>
  <c r="AV32" i="6"/>
  <c r="AT32" i="6"/>
  <c r="AV31" i="6"/>
  <c r="AT31" i="6"/>
  <c r="AV30" i="6"/>
  <c r="AT30" i="6"/>
  <c r="AM28" i="6"/>
  <c r="AM27" i="6"/>
  <c r="AV27" i="6" s="1"/>
  <c r="AM26" i="6"/>
  <c r="AV26" i="6" s="1"/>
  <c r="AV24" i="6"/>
  <c r="AT24" i="6"/>
  <c r="AV23" i="6"/>
  <c r="AT23" i="6"/>
  <c r="AV20" i="6"/>
  <c r="AT20" i="6"/>
  <c r="O19" i="6"/>
  <c r="H19" i="6"/>
  <c r="AV18" i="6"/>
  <c r="AV14" i="6"/>
  <c r="AT14" i="6"/>
  <c r="AL248" i="5"/>
  <c r="AL198" i="6" s="1"/>
  <c r="AK248" i="5"/>
  <c r="AK198" i="6" s="1"/>
  <c r="AJ248" i="5"/>
  <c r="AJ198" i="6" s="1"/>
  <c r="AI248" i="5"/>
  <c r="AI198" i="6" s="1"/>
  <c r="AH248" i="5"/>
  <c r="AH198" i="6" s="1"/>
  <c r="AG248" i="5"/>
  <c r="AG198" i="6" s="1"/>
  <c r="AF248" i="5"/>
  <c r="AF198" i="6" s="1"/>
  <c r="AE248" i="5"/>
  <c r="AE198" i="6" s="1"/>
  <c r="AD248" i="5"/>
  <c r="AD198" i="6" s="1"/>
  <c r="AC248" i="5"/>
  <c r="AC198" i="6" s="1"/>
  <c r="AB248" i="5"/>
  <c r="AB198" i="6" s="1"/>
  <c r="Z248" i="5"/>
  <c r="Z198" i="6" s="1"/>
  <c r="Y248" i="5"/>
  <c r="S248" i="5"/>
  <c r="AL247" i="5"/>
  <c r="AL168" i="6" s="1"/>
  <c r="AK247" i="5"/>
  <c r="AK168" i="6" s="1"/>
  <c r="AJ247" i="5"/>
  <c r="AJ168" i="6" s="1"/>
  <c r="AI247" i="5"/>
  <c r="AI168" i="6" s="1"/>
  <c r="AH247" i="5"/>
  <c r="AH168" i="6" s="1"/>
  <c r="AG247" i="5"/>
  <c r="AG168" i="6" s="1"/>
  <c r="AF247" i="5"/>
  <c r="AF168" i="6" s="1"/>
  <c r="AE247" i="5"/>
  <c r="AE168" i="6" s="1"/>
  <c r="AD247" i="5"/>
  <c r="AD168" i="6" s="1"/>
  <c r="AC247" i="5"/>
  <c r="AC168" i="6" s="1"/>
  <c r="AB247" i="5"/>
  <c r="AB168" i="6" s="1"/>
  <c r="AA247" i="5"/>
  <c r="AA168" i="6" s="1"/>
  <c r="Z247" i="5"/>
  <c r="Z168" i="6" s="1"/>
  <c r="Y247" i="5"/>
  <c r="S247" i="5"/>
  <c r="S246" i="5"/>
  <c r="AL244" i="5"/>
  <c r="AL197" i="6" s="1"/>
  <c r="AK244" i="5"/>
  <c r="AK197" i="6" s="1"/>
  <c r="AJ244" i="5"/>
  <c r="AJ197" i="6" s="1"/>
  <c r="AH244" i="5"/>
  <c r="AH197" i="6" s="1"/>
  <c r="AG244" i="5"/>
  <c r="AG197" i="6" s="1"/>
  <c r="AF244" i="5"/>
  <c r="AF197" i="6" s="1"/>
  <c r="AE244" i="5"/>
  <c r="AE197" i="6" s="1"/>
  <c r="AB244" i="5"/>
  <c r="AA244" i="5"/>
  <c r="AA197" i="6" s="1"/>
  <c r="Z244" i="5"/>
  <c r="Z197" i="6" s="1"/>
  <c r="S244" i="5"/>
  <c r="AL243" i="5"/>
  <c r="AL167" i="6" s="1"/>
  <c r="AK243" i="5"/>
  <c r="AK167" i="6" s="1"/>
  <c r="AJ243" i="5"/>
  <c r="AJ167" i="6" s="1"/>
  <c r="AI243" i="5"/>
  <c r="AI167" i="6" s="1"/>
  <c r="AH243" i="5"/>
  <c r="AH167" i="6" s="1"/>
  <c r="AG243" i="5"/>
  <c r="AG167" i="6" s="1"/>
  <c r="AF243" i="5"/>
  <c r="AF167" i="6" s="1"/>
  <c r="AE243" i="5"/>
  <c r="AE167" i="6" s="1"/>
  <c r="Z243" i="5"/>
  <c r="Z167" i="6" s="1"/>
  <c r="S243" i="5"/>
  <c r="S242" i="5"/>
  <c r="AL239" i="5"/>
  <c r="AL195" i="6" s="1"/>
  <c r="AJ239" i="5"/>
  <c r="AJ195" i="6" s="1"/>
  <c r="AI239" i="5"/>
  <c r="AI195" i="6" s="1"/>
  <c r="AH239" i="5"/>
  <c r="AH195" i="6" s="1"/>
  <c r="AG239" i="5"/>
  <c r="AG195" i="6" s="1"/>
  <c r="AF239" i="5"/>
  <c r="AF195" i="6" s="1"/>
  <c r="AE239" i="5"/>
  <c r="AE195" i="6" s="1"/>
  <c r="AD239" i="5"/>
  <c r="AD195" i="6" s="1"/>
  <c r="AC239" i="5"/>
  <c r="AC195" i="6" s="1"/>
  <c r="AB239" i="5"/>
  <c r="AB195" i="6" s="1"/>
  <c r="AA239" i="5"/>
  <c r="AA195" i="6" s="1"/>
  <c r="Z239" i="5"/>
  <c r="Z195" i="6" s="1"/>
  <c r="Y239" i="5"/>
  <c r="Y195" i="6" s="1"/>
  <c r="S239" i="5"/>
  <c r="AL238" i="5"/>
  <c r="AL165" i="6" s="1"/>
  <c r="AJ238" i="5"/>
  <c r="AJ165" i="6" s="1"/>
  <c r="AI238" i="5"/>
  <c r="AI165" i="6" s="1"/>
  <c r="AH238" i="5"/>
  <c r="AH165" i="6" s="1"/>
  <c r="AG238" i="5"/>
  <c r="AG165" i="6" s="1"/>
  <c r="AF238" i="5"/>
  <c r="AF165" i="6" s="1"/>
  <c r="AE238" i="5"/>
  <c r="AE165" i="6" s="1"/>
  <c r="AD238" i="5"/>
  <c r="AD165" i="6" s="1"/>
  <c r="AC238" i="5"/>
  <c r="AC165" i="6" s="1"/>
  <c r="AB238" i="5"/>
  <c r="AB165" i="6" s="1"/>
  <c r="AA238" i="5"/>
  <c r="AA165" i="6" s="1"/>
  <c r="Z238" i="5"/>
  <c r="Z165" i="6" s="1"/>
  <c r="Y238" i="5"/>
  <c r="Y165" i="6" s="1"/>
  <c r="S238" i="5"/>
  <c r="S237" i="5"/>
  <c r="AL194" i="6"/>
  <c r="AJ194" i="6"/>
  <c r="AI194" i="6"/>
  <c r="AH194" i="6"/>
  <c r="AG194" i="6"/>
  <c r="AF194" i="6"/>
  <c r="AE194" i="6"/>
  <c r="AD194" i="6"/>
  <c r="AC194" i="6"/>
  <c r="AB194" i="6"/>
  <c r="AA194" i="6"/>
  <c r="Z194" i="6"/>
  <c r="AL234" i="5"/>
  <c r="AL164" i="6" s="1"/>
  <c r="AK234" i="5"/>
  <c r="AK164" i="6" s="1"/>
  <c r="AJ234" i="5"/>
  <c r="AJ164" i="6" s="1"/>
  <c r="AI234" i="5"/>
  <c r="AI164" i="6" s="1"/>
  <c r="AH234" i="5"/>
  <c r="AH164" i="6" s="1"/>
  <c r="AG234" i="5"/>
  <c r="AG164" i="6" s="1"/>
  <c r="AF234" i="5"/>
  <c r="AF164" i="6" s="1"/>
  <c r="AE234" i="5"/>
  <c r="AE164" i="6" s="1"/>
  <c r="AD234" i="5"/>
  <c r="AD164" i="6" s="1"/>
  <c r="AC234" i="5"/>
  <c r="AC164" i="6" s="1"/>
  <c r="AA234" i="5"/>
  <c r="AA164" i="6" s="1"/>
  <c r="Z234" i="5"/>
  <c r="Z164" i="6" s="1"/>
  <c r="S234" i="5"/>
  <c r="S233" i="5"/>
  <c r="AL231" i="5"/>
  <c r="AL193" i="6" s="1"/>
  <c r="AK231" i="5"/>
  <c r="AK193" i="6" s="1"/>
  <c r="AJ231" i="5"/>
  <c r="AJ193" i="6" s="1"/>
  <c r="AH231" i="5"/>
  <c r="AH193" i="6" s="1"/>
  <c r="AG231" i="5"/>
  <c r="AG193" i="6" s="1"/>
  <c r="AF231" i="5"/>
  <c r="AF193" i="6" s="1"/>
  <c r="AE231" i="5"/>
  <c r="AE193" i="6" s="1"/>
  <c r="AD231" i="5"/>
  <c r="AD193" i="6" s="1"/>
  <c r="AC231" i="5"/>
  <c r="AC193" i="6" s="1"/>
  <c r="AB231" i="5"/>
  <c r="AB193" i="6" s="1"/>
  <c r="AA231" i="5"/>
  <c r="AA193" i="6" s="1"/>
  <c r="Z231" i="5"/>
  <c r="Z193" i="6" s="1"/>
  <c r="Y231" i="5"/>
  <c r="Y193" i="6" s="1"/>
  <c r="S231" i="5"/>
  <c r="AL230" i="5"/>
  <c r="AL163" i="6" s="1"/>
  <c r="AK230" i="5"/>
  <c r="AK163" i="6" s="1"/>
  <c r="AJ230" i="5"/>
  <c r="AJ163" i="6" s="1"/>
  <c r="AH230" i="5"/>
  <c r="AH163" i="6" s="1"/>
  <c r="AG230" i="5"/>
  <c r="AG163" i="6" s="1"/>
  <c r="AF230" i="5"/>
  <c r="AF163" i="6" s="1"/>
  <c r="AE230" i="5"/>
  <c r="AE163" i="6" s="1"/>
  <c r="AD230" i="5"/>
  <c r="AD163" i="6" s="1"/>
  <c r="AB230" i="5"/>
  <c r="AB163" i="6" s="1"/>
  <c r="Z230" i="5"/>
  <c r="Z163" i="6" s="1"/>
  <c r="Y230" i="5"/>
  <c r="Y163" i="6" s="1"/>
  <c r="S230" i="5"/>
  <c r="S229" i="5"/>
  <c r="AL227" i="5"/>
  <c r="AL192" i="6" s="1"/>
  <c r="AK227" i="5"/>
  <c r="AK192" i="6" s="1"/>
  <c r="AJ227" i="5"/>
  <c r="AJ192" i="6" s="1"/>
  <c r="AI227" i="5"/>
  <c r="AI192" i="6" s="1"/>
  <c r="AH227" i="5"/>
  <c r="AH192" i="6" s="1"/>
  <c r="AG227" i="5"/>
  <c r="AG192" i="6" s="1"/>
  <c r="AF227" i="5"/>
  <c r="AF192" i="6" s="1"/>
  <c r="AE227" i="5"/>
  <c r="AE192" i="6" s="1"/>
  <c r="AD227" i="5"/>
  <c r="AD192" i="6" s="1"/>
  <c r="Z227" i="5"/>
  <c r="Z192" i="6" s="1"/>
  <c r="Y227" i="5"/>
  <c r="Y192" i="6" s="1"/>
  <c r="S227" i="5"/>
  <c r="AL226" i="5"/>
  <c r="AL162" i="6" s="1"/>
  <c r="AK226" i="5"/>
  <c r="AK162" i="6" s="1"/>
  <c r="AJ226" i="5"/>
  <c r="AJ162" i="6" s="1"/>
  <c r="AH226" i="5"/>
  <c r="AH162" i="6" s="1"/>
  <c r="AG226" i="5"/>
  <c r="AG162" i="6" s="1"/>
  <c r="AF226" i="5"/>
  <c r="AF162" i="6" s="1"/>
  <c r="AE226" i="5"/>
  <c r="AE162" i="6" s="1"/>
  <c r="AD226" i="5"/>
  <c r="AD162" i="6" s="1"/>
  <c r="AA226" i="5"/>
  <c r="AA162" i="6" s="1"/>
  <c r="Z226" i="5"/>
  <c r="Z162" i="6" s="1"/>
  <c r="S226" i="5"/>
  <c r="S225" i="5"/>
  <c r="AL222" i="5"/>
  <c r="AL190" i="6" s="1"/>
  <c r="AK222" i="5"/>
  <c r="AK190" i="6" s="1"/>
  <c r="AJ222" i="5"/>
  <c r="AJ190" i="6" s="1"/>
  <c r="AH222" i="5"/>
  <c r="AH190" i="6" s="1"/>
  <c r="AG222" i="5"/>
  <c r="AG190" i="6" s="1"/>
  <c r="AF222" i="5"/>
  <c r="AF190" i="6" s="1"/>
  <c r="AE222" i="5"/>
  <c r="AE190" i="6" s="1"/>
  <c r="AD222" i="5"/>
  <c r="AD190" i="6" s="1"/>
  <c r="Z222" i="5"/>
  <c r="Z190" i="6" s="1"/>
  <c r="S222" i="5"/>
  <c r="AL221" i="5"/>
  <c r="AL160" i="6" s="1"/>
  <c r="AK221" i="5"/>
  <c r="AK160" i="6" s="1"/>
  <c r="AJ221" i="5"/>
  <c r="AJ160" i="6" s="1"/>
  <c r="AH221" i="5"/>
  <c r="AH160" i="6" s="1"/>
  <c r="AG221" i="5"/>
  <c r="AG160" i="6" s="1"/>
  <c r="AF221" i="5"/>
  <c r="AF160" i="6" s="1"/>
  <c r="AE221" i="5"/>
  <c r="AE160" i="6" s="1"/>
  <c r="AD221" i="5"/>
  <c r="AD160" i="6" s="1"/>
  <c r="AA221" i="5"/>
  <c r="AA160" i="6" s="1"/>
  <c r="Z221" i="5"/>
  <c r="Z160" i="6" s="1"/>
  <c r="S221" i="5"/>
  <c r="S220" i="5"/>
  <c r="AL218" i="5"/>
  <c r="AL189" i="6" s="1"/>
  <c r="AK218" i="5"/>
  <c r="AK189" i="6" s="1"/>
  <c r="AJ218" i="5"/>
  <c r="AJ189" i="6" s="1"/>
  <c r="AI218" i="5"/>
  <c r="AI189" i="6" s="1"/>
  <c r="AH218" i="5"/>
  <c r="AH189" i="6" s="1"/>
  <c r="AG218" i="5"/>
  <c r="AG189" i="6" s="1"/>
  <c r="AF218" i="5"/>
  <c r="AF189" i="6" s="1"/>
  <c r="AE218" i="5"/>
  <c r="AE189" i="6" s="1"/>
  <c r="AD218" i="5"/>
  <c r="AD189" i="6" s="1"/>
  <c r="AC218" i="5"/>
  <c r="AC189" i="6" s="1"/>
  <c r="AB218" i="5"/>
  <c r="AB189" i="6" s="1"/>
  <c r="AA218" i="5"/>
  <c r="AA189" i="6" s="1"/>
  <c r="Z218" i="5"/>
  <c r="Z189" i="6" s="1"/>
  <c r="Y218" i="5"/>
  <c r="Y189" i="6" s="1"/>
  <c r="S218" i="5"/>
  <c r="AL217" i="5"/>
  <c r="AL159" i="6" s="1"/>
  <c r="AK217" i="5"/>
  <c r="AK159" i="6" s="1"/>
  <c r="AJ217" i="5"/>
  <c r="AJ159" i="6" s="1"/>
  <c r="AI217" i="5"/>
  <c r="AI159" i="6" s="1"/>
  <c r="AH217" i="5"/>
  <c r="AH159" i="6" s="1"/>
  <c r="AG217" i="5"/>
  <c r="AG159" i="6" s="1"/>
  <c r="AF217" i="5"/>
  <c r="AF159" i="6" s="1"/>
  <c r="AE217" i="5"/>
  <c r="AE159" i="6" s="1"/>
  <c r="AD217" i="5"/>
  <c r="AD159" i="6" s="1"/>
  <c r="AC217" i="5"/>
  <c r="AC159" i="6" s="1"/>
  <c r="AB217" i="5"/>
  <c r="AB159" i="6" s="1"/>
  <c r="AA217" i="5"/>
  <c r="AA159" i="6" s="1"/>
  <c r="Z217" i="5"/>
  <c r="Z159" i="6" s="1"/>
  <c r="Y217" i="5"/>
  <c r="Y159" i="6" s="1"/>
  <c r="S217" i="5"/>
  <c r="S216" i="5"/>
  <c r="AL214" i="5"/>
  <c r="AL188" i="6" s="1"/>
  <c r="AK214" i="5"/>
  <c r="AK188" i="6" s="1"/>
  <c r="AJ214" i="5"/>
  <c r="AJ188" i="6" s="1"/>
  <c r="AH214" i="5"/>
  <c r="AH188" i="6" s="1"/>
  <c r="AG214" i="5"/>
  <c r="AG188" i="6" s="1"/>
  <c r="AF214" i="5"/>
  <c r="AF188" i="6" s="1"/>
  <c r="AE214" i="5"/>
  <c r="AE188" i="6" s="1"/>
  <c r="AD214" i="5"/>
  <c r="AD188" i="6" s="1"/>
  <c r="AC214" i="5"/>
  <c r="AC188" i="6" s="1"/>
  <c r="AB214" i="5"/>
  <c r="AB188" i="6" s="1"/>
  <c r="Z214" i="5"/>
  <c r="Z188" i="6" s="1"/>
  <c r="Y214" i="5"/>
  <c r="Y188" i="6" s="1"/>
  <c r="S214" i="5"/>
  <c r="AL213" i="5"/>
  <c r="AL158" i="6" s="1"/>
  <c r="AK213" i="5"/>
  <c r="AK158" i="6" s="1"/>
  <c r="AJ213" i="5"/>
  <c r="AJ158" i="6" s="1"/>
  <c r="AH213" i="5"/>
  <c r="AH158" i="6" s="1"/>
  <c r="AG213" i="5"/>
  <c r="AG158" i="6" s="1"/>
  <c r="AF213" i="5"/>
  <c r="AF158" i="6" s="1"/>
  <c r="AE213" i="5"/>
  <c r="AE158" i="6" s="1"/>
  <c r="AB213" i="5"/>
  <c r="AB158" i="6" s="1"/>
  <c r="Z213" i="5"/>
  <c r="Z158" i="6" s="1"/>
  <c r="S213" i="5"/>
  <c r="S212" i="5"/>
  <c r="AL209" i="5"/>
  <c r="AL186" i="6" s="1"/>
  <c r="AJ209" i="5"/>
  <c r="AJ186" i="6" s="1"/>
  <c r="AH209" i="5"/>
  <c r="AH186" i="6" s="1"/>
  <c r="AG209" i="5"/>
  <c r="AG186" i="6" s="1"/>
  <c r="AF209" i="5"/>
  <c r="AF186" i="6" s="1"/>
  <c r="AE209" i="5"/>
  <c r="AE186" i="6" s="1"/>
  <c r="AD209" i="5"/>
  <c r="AD186" i="6" s="1"/>
  <c r="AC209" i="5"/>
  <c r="AC186" i="6" s="1"/>
  <c r="AA209" i="5"/>
  <c r="AA186" i="6" s="1"/>
  <c r="Z209" i="5"/>
  <c r="Z186" i="6" s="1"/>
  <c r="S209" i="5"/>
  <c r="AL208" i="5"/>
  <c r="AL156" i="6" s="1"/>
  <c r="AJ208" i="5"/>
  <c r="AJ156" i="6" s="1"/>
  <c r="AH208" i="5"/>
  <c r="AH156" i="6" s="1"/>
  <c r="AG208" i="5"/>
  <c r="AG156" i="6" s="1"/>
  <c r="AF208" i="5"/>
  <c r="AF156" i="6" s="1"/>
  <c r="AE208" i="5"/>
  <c r="AE156" i="6" s="1"/>
  <c r="AD208" i="5"/>
  <c r="AD156" i="6" s="1"/>
  <c r="AC208" i="5"/>
  <c r="AC156" i="6" s="1"/>
  <c r="Z208" i="5"/>
  <c r="Z156" i="6" s="1"/>
  <c r="S208" i="5"/>
  <c r="AK209" i="5"/>
  <c r="AK186" i="6" s="1"/>
  <c r="AB208" i="5"/>
  <c r="AB156" i="6" s="1"/>
  <c r="S207" i="5"/>
  <c r="AJ205" i="5"/>
  <c r="AJ185" i="6" s="1"/>
  <c r="AH205" i="5"/>
  <c r="AH185" i="6" s="1"/>
  <c r="AG205" i="5"/>
  <c r="AG185" i="6" s="1"/>
  <c r="AF205" i="5"/>
  <c r="AF185" i="6" s="1"/>
  <c r="AE205" i="5"/>
  <c r="AE185" i="6" s="1"/>
  <c r="AD205" i="5"/>
  <c r="AD185" i="6" s="1"/>
  <c r="AA205" i="5"/>
  <c r="AA185" i="6" s="1"/>
  <c r="Z205" i="5"/>
  <c r="Z185" i="6" s="1"/>
  <c r="Y205" i="5"/>
  <c r="Y185" i="6" s="1"/>
  <c r="S205" i="5"/>
  <c r="AJ204" i="5"/>
  <c r="AJ155" i="6" s="1"/>
  <c r="AH204" i="5"/>
  <c r="AH155" i="6" s="1"/>
  <c r="AG204" i="5"/>
  <c r="AG155" i="6" s="1"/>
  <c r="AF204" i="5"/>
  <c r="AF155" i="6" s="1"/>
  <c r="AE204" i="5"/>
  <c r="AE155" i="6" s="1"/>
  <c r="AD204" i="5"/>
  <c r="AD155" i="6" s="1"/>
  <c r="AC204" i="5"/>
  <c r="AC155" i="6" s="1"/>
  <c r="Z204" i="5"/>
  <c r="Z155" i="6" s="1"/>
  <c r="Y204" i="5"/>
  <c r="Y155" i="6" s="1"/>
  <c r="S204" i="5"/>
  <c r="S203" i="5"/>
  <c r="AL201" i="5"/>
  <c r="AL184" i="6" s="1"/>
  <c r="AK201" i="5"/>
  <c r="AK184" i="6" s="1"/>
  <c r="AJ201" i="5"/>
  <c r="AJ184" i="6" s="1"/>
  <c r="AH201" i="5"/>
  <c r="AH184" i="6" s="1"/>
  <c r="AG201" i="5"/>
  <c r="AG184" i="6" s="1"/>
  <c r="AF201" i="5"/>
  <c r="AF184" i="6" s="1"/>
  <c r="AE201" i="5"/>
  <c r="AE184" i="6" s="1"/>
  <c r="AD201" i="5"/>
  <c r="AD184" i="6" s="1"/>
  <c r="AC201" i="5"/>
  <c r="AC184" i="6" s="1"/>
  <c r="AB201" i="5"/>
  <c r="AB184" i="6" s="1"/>
  <c r="AA201" i="5"/>
  <c r="AA184" i="6" s="1"/>
  <c r="Z201" i="5"/>
  <c r="Z184" i="6" s="1"/>
  <c r="Y201" i="5"/>
  <c r="Y184" i="6" s="1"/>
  <c r="S201" i="5"/>
  <c r="AL200" i="5"/>
  <c r="AL154" i="6" s="1"/>
  <c r="AK200" i="5"/>
  <c r="AK154" i="6" s="1"/>
  <c r="AJ200" i="5"/>
  <c r="AJ154" i="6" s="1"/>
  <c r="AI200" i="5"/>
  <c r="AH200" i="5"/>
  <c r="AH154" i="6" s="1"/>
  <c r="AG200" i="5"/>
  <c r="AG154" i="6" s="1"/>
  <c r="AF200" i="5"/>
  <c r="AF154" i="6" s="1"/>
  <c r="AE200" i="5"/>
  <c r="AE154" i="6" s="1"/>
  <c r="AD200" i="5"/>
  <c r="AD154" i="6" s="1"/>
  <c r="AC200" i="5"/>
  <c r="AC154" i="6" s="1"/>
  <c r="AB200" i="5"/>
  <c r="AB154" i="6" s="1"/>
  <c r="AA200" i="5"/>
  <c r="AA154" i="6" s="1"/>
  <c r="Z200" i="5"/>
  <c r="Z154" i="6" s="1"/>
  <c r="Y200" i="5"/>
  <c r="Y154" i="6" s="1"/>
  <c r="S200" i="5"/>
  <c r="S199" i="5"/>
  <c r="AL196" i="5"/>
  <c r="AL182" i="6" s="1"/>
  <c r="AK196" i="5"/>
  <c r="AK182" i="6" s="1"/>
  <c r="AJ196" i="5"/>
  <c r="AJ182" i="6" s="1"/>
  <c r="AH196" i="5"/>
  <c r="AH182" i="6" s="1"/>
  <c r="AG196" i="5"/>
  <c r="AG182" i="6" s="1"/>
  <c r="AF196" i="5"/>
  <c r="AF182" i="6" s="1"/>
  <c r="AE196" i="5"/>
  <c r="AE182" i="6" s="1"/>
  <c r="AD196" i="5"/>
  <c r="AD182" i="6" s="1"/>
  <c r="AC196" i="5"/>
  <c r="AC182" i="6" s="1"/>
  <c r="AB196" i="5"/>
  <c r="AB182" i="6" s="1"/>
  <c r="AA196" i="5"/>
  <c r="AA182" i="6" s="1"/>
  <c r="Z196" i="5"/>
  <c r="Z182" i="6" s="1"/>
  <c r="Y196" i="5"/>
  <c r="S196" i="5"/>
  <c r="AL195" i="5"/>
  <c r="AL152" i="6" s="1"/>
  <c r="AK195" i="5"/>
  <c r="AK152" i="6" s="1"/>
  <c r="AJ195" i="5"/>
  <c r="AJ152" i="6" s="1"/>
  <c r="AH195" i="5"/>
  <c r="AH152" i="6" s="1"/>
  <c r="AG195" i="5"/>
  <c r="AG152" i="6" s="1"/>
  <c r="AF195" i="5"/>
  <c r="AF152" i="6" s="1"/>
  <c r="AE195" i="5"/>
  <c r="AE152" i="6" s="1"/>
  <c r="AD195" i="5"/>
  <c r="AD152" i="6" s="1"/>
  <c r="AC195" i="5"/>
  <c r="AC152" i="6" s="1"/>
  <c r="Z195" i="5"/>
  <c r="Z152" i="6" s="1"/>
  <c r="Y195" i="5"/>
  <c r="Y152" i="6" s="1"/>
  <c r="S195" i="5"/>
  <c r="AI195" i="5"/>
  <c r="S194" i="5"/>
  <c r="AL192" i="5"/>
  <c r="AL181" i="6" s="1"/>
  <c r="AK192" i="5"/>
  <c r="AK181" i="6" s="1"/>
  <c r="AJ192" i="5"/>
  <c r="AJ181" i="6" s="1"/>
  <c r="AH192" i="5"/>
  <c r="AH181" i="6" s="1"/>
  <c r="AG192" i="5"/>
  <c r="AG181" i="6" s="1"/>
  <c r="AF192" i="5"/>
  <c r="AF181" i="6" s="1"/>
  <c r="AE192" i="5"/>
  <c r="AE181" i="6" s="1"/>
  <c r="AD192" i="5"/>
  <c r="AD181" i="6" s="1"/>
  <c r="AC192" i="5"/>
  <c r="AC181" i="6" s="1"/>
  <c r="Z192" i="5"/>
  <c r="Y192" i="5"/>
  <c r="Y181" i="6" s="1"/>
  <c r="S192" i="5"/>
  <c r="AL191" i="5"/>
  <c r="AL151" i="6" s="1"/>
  <c r="AK191" i="5"/>
  <c r="AK151" i="6" s="1"/>
  <c r="AJ191" i="5"/>
  <c r="AJ151" i="6" s="1"/>
  <c r="AH191" i="5"/>
  <c r="AH151" i="6" s="1"/>
  <c r="AG191" i="5"/>
  <c r="AG151" i="6" s="1"/>
  <c r="AF191" i="5"/>
  <c r="AF151" i="6" s="1"/>
  <c r="AE191" i="5"/>
  <c r="AE151" i="6" s="1"/>
  <c r="AD191" i="5"/>
  <c r="AD151" i="6" s="1"/>
  <c r="AC191" i="5"/>
  <c r="AC151" i="6" s="1"/>
  <c r="Z191" i="5"/>
  <c r="Z151" i="6" s="1"/>
  <c r="Y191" i="5"/>
  <c r="Y151" i="6" s="1"/>
  <c r="S191" i="5"/>
  <c r="AB191" i="5"/>
  <c r="AA191" i="5"/>
  <c r="S190" i="5"/>
  <c r="AL188" i="5"/>
  <c r="AL180" i="6" s="1"/>
  <c r="AK188" i="5"/>
  <c r="AK180" i="6" s="1"/>
  <c r="AJ188" i="5"/>
  <c r="AJ180" i="6" s="1"/>
  <c r="AI188" i="5"/>
  <c r="AI180" i="6" s="1"/>
  <c r="AH188" i="5"/>
  <c r="AH180" i="6" s="1"/>
  <c r="AG188" i="5"/>
  <c r="AG180" i="6" s="1"/>
  <c r="AF188" i="5"/>
  <c r="AF180" i="6" s="1"/>
  <c r="AE188" i="5"/>
  <c r="AE180" i="6" s="1"/>
  <c r="AD188" i="5"/>
  <c r="AD180" i="6" s="1"/>
  <c r="AC188" i="5"/>
  <c r="AC180" i="6" s="1"/>
  <c r="AB188" i="5"/>
  <c r="AB180" i="6" s="1"/>
  <c r="AA188" i="5"/>
  <c r="AA180" i="6" s="1"/>
  <c r="Z188" i="5"/>
  <c r="Y188" i="5"/>
  <c r="Y180" i="6" s="1"/>
  <c r="S188" i="5"/>
  <c r="AL187" i="5"/>
  <c r="AL150" i="6" s="1"/>
  <c r="AK187" i="5"/>
  <c r="AK150" i="6" s="1"/>
  <c r="AJ187" i="5"/>
  <c r="AJ150" i="6" s="1"/>
  <c r="AI187" i="5"/>
  <c r="AI150" i="6" s="1"/>
  <c r="AH187" i="5"/>
  <c r="AH150" i="6" s="1"/>
  <c r="AG187" i="5"/>
  <c r="AG150" i="6" s="1"/>
  <c r="AF187" i="5"/>
  <c r="AF150" i="6" s="1"/>
  <c r="AE187" i="5"/>
  <c r="AE150" i="6" s="1"/>
  <c r="AD187" i="5"/>
  <c r="AD150" i="6" s="1"/>
  <c r="AC187" i="5"/>
  <c r="AC150" i="6" s="1"/>
  <c r="AB187" i="5"/>
  <c r="AB150" i="6" s="1"/>
  <c r="AA187" i="5"/>
  <c r="AA150" i="6" s="1"/>
  <c r="Z187" i="5"/>
  <c r="Z150" i="6" s="1"/>
  <c r="Y187" i="5"/>
  <c r="Y150" i="6" s="1"/>
  <c r="S187" i="5"/>
  <c r="S186" i="5"/>
  <c r="R184" i="5"/>
  <c r="Q184" i="5"/>
  <c r="P184" i="5"/>
  <c r="O184" i="5"/>
  <c r="N184" i="5"/>
  <c r="M184" i="5"/>
  <c r="L184" i="5"/>
  <c r="K184" i="5"/>
  <c r="J184" i="5"/>
  <c r="I184" i="5"/>
  <c r="H184" i="5"/>
  <c r="G184" i="5"/>
  <c r="F184" i="5"/>
  <c r="E184" i="5"/>
  <c r="R183" i="5"/>
  <c r="Q183" i="5"/>
  <c r="P183" i="5"/>
  <c r="O183" i="5"/>
  <c r="N183" i="5"/>
  <c r="M183" i="5"/>
  <c r="L183" i="5"/>
  <c r="K183" i="5"/>
  <c r="J183" i="5"/>
  <c r="I183" i="5"/>
  <c r="H183" i="5"/>
  <c r="G183" i="5"/>
  <c r="F183" i="5"/>
  <c r="E183" i="5"/>
  <c r="AL183" i="5"/>
  <c r="AL149" i="6" s="1"/>
  <c r="AK183" i="5"/>
  <c r="AJ183" i="5"/>
  <c r="AI183" i="5"/>
  <c r="AH183" i="5"/>
  <c r="AG183" i="5"/>
  <c r="AF183" i="5"/>
  <c r="AF149" i="6" s="1"/>
  <c r="AE183" i="5"/>
  <c r="AD183" i="5"/>
  <c r="AD149" i="6" s="1"/>
  <c r="AC183" i="5"/>
  <c r="AC149" i="6" s="1"/>
  <c r="AB183" i="5"/>
  <c r="AA183" i="5"/>
  <c r="Z183" i="5"/>
  <c r="Z149" i="6" s="1"/>
  <c r="Y183" i="5"/>
  <c r="S180" i="5"/>
  <c r="S179" i="5"/>
  <c r="S178" i="5"/>
  <c r="AL176" i="5"/>
  <c r="AL177" i="6" s="1"/>
  <c r="AK176" i="5"/>
  <c r="AK177" i="6" s="1"/>
  <c r="AJ176" i="5"/>
  <c r="AJ177" i="6" s="1"/>
  <c r="AH176" i="5"/>
  <c r="AH177" i="6" s="1"/>
  <c r="AG176" i="5"/>
  <c r="AG177" i="6" s="1"/>
  <c r="AF176" i="5"/>
  <c r="AF177" i="6" s="1"/>
  <c r="AE176" i="5"/>
  <c r="AE177" i="6" s="1"/>
  <c r="AD176" i="5"/>
  <c r="AD177" i="6" s="1"/>
  <c r="AA176" i="5"/>
  <c r="AA177" i="6" s="1"/>
  <c r="Z176" i="5"/>
  <c r="Z177" i="6" s="1"/>
  <c r="S176" i="5"/>
  <c r="AL175" i="5"/>
  <c r="AL147" i="6" s="1"/>
  <c r="AK175" i="5"/>
  <c r="AK147" i="6" s="1"/>
  <c r="AJ175" i="5"/>
  <c r="AJ147" i="6" s="1"/>
  <c r="AI175" i="5"/>
  <c r="AI147" i="6" s="1"/>
  <c r="AH175" i="5"/>
  <c r="AH147" i="6" s="1"/>
  <c r="AG175" i="5"/>
  <c r="AG147" i="6" s="1"/>
  <c r="AF175" i="5"/>
  <c r="AF147" i="6" s="1"/>
  <c r="AE175" i="5"/>
  <c r="AE147" i="6" s="1"/>
  <c r="AD175" i="5"/>
  <c r="AD147" i="6" s="1"/>
  <c r="AA175" i="5"/>
  <c r="AA147" i="6" s="1"/>
  <c r="Z175" i="5"/>
  <c r="Z147" i="6" s="1"/>
  <c r="Y175" i="5"/>
  <c r="Y147" i="6" s="1"/>
  <c r="S175" i="5"/>
  <c r="AB175" i="5"/>
  <c r="S174" i="5"/>
  <c r="AK172" i="5"/>
  <c r="AK176" i="6" s="1"/>
  <c r="AJ172" i="5"/>
  <c r="AJ176" i="6" s="1"/>
  <c r="AH172" i="5"/>
  <c r="AH176" i="6" s="1"/>
  <c r="AG172" i="5"/>
  <c r="AG176" i="6" s="1"/>
  <c r="AF172" i="5"/>
  <c r="AF176" i="6" s="1"/>
  <c r="AE172" i="5"/>
  <c r="AE176" i="6" s="1"/>
  <c r="AD172" i="5"/>
  <c r="AD176" i="6" s="1"/>
  <c r="AC172" i="5"/>
  <c r="AC176" i="6" s="1"/>
  <c r="AA172" i="5"/>
  <c r="AA176" i="6" s="1"/>
  <c r="S172" i="5"/>
  <c r="AM146" i="6"/>
  <c r="AL171" i="5"/>
  <c r="AL146" i="6" s="1"/>
  <c r="AK171" i="5"/>
  <c r="AK146" i="6" s="1"/>
  <c r="AJ171" i="5"/>
  <c r="AJ146" i="6" s="1"/>
  <c r="AH171" i="5"/>
  <c r="AH146" i="6" s="1"/>
  <c r="AG171" i="5"/>
  <c r="AG146" i="6" s="1"/>
  <c r="AF171" i="5"/>
  <c r="AF146" i="6" s="1"/>
  <c r="AE171" i="5"/>
  <c r="AE146" i="6" s="1"/>
  <c r="AD171" i="5"/>
  <c r="AD146" i="6" s="1"/>
  <c r="AC171" i="5"/>
  <c r="AC146" i="6" s="1"/>
  <c r="AA171" i="5"/>
  <c r="AA146" i="6" s="1"/>
  <c r="S171" i="5"/>
  <c r="AB171" i="5"/>
  <c r="AB146" i="6" s="1"/>
  <c r="Z171" i="5"/>
  <c r="Z146" i="6" s="1"/>
  <c r="Y171" i="5"/>
  <c r="S170" i="5"/>
  <c r="AL130" i="6"/>
  <c r="AK130" i="6"/>
  <c r="AJ130" i="6"/>
  <c r="AI130" i="6"/>
  <c r="AH130" i="6"/>
  <c r="AG130" i="6"/>
  <c r="AF130" i="6"/>
  <c r="AE130" i="6"/>
  <c r="AD130" i="6"/>
  <c r="AC130" i="6"/>
  <c r="AA130" i="6"/>
  <c r="Y130" i="6"/>
  <c r="AL100" i="6"/>
  <c r="AK100" i="6"/>
  <c r="AJ100" i="6"/>
  <c r="AI100" i="6"/>
  <c r="AH100" i="6"/>
  <c r="AF100" i="6"/>
  <c r="AE100" i="6"/>
  <c r="AD100" i="6"/>
  <c r="AC100" i="6"/>
  <c r="AA100" i="6"/>
  <c r="AL129" i="6"/>
  <c r="AJ129" i="6"/>
  <c r="AH129" i="6"/>
  <c r="AF129" i="6"/>
  <c r="AE129" i="6"/>
  <c r="AA129" i="6"/>
  <c r="Z129" i="6"/>
  <c r="Y129" i="6"/>
  <c r="AL99" i="6"/>
  <c r="AK99" i="6"/>
  <c r="AJ99" i="6"/>
  <c r="AH99" i="6"/>
  <c r="AF99" i="6"/>
  <c r="AE99" i="6"/>
  <c r="AD99" i="6"/>
  <c r="AA99" i="6"/>
  <c r="Y99" i="6"/>
  <c r="AK127" i="6"/>
  <c r="AJ127" i="6"/>
  <c r="AI127" i="6"/>
  <c r="AH127" i="6"/>
  <c r="AG127" i="6"/>
  <c r="AF127" i="6"/>
  <c r="AE127" i="6"/>
  <c r="AD127" i="6"/>
  <c r="AC127" i="6"/>
  <c r="AB127" i="6"/>
  <c r="Y127" i="6"/>
  <c r="AK97" i="6"/>
  <c r="AJ97" i="6"/>
  <c r="AI97" i="6"/>
  <c r="AH97" i="6"/>
  <c r="AG97" i="6"/>
  <c r="AF97" i="6"/>
  <c r="AE97" i="6"/>
  <c r="AD97" i="6"/>
  <c r="AC97" i="6"/>
  <c r="AB97" i="6"/>
  <c r="Y97" i="6"/>
  <c r="AL126" i="6"/>
  <c r="AH126" i="6"/>
  <c r="AG126" i="6"/>
  <c r="AF126" i="6"/>
  <c r="AE126" i="6"/>
  <c r="AD126" i="6"/>
  <c r="AC126" i="6"/>
  <c r="Y126" i="6"/>
  <c r="AL96" i="6"/>
  <c r="AH96" i="6"/>
  <c r="AG96" i="6"/>
  <c r="AF96" i="6"/>
  <c r="AD96" i="6"/>
  <c r="AC96" i="6"/>
  <c r="AA96" i="6"/>
  <c r="Y96" i="6"/>
  <c r="AL125" i="6"/>
  <c r="AK125" i="6"/>
  <c r="AJ125" i="6"/>
  <c r="AH125" i="6"/>
  <c r="AF125" i="6"/>
  <c r="AE125" i="6"/>
  <c r="AD125" i="6"/>
  <c r="AC125" i="6"/>
  <c r="Y125" i="6"/>
  <c r="AK95" i="6"/>
  <c r="AI95" i="6"/>
  <c r="AH95" i="6"/>
  <c r="AG95" i="6"/>
  <c r="AF95" i="6"/>
  <c r="AE95" i="6"/>
  <c r="AD95" i="6"/>
  <c r="AC95" i="6"/>
  <c r="Y95" i="6"/>
  <c r="AL124" i="6"/>
  <c r="AK124" i="6"/>
  <c r="AJ124" i="6"/>
  <c r="AI124" i="6"/>
  <c r="AH124" i="6"/>
  <c r="AG124" i="6"/>
  <c r="AF124" i="6"/>
  <c r="AE124" i="6"/>
  <c r="AD124" i="6"/>
  <c r="AC124" i="6"/>
  <c r="AB124" i="6"/>
  <c r="AA124" i="6"/>
  <c r="Y124" i="6"/>
  <c r="AL94" i="6"/>
  <c r="AK94" i="6"/>
  <c r="AJ94" i="6"/>
  <c r="AI94" i="6"/>
  <c r="AH94" i="6"/>
  <c r="AG94" i="6"/>
  <c r="AF94" i="6"/>
  <c r="AE94" i="6"/>
  <c r="AD94" i="6"/>
  <c r="AC94" i="6"/>
  <c r="AB94" i="6"/>
  <c r="AA94" i="6"/>
  <c r="Y94" i="6"/>
  <c r="AL122" i="6"/>
  <c r="AK122" i="6"/>
  <c r="AJ122" i="6"/>
  <c r="AI122" i="6"/>
  <c r="AH122" i="6"/>
  <c r="AG122" i="6"/>
  <c r="AF122" i="6"/>
  <c r="AE122" i="6"/>
  <c r="AD122" i="6"/>
  <c r="AC122" i="6"/>
  <c r="AA122" i="6"/>
  <c r="Y122" i="6"/>
  <c r="AL92" i="6"/>
  <c r="AK92" i="6"/>
  <c r="AI92" i="6"/>
  <c r="AH92" i="6"/>
  <c r="AG92" i="6"/>
  <c r="AF92" i="6"/>
  <c r="AE92" i="6"/>
  <c r="AD92" i="6"/>
  <c r="AA92" i="6"/>
  <c r="Y92" i="6"/>
  <c r="AL121" i="6"/>
  <c r="AK121" i="6"/>
  <c r="AJ121" i="6"/>
  <c r="AI121" i="6"/>
  <c r="AH121" i="6"/>
  <c r="AG121" i="6"/>
  <c r="AF121" i="6"/>
  <c r="AE121" i="6"/>
  <c r="AD121" i="6"/>
  <c r="AC121" i="6"/>
  <c r="AB121" i="6"/>
  <c r="AA121" i="6"/>
  <c r="Y121" i="6"/>
  <c r="AL91" i="6"/>
  <c r="AK91" i="6"/>
  <c r="AJ91" i="6"/>
  <c r="AI91" i="6"/>
  <c r="AH91" i="6"/>
  <c r="AG91" i="6"/>
  <c r="AF91" i="6"/>
  <c r="AE91" i="6"/>
  <c r="AD91" i="6"/>
  <c r="AC91" i="6"/>
  <c r="AB91" i="6"/>
  <c r="AA91" i="6"/>
  <c r="Y91" i="6"/>
  <c r="AL120" i="6"/>
  <c r="AJ120" i="6"/>
  <c r="AH120" i="6"/>
  <c r="AG120" i="6"/>
  <c r="AF120" i="6"/>
  <c r="AE120" i="6"/>
  <c r="Y120" i="6"/>
  <c r="AL90" i="6"/>
  <c r="AJ90" i="6"/>
  <c r="AH90" i="6"/>
  <c r="AG90" i="6"/>
  <c r="AF90" i="6"/>
  <c r="AL118" i="6"/>
  <c r="AJ118" i="6"/>
  <c r="AI118" i="6"/>
  <c r="AF118" i="6"/>
  <c r="AE118" i="6"/>
  <c r="AD118" i="6"/>
  <c r="AA118" i="6"/>
  <c r="AH88" i="6"/>
  <c r="AG88" i="6"/>
  <c r="AF88" i="6"/>
  <c r="AE88" i="6"/>
  <c r="AD88" i="6"/>
  <c r="AJ117" i="6"/>
  <c r="AG117" i="6"/>
  <c r="AF117" i="6"/>
  <c r="AE117" i="6"/>
  <c r="AD117" i="6"/>
  <c r="Y117" i="6"/>
  <c r="AK87" i="6"/>
  <c r="AD87" i="6"/>
  <c r="Z87" i="6"/>
  <c r="AL116" i="6"/>
  <c r="AK116" i="6"/>
  <c r="AJ116" i="6"/>
  <c r="AH116" i="6"/>
  <c r="AG116" i="6"/>
  <c r="AF116" i="6"/>
  <c r="AE116" i="6"/>
  <c r="AD116" i="6"/>
  <c r="AC116" i="6"/>
  <c r="AB116" i="6"/>
  <c r="AA116" i="6"/>
  <c r="AL86" i="6"/>
  <c r="AK86" i="6"/>
  <c r="AJ86" i="6"/>
  <c r="AH86" i="6"/>
  <c r="AG86" i="6"/>
  <c r="AF86" i="6"/>
  <c r="AE86" i="6"/>
  <c r="AD86" i="6"/>
  <c r="AC86" i="6"/>
  <c r="AA86" i="6"/>
  <c r="AK114" i="6"/>
  <c r="AJ114" i="6"/>
  <c r="AH114" i="6"/>
  <c r="AG114" i="6"/>
  <c r="AF114" i="6"/>
  <c r="AE114" i="6"/>
  <c r="AD114" i="6"/>
  <c r="AB114" i="6"/>
  <c r="AA114" i="6"/>
  <c r="AK84" i="6"/>
  <c r="AJ84" i="6"/>
  <c r="AH84" i="6"/>
  <c r="AG84" i="6"/>
  <c r="AF84" i="6"/>
  <c r="AE84" i="6"/>
  <c r="AD84" i="6"/>
  <c r="AA84" i="6"/>
  <c r="AB84" i="6"/>
  <c r="AL113" i="6"/>
  <c r="AK113" i="6"/>
  <c r="AJ113" i="6"/>
  <c r="AI113" i="6"/>
  <c r="AH113" i="6"/>
  <c r="AG113" i="6"/>
  <c r="AF113" i="6"/>
  <c r="AE113" i="6"/>
  <c r="AD113" i="6"/>
  <c r="AC113" i="6"/>
  <c r="AA113" i="6"/>
  <c r="Y113" i="6"/>
  <c r="AL83" i="6"/>
  <c r="AK83" i="6"/>
  <c r="AJ83" i="6"/>
  <c r="AH83" i="6"/>
  <c r="AG83" i="6"/>
  <c r="AF83" i="6"/>
  <c r="AE83" i="6"/>
  <c r="AD83" i="6"/>
  <c r="AC83" i="6"/>
  <c r="AA83" i="6"/>
  <c r="Y83" i="6"/>
  <c r="AL112" i="6"/>
  <c r="AK112" i="6"/>
  <c r="AJ112" i="6"/>
  <c r="AH112" i="6"/>
  <c r="AG112" i="6"/>
  <c r="AF112" i="6"/>
  <c r="AE112" i="6"/>
  <c r="AD112" i="6"/>
  <c r="AC112" i="6"/>
  <c r="Y112" i="6"/>
  <c r="AL82" i="6"/>
  <c r="AK82" i="6"/>
  <c r="AJ82" i="6"/>
  <c r="AI82" i="6"/>
  <c r="AH82" i="6"/>
  <c r="AG82" i="6"/>
  <c r="AF82" i="6"/>
  <c r="AE82" i="6"/>
  <c r="AD82" i="6"/>
  <c r="AC82" i="6"/>
  <c r="AB82" i="6"/>
  <c r="AA82" i="6"/>
  <c r="Y82" i="6"/>
  <c r="AB111" i="6"/>
  <c r="AB81" i="6"/>
  <c r="AL110" i="6"/>
  <c r="AK110" i="6"/>
  <c r="AJ110" i="6"/>
  <c r="AI110" i="6"/>
  <c r="AH110" i="6"/>
  <c r="AG110" i="6"/>
  <c r="AF110" i="6"/>
  <c r="AE110" i="6"/>
  <c r="AD110" i="6"/>
  <c r="AC110" i="6"/>
  <c r="AB110" i="6"/>
  <c r="AA110" i="6"/>
  <c r="Y110" i="6"/>
  <c r="AL80" i="6"/>
  <c r="AK80" i="6"/>
  <c r="AJ80" i="6"/>
  <c r="AI80" i="6"/>
  <c r="AH80" i="6"/>
  <c r="AG80" i="6"/>
  <c r="AF80" i="6"/>
  <c r="AE80" i="6"/>
  <c r="AD80" i="6"/>
  <c r="AC80" i="6"/>
  <c r="AB80" i="6"/>
  <c r="AA80" i="6"/>
  <c r="Y80" i="6"/>
  <c r="AL109" i="6"/>
  <c r="AK109" i="6"/>
  <c r="AJ109" i="6"/>
  <c r="AI109" i="6"/>
  <c r="AH109" i="6"/>
  <c r="AG109" i="6"/>
  <c r="AF109" i="6"/>
  <c r="AE109" i="6"/>
  <c r="AD109" i="6"/>
  <c r="AC109" i="6"/>
  <c r="AB109" i="6"/>
  <c r="AA109" i="6"/>
  <c r="AL79" i="6"/>
  <c r="AK79" i="6"/>
  <c r="AJ79" i="6"/>
  <c r="AI79" i="6"/>
  <c r="AH79" i="6"/>
  <c r="AG79" i="6"/>
  <c r="AF79" i="6"/>
  <c r="AE79" i="6"/>
  <c r="AD79" i="6"/>
  <c r="AC79" i="6"/>
  <c r="AA79" i="6"/>
  <c r="Y79" i="6"/>
  <c r="AD78" i="6"/>
  <c r="AK36" i="5"/>
  <c r="AJ36" i="5"/>
  <c r="AI36" i="5"/>
  <c r="AH36" i="5"/>
  <c r="AG36" i="5"/>
  <c r="AF36" i="5"/>
  <c r="AE36" i="5"/>
  <c r="AD36" i="5"/>
  <c r="AC36" i="5"/>
  <c r="AB36" i="5"/>
  <c r="AA36" i="5"/>
  <c r="Z36" i="5"/>
  <c r="Y36" i="5"/>
  <c r="X36" i="5"/>
  <c r="AU34" i="5"/>
  <c r="AS34" i="5"/>
  <c r="AU33" i="5"/>
  <c r="AS33" i="5"/>
  <c r="AU30" i="5"/>
  <c r="AS30" i="5"/>
  <c r="AU29" i="5"/>
  <c r="AS29" i="5"/>
  <c r="AU28" i="5"/>
  <c r="AS28" i="5"/>
  <c r="AU26" i="5"/>
  <c r="AS26" i="5"/>
  <c r="AL26" i="5"/>
  <c r="AL25" i="5"/>
  <c r="AL24" i="5"/>
  <c r="AU22" i="5"/>
  <c r="AS22" i="5"/>
  <c r="AU21" i="5"/>
  <c r="AS21" i="5"/>
  <c r="AU18" i="5"/>
  <c r="AS18" i="5"/>
  <c r="O17" i="5"/>
  <c r="H17" i="5"/>
  <c r="AU16" i="5"/>
  <c r="AU12" i="5"/>
  <c r="AS12" i="5"/>
  <c r="N205" i="4"/>
  <c r="M205" i="4"/>
  <c r="L205" i="4"/>
  <c r="K205" i="4"/>
  <c r="J205" i="4"/>
  <c r="I205" i="4"/>
  <c r="N203" i="4"/>
  <c r="M203" i="4"/>
  <c r="L203" i="4"/>
  <c r="K203" i="4"/>
  <c r="J203" i="4"/>
  <c r="I203" i="4"/>
  <c r="H198" i="4"/>
  <c r="H199" i="4" s="1"/>
  <c r="V11" i="4"/>
  <c r="U11" i="4"/>
  <c r="F197" i="4" s="1"/>
  <c r="T11" i="4"/>
  <c r="S11" i="4"/>
  <c r="D197" i="4" s="1"/>
  <c r="R11" i="4"/>
  <c r="Q11" i="4"/>
  <c r="P11" i="4"/>
  <c r="O11" i="4"/>
  <c r="N11" i="4"/>
  <c r="M11" i="4"/>
  <c r="L11" i="4"/>
  <c r="K11" i="4"/>
  <c r="J11" i="4"/>
  <c r="I11" i="4"/>
  <c r="H11" i="4"/>
  <c r="G11" i="4"/>
  <c r="F11" i="4"/>
  <c r="E11" i="4"/>
  <c r="D11" i="4"/>
  <c r="C11" i="4"/>
  <c r="D61" i="3"/>
  <c r="V10" i="4"/>
  <c r="U10" i="4"/>
  <c r="F196" i="4" s="1"/>
  <c r="T10" i="4"/>
  <c r="E33" i="1" s="1"/>
  <c r="S10" i="4"/>
  <c r="R10" i="4"/>
  <c r="C196" i="4" s="1"/>
  <c r="Q10" i="4"/>
  <c r="P10" i="4"/>
  <c r="O10" i="4"/>
  <c r="N10" i="4"/>
  <c r="M10" i="4"/>
  <c r="L10" i="4"/>
  <c r="K10" i="4"/>
  <c r="J10" i="4"/>
  <c r="I10" i="4"/>
  <c r="H10" i="4"/>
  <c r="G10" i="4"/>
  <c r="F10" i="4"/>
  <c r="E10" i="4"/>
  <c r="D10" i="4"/>
  <c r="C10" i="4"/>
  <c r="V9" i="4"/>
  <c r="U9" i="4"/>
  <c r="F195" i="4" s="1"/>
  <c r="T9" i="4"/>
  <c r="E195" i="4" s="1"/>
  <c r="S9" i="4"/>
  <c r="R9" i="4"/>
  <c r="Q9" i="4"/>
  <c r="P9" i="4"/>
  <c r="O9" i="4"/>
  <c r="N9" i="4"/>
  <c r="M9" i="4"/>
  <c r="L9" i="4"/>
  <c r="K9" i="4"/>
  <c r="J9" i="4"/>
  <c r="I9" i="4"/>
  <c r="H9" i="4"/>
  <c r="G9" i="4"/>
  <c r="F9" i="4"/>
  <c r="E9" i="4"/>
  <c r="D9" i="4"/>
  <c r="C9" i="4"/>
  <c r="V8" i="4"/>
  <c r="U8" i="4"/>
  <c r="T8" i="4"/>
  <c r="S8" i="4"/>
  <c r="R8" i="4"/>
  <c r="C194" i="4" s="1"/>
  <c r="Q8" i="4"/>
  <c r="P8" i="4"/>
  <c r="O8" i="4"/>
  <c r="N8" i="4"/>
  <c r="M8" i="4"/>
  <c r="L8" i="4"/>
  <c r="K8" i="4"/>
  <c r="J8" i="4"/>
  <c r="I8" i="4"/>
  <c r="H8" i="4"/>
  <c r="G8" i="4"/>
  <c r="F8" i="4"/>
  <c r="E8" i="4"/>
  <c r="D8" i="4"/>
  <c r="C8" i="4"/>
  <c r="V7" i="4"/>
  <c r="U7" i="4"/>
  <c r="F28" i="1" s="1"/>
  <c r="T7" i="4"/>
  <c r="S7" i="4"/>
  <c r="R7" i="4"/>
  <c r="Q7" i="4"/>
  <c r="P7" i="4"/>
  <c r="O7" i="4"/>
  <c r="N7" i="4"/>
  <c r="M7" i="4"/>
  <c r="L7" i="4"/>
  <c r="K7" i="4"/>
  <c r="J7" i="4"/>
  <c r="I7" i="4"/>
  <c r="H7" i="4"/>
  <c r="G7" i="4"/>
  <c r="F7" i="4"/>
  <c r="E7" i="4"/>
  <c r="D7" i="4"/>
  <c r="C7" i="4"/>
  <c r="V6" i="4"/>
  <c r="U6" i="4"/>
  <c r="T6" i="4"/>
  <c r="S6" i="4"/>
  <c r="R6" i="4"/>
  <c r="Q6" i="4"/>
  <c r="P6" i="4"/>
  <c r="O6" i="4"/>
  <c r="N6" i="4"/>
  <c r="M6" i="4"/>
  <c r="L6" i="4"/>
  <c r="K6" i="4"/>
  <c r="J6" i="4"/>
  <c r="I6" i="4"/>
  <c r="H6" i="4"/>
  <c r="G6" i="4"/>
  <c r="F6" i="4"/>
  <c r="E6" i="4"/>
  <c r="D6" i="4"/>
  <c r="C6" i="4"/>
  <c r="B6" i="4"/>
  <c r="B7" i="4" s="1"/>
  <c r="B8" i="4" s="1"/>
  <c r="B9" i="4" s="1"/>
  <c r="V5" i="4"/>
  <c r="U5" i="4"/>
  <c r="T5" i="4"/>
  <c r="S5" i="4"/>
  <c r="R5" i="4"/>
  <c r="Q5" i="4"/>
  <c r="P5" i="4"/>
  <c r="O5" i="4"/>
  <c r="N5" i="4"/>
  <c r="M5" i="4"/>
  <c r="L5" i="4"/>
  <c r="K5" i="4"/>
  <c r="J5" i="4"/>
  <c r="I5" i="4"/>
  <c r="H5" i="4"/>
  <c r="G5" i="4"/>
  <c r="F5" i="4"/>
  <c r="E5" i="4"/>
  <c r="D5" i="4"/>
  <c r="C5" i="4"/>
  <c r="W4" i="4"/>
  <c r="V4" i="4"/>
  <c r="U4" i="4"/>
  <c r="T4" i="4"/>
  <c r="S4" i="4"/>
  <c r="R4" i="4"/>
  <c r="Q4" i="4"/>
  <c r="P4" i="4"/>
  <c r="O4" i="4"/>
  <c r="N4" i="4"/>
  <c r="M4" i="4"/>
  <c r="L4" i="4"/>
  <c r="K4" i="4"/>
  <c r="J4" i="4"/>
  <c r="I4" i="4"/>
  <c r="H4" i="4"/>
  <c r="G4" i="4"/>
  <c r="F4" i="4"/>
  <c r="E4" i="4"/>
  <c r="D4" i="4"/>
  <c r="C4" i="4"/>
  <c r="W50" i="3"/>
  <c r="V50" i="3"/>
  <c r="U50" i="3"/>
  <c r="T50" i="3"/>
  <c r="S50" i="3"/>
  <c r="R50" i="3"/>
  <c r="W48" i="3"/>
  <c r="V48" i="3"/>
  <c r="U48" i="3"/>
  <c r="T48" i="3"/>
  <c r="S48" i="3"/>
  <c r="R48" i="3"/>
  <c r="W47" i="3"/>
  <c r="V47" i="3"/>
  <c r="U47" i="3"/>
  <c r="T47" i="3"/>
  <c r="S47" i="3"/>
  <c r="R47" i="3"/>
  <c r="W46" i="3"/>
  <c r="V46" i="3"/>
  <c r="U46" i="3"/>
  <c r="T46" i="3"/>
  <c r="S46" i="3"/>
  <c r="R46" i="3"/>
  <c r="W45" i="3"/>
  <c r="V45" i="3"/>
  <c r="U45" i="3"/>
  <c r="T45" i="3"/>
  <c r="S45" i="3"/>
  <c r="R45" i="3"/>
  <c r="W44" i="3"/>
  <c r="V44" i="3"/>
  <c r="U44" i="3"/>
  <c r="T44" i="3"/>
  <c r="S44" i="3"/>
  <c r="R44" i="3"/>
  <c r="W26" i="3"/>
  <c r="V26" i="3"/>
  <c r="U26" i="3"/>
  <c r="T26" i="3"/>
  <c r="S26" i="3"/>
  <c r="R26" i="3"/>
  <c r="W24" i="3"/>
  <c r="V24" i="3"/>
  <c r="U24" i="3"/>
  <c r="T24" i="3"/>
  <c r="S24" i="3"/>
  <c r="R24" i="3"/>
  <c r="W23" i="3"/>
  <c r="V23" i="3"/>
  <c r="U23" i="3"/>
  <c r="T23" i="3"/>
  <c r="S23" i="3"/>
  <c r="R23" i="3"/>
  <c r="W22" i="3"/>
  <c r="V22" i="3"/>
  <c r="U22" i="3"/>
  <c r="T22" i="3"/>
  <c r="S22" i="3"/>
  <c r="R22" i="3"/>
  <c r="W21" i="3"/>
  <c r="V21" i="3"/>
  <c r="U21" i="3"/>
  <c r="T21" i="3"/>
  <c r="S21" i="3"/>
  <c r="R21" i="3"/>
  <c r="W20" i="3"/>
  <c r="V20" i="3"/>
  <c r="U20" i="3"/>
  <c r="T20" i="3"/>
  <c r="S20" i="3"/>
  <c r="R20" i="3"/>
  <c r="F13" i="3"/>
  <c r="D11" i="3"/>
  <c r="E10" i="3"/>
  <c r="C9" i="3"/>
  <c r="C6" i="3"/>
  <c r="V11" i="1"/>
  <c r="T11" i="1"/>
  <c r="D113" i="2"/>
  <c r="C113" i="2"/>
  <c r="A113" i="2" s="1"/>
  <c r="C112" i="2"/>
  <c r="A112" i="2" s="1"/>
  <c r="D111" i="2"/>
  <c r="C111" i="2"/>
  <c r="A111" i="2" s="1"/>
  <c r="D110" i="2"/>
  <c r="C110" i="2"/>
  <c r="A110" i="2" s="1"/>
  <c r="D109" i="2"/>
  <c r="C109" i="2"/>
  <c r="A109" i="2" s="1"/>
  <c r="D108" i="2"/>
  <c r="C108" i="2"/>
  <c r="A108" i="2" s="1"/>
  <c r="D107" i="2"/>
  <c r="C107" i="2"/>
  <c r="A107" i="2" s="1"/>
  <c r="C105" i="2"/>
  <c r="D101" i="2"/>
  <c r="C101" i="2"/>
  <c r="AH91" i="2"/>
  <c r="AH92" i="2" s="1"/>
  <c r="AG91" i="2"/>
  <c r="AG92" i="2" s="1"/>
  <c r="AF91" i="2"/>
  <c r="AF92" i="2" s="1"/>
  <c r="AE91" i="2"/>
  <c r="AE92" i="2" s="1"/>
  <c r="AD91" i="2"/>
  <c r="AD92" i="2" s="1"/>
  <c r="D85" i="2"/>
  <c r="C85" i="2"/>
  <c r="AG82" i="2"/>
  <c r="AH83" i="2" s="1"/>
  <c r="AF82" i="2"/>
  <c r="AG83" i="2" s="1"/>
  <c r="AE82" i="2"/>
  <c r="AF83" i="2" s="1"/>
  <c r="AD82" i="2"/>
  <c r="AE83" i="2" s="1"/>
  <c r="AC82" i="2"/>
  <c r="AD83" i="2" s="1"/>
  <c r="AG73" i="2"/>
  <c r="AG74" i="2" s="1"/>
  <c r="AF73" i="2"/>
  <c r="AF74" i="2" s="1"/>
  <c r="AE73" i="2"/>
  <c r="AE74" i="2" s="1"/>
  <c r="AD73" i="2"/>
  <c r="AD74" i="2" s="1"/>
  <c r="AC73" i="2"/>
  <c r="AC74" i="2" s="1"/>
  <c r="D73" i="2"/>
  <c r="C73" i="2"/>
  <c r="AG65" i="2"/>
  <c r="AF65" i="2"/>
  <c r="AE65" i="2"/>
  <c r="AD65" i="2"/>
  <c r="AC65" i="2"/>
  <c r="M50" i="2"/>
  <c r="M17" i="13" s="1"/>
  <c r="I50" i="2"/>
  <c r="D50" i="2"/>
  <c r="M49" i="2"/>
  <c r="M48" i="2"/>
  <c r="D48" i="2"/>
  <c r="D43" i="2"/>
  <c r="M37" i="2"/>
  <c r="I37" i="2"/>
  <c r="E37" i="2"/>
  <c r="D37" i="2"/>
  <c r="N37" i="2" s="1"/>
  <c r="M36" i="2"/>
  <c r="W36" i="2" s="1"/>
  <c r="I36" i="2"/>
  <c r="E36" i="2"/>
  <c r="M35" i="2"/>
  <c r="I35" i="2"/>
  <c r="E35" i="2"/>
  <c r="D35" i="2"/>
  <c r="N35" i="2" s="1"/>
  <c r="M34" i="2"/>
  <c r="E34" i="2"/>
  <c r="D34" i="2"/>
  <c r="N34" i="2" s="1"/>
  <c r="M33" i="2"/>
  <c r="I33" i="2"/>
  <c r="E33" i="2"/>
  <c r="D33" i="2"/>
  <c r="N33" i="2" s="1"/>
  <c r="M32" i="2"/>
  <c r="I32" i="2"/>
  <c r="E32" i="2"/>
  <c r="D32" i="2"/>
  <c r="N32" i="2" s="1"/>
  <c r="M31" i="2"/>
  <c r="I31" i="2"/>
  <c r="E31" i="2"/>
  <c r="D31" i="2"/>
  <c r="N31" i="2" s="1"/>
  <c r="M30" i="2"/>
  <c r="I30" i="2"/>
  <c r="E30" i="2"/>
  <c r="D30" i="2"/>
  <c r="N30" i="2" s="1"/>
  <c r="M29" i="2"/>
  <c r="I29" i="2"/>
  <c r="E29" i="2"/>
  <c r="D29" i="2"/>
  <c r="H20" i="2"/>
  <c r="H11" i="2"/>
  <c r="D105" i="2" s="1"/>
  <c r="H8" i="2"/>
  <c r="I12" i="8" s="1"/>
  <c r="G8" i="2"/>
  <c r="H12" i="8" s="1"/>
  <c r="F8" i="2"/>
  <c r="F3" i="2" s="1"/>
  <c r="G12" i="8" s="1"/>
  <c r="E8" i="2"/>
  <c r="E3" i="2" s="1"/>
  <c r="F12" i="8" s="1"/>
  <c r="D8" i="2"/>
  <c r="C8" i="2"/>
  <c r="C9" i="1" s="1"/>
  <c r="G33" i="1"/>
  <c r="F33" i="1"/>
  <c r="D33" i="1"/>
  <c r="J32" i="1"/>
  <c r="E31" i="1"/>
  <c r="D31" i="1"/>
  <c r="C31" i="1"/>
  <c r="F30" i="1"/>
  <c r="E30" i="1"/>
  <c r="G29" i="1"/>
  <c r="E29" i="1"/>
  <c r="D29" i="1"/>
  <c r="C29" i="1"/>
  <c r="G28" i="1"/>
  <c r="E28" i="1"/>
  <c r="D28" i="1"/>
  <c r="C28" i="1"/>
  <c r="E27" i="1"/>
  <c r="D27" i="1"/>
  <c r="C27" i="1"/>
  <c r="G26" i="1"/>
  <c r="W11" i="1"/>
  <c r="U11" i="1"/>
  <c r="S11" i="1"/>
  <c r="R11" i="1"/>
  <c r="P11" i="1"/>
  <c r="O11" i="1"/>
  <c r="N11" i="1"/>
  <c r="M11" i="1"/>
  <c r="L11" i="1"/>
  <c r="K11" i="1"/>
  <c r="C10" i="1"/>
  <c r="C8" i="1"/>
  <c r="AW55" i="12" l="1"/>
  <c r="K126" i="2"/>
  <c r="V33" i="13" s="1"/>
  <c r="M15" i="13"/>
  <c r="G43" i="2"/>
  <c r="G10" i="13" s="1"/>
  <c r="I10" i="13"/>
  <c r="G45" i="2"/>
  <c r="G12" i="13" s="1"/>
  <c r="I12" i="13"/>
  <c r="G42" i="2"/>
  <c r="G9" i="13" s="1"/>
  <c r="I9" i="13"/>
  <c r="G50" i="2"/>
  <c r="G17" i="13" s="1"/>
  <c r="I17" i="13"/>
  <c r="G47" i="2"/>
  <c r="G14" i="13" s="1"/>
  <c r="I14" i="13"/>
  <c r="K131" i="2"/>
  <c r="W19" i="1" s="1"/>
  <c r="M16" i="13"/>
  <c r="G49" i="2"/>
  <c r="G16" i="13" s="1"/>
  <c r="I16" i="13"/>
  <c r="G44" i="2"/>
  <c r="G11" i="13" s="1"/>
  <c r="I11" i="13"/>
  <c r="F58" i="3"/>
  <c r="F59" i="3"/>
  <c r="G59" i="3"/>
  <c r="G58" i="3"/>
  <c r="H59" i="3"/>
  <c r="H58" i="3"/>
  <c r="I58" i="3"/>
  <c r="I59" i="3"/>
  <c r="J58" i="3"/>
  <c r="J59" i="3"/>
  <c r="K59" i="3"/>
  <c r="K58" i="3"/>
  <c r="BQ54" i="12"/>
  <c r="Q43" i="2"/>
  <c r="H63" i="2"/>
  <c r="Q44" i="2"/>
  <c r="H65" i="2"/>
  <c r="G128" i="2"/>
  <c r="G46" i="2"/>
  <c r="G126" i="2"/>
  <c r="G48" i="2"/>
  <c r="G15" i="13" s="1"/>
  <c r="S50" i="2"/>
  <c r="G13" i="3"/>
  <c r="G196" i="4"/>
  <c r="D9" i="3"/>
  <c r="D194" i="4"/>
  <c r="E13" i="3"/>
  <c r="E196" i="4"/>
  <c r="E9" i="3"/>
  <c r="E194" i="4"/>
  <c r="F9" i="3"/>
  <c r="F194" i="4"/>
  <c r="C33" i="3"/>
  <c r="G194" i="4"/>
  <c r="G9" i="3"/>
  <c r="C57" i="3" s="1"/>
  <c r="D13" i="3"/>
  <c r="D196" i="4"/>
  <c r="D26" i="1"/>
  <c r="D191" i="4"/>
  <c r="G27" i="1"/>
  <c r="G192" i="4"/>
  <c r="G7" i="3"/>
  <c r="F6" i="3"/>
  <c r="F191" i="4"/>
  <c r="C11" i="3"/>
  <c r="C197" i="4"/>
  <c r="E6" i="3"/>
  <c r="E191" i="4"/>
  <c r="G195" i="4"/>
  <c r="G10" i="3"/>
  <c r="G30" i="1"/>
  <c r="F10" i="3"/>
  <c r="G6" i="3"/>
  <c r="G191" i="4"/>
  <c r="C8" i="3"/>
  <c r="C193" i="4"/>
  <c r="E11" i="3"/>
  <c r="E197" i="4"/>
  <c r="D8" i="3"/>
  <c r="D193" i="4"/>
  <c r="E8" i="3"/>
  <c r="E193" i="4"/>
  <c r="G11" i="3"/>
  <c r="G197" i="4"/>
  <c r="F8" i="3"/>
  <c r="F193" i="4"/>
  <c r="C7" i="3"/>
  <c r="C192" i="4"/>
  <c r="G193" i="4"/>
  <c r="G8" i="3"/>
  <c r="D7" i="3"/>
  <c r="D192" i="4"/>
  <c r="C30" i="1"/>
  <c r="C195" i="4"/>
  <c r="E26" i="1"/>
  <c r="E7" i="3"/>
  <c r="E192" i="4"/>
  <c r="D30" i="1"/>
  <c r="D32" i="1" s="1"/>
  <c r="D195" i="4"/>
  <c r="C26" i="1"/>
  <c r="C32" i="1" s="1"/>
  <c r="C191" i="4"/>
  <c r="F7" i="3"/>
  <c r="F192" i="4"/>
  <c r="AL23" i="5"/>
  <c r="F33" i="2"/>
  <c r="P33" i="2" s="1"/>
  <c r="E38" i="2"/>
  <c r="F30" i="2"/>
  <c r="O33" i="2"/>
  <c r="L30" i="2"/>
  <c r="V30" i="2" s="1"/>
  <c r="P30" i="2"/>
  <c r="O31" i="2"/>
  <c r="C3" i="2"/>
  <c r="D12" i="8" s="1"/>
  <c r="L32" i="2"/>
  <c r="V32" i="2" s="1"/>
  <c r="L35" i="2"/>
  <c r="V35" i="2" s="1"/>
  <c r="K33" i="2"/>
  <c r="U33" i="2" s="1"/>
  <c r="W31" i="2"/>
  <c r="F32" i="2"/>
  <c r="J32" i="2"/>
  <c r="T32" i="2" s="1"/>
  <c r="O30" i="2"/>
  <c r="W35" i="2"/>
  <c r="H36" i="2"/>
  <c r="R36" i="2" s="1"/>
  <c r="D10" i="3"/>
  <c r="E32" i="1"/>
  <c r="F27" i="1"/>
  <c r="H25" i="9"/>
  <c r="Q25" i="9" s="1"/>
  <c r="AB149" i="6"/>
  <c r="AB184" i="5"/>
  <c r="AB179" i="6" s="1"/>
  <c r="AI205" i="5"/>
  <c r="AI185" i="6" s="1"/>
  <c r="Y116" i="6"/>
  <c r="AM116" i="6"/>
  <c r="AE87" i="6"/>
  <c r="AG87" i="6"/>
  <c r="S34" i="2"/>
  <c r="H34" i="2"/>
  <c r="R34" i="2" s="1"/>
  <c r="AB151" i="6"/>
  <c r="AB192" i="5"/>
  <c r="AB181" i="6" s="1"/>
  <c r="C61" i="3"/>
  <c r="C37" i="3"/>
  <c r="C54" i="3"/>
  <c r="C30" i="3"/>
  <c r="H104" i="3"/>
  <c r="H68" i="13" s="1"/>
  <c r="Y146" i="6"/>
  <c r="Y172" i="5"/>
  <c r="Y176" i="6" s="1"/>
  <c r="AB147" i="6"/>
  <c r="AB176" i="5"/>
  <c r="AB177" i="6" s="1"/>
  <c r="D37" i="3"/>
  <c r="J37" i="3" s="1"/>
  <c r="H35" i="2"/>
  <c r="R35" i="2" s="1"/>
  <c r="AB129" i="6"/>
  <c r="AM204" i="5"/>
  <c r="AM155" i="6" s="1"/>
  <c r="F26" i="1"/>
  <c r="F29" i="1"/>
  <c r="L33" i="2"/>
  <c r="V33" i="2" s="1"/>
  <c r="O34" i="2"/>
  <c r="F35" i="2"/>
  <c r="P35" i="2" s="1"/>
  <c r="C10" i="3"/>
  <c r="C12" i="3" s="1"/>
  <c r="H27" i="9"/>
  <c r="Q27" i="9" s="1"/>
  <c r="K35" i="2"/>
  <c r="U35" i="2" s="1"/>
  <c r="AD129" i="6"/>
  <c r="AF87" i="6"/>
  <c r="D6" i="3"/>
  <c r="AM81" i="6"/>
  <c r="Z99" i="6"/>
  <c r="Z172" i="5"/>
  <c r="Z176" i="6" s="1"/>
  <c r="AC184" i="5"/>
  <c r="AC179" i="6" s="1"/>
  <c r="AM205" i="5"/>
  <c r="AM185" i="6" s="1"/>
  <c r="AT27" i="6"/>
  <c r="M29" i="8"/>
  <c r="L29" i="8" s="1"/>
  <c r="W34" i="2"/>
  <c r="S33" i="2"/>
  <c r="W37" i="2"/>
  <c r="AU24" i="5"/>
  <c r="AL184" i="5"/>
  <c r="AL179" i="6" s="1"/>
  <c r="AA213" i="5"/>
  <c r="AA158" i="6" s="1"/>
  <c r="I38" i="2"/>
  <c r="D3" i="2"/>
  <c r="E12" i="8" s="1"/>
  <c r="S31" i="2"/>
  <c r="K32" i="2"/>
  <c r="U32" i="2" s="1"/>
  <c r="O35" i="2"/>
  <c r="AM111" i="6"/>
  <c r="S30" i="2"/>
  <c r="L31" i="2"/>
  <c r="V31" i="2" s="1"/>
  <c r="W33" i="2"/>
  <c r="S35" i="2"/>
  <c r="J13" i="8"/>
  <c r="D106" i="2" s="1"/>
  <c r="E30" i="9"/>
  <c r="N30" i="9" s="1"/>
  <c r="BD54" i="11"/>
  <c r="BO54" i="12"/>
  <c r="BR54" i="12"/>
  <c r="BT54" i="12"/>
  <c r="BU54" i="12"/>
  <c r="M44" i="2"/>
  <c r="BS54" i="12"/>
  <c r="M47" i="2"/>
  <c r="S44" i="2"/>
  <c r="E65" i="2"/>
  <c r="AD84" i="2"/>
  <c r="AD85" i="2" s="1"/>
  <c r="N44" i="2"/>
  <c r="N45" i="2"/>
  <c r="E64" i="2"/>
  <c r="N42" i="2"/>
  <c r="E62" i="2"/>
  <c r="S48" i="2"/>
  <c r="AM52" i="12"/>
  <c r="E50" i="2" s="1"/>
  <c r="E69" i="2"/>
  <c r="AK52" i="12"/>
  <c r="E48" i="2" s="1"/>
  <c r="F48" i="2" s="1"/>
  <c r="K50" i="2"/>
  <c r="BV54" i="12"/>
  <c r="M45" i="2"/>
  <c r="BW54" i="12"/>
  <c r="M43" i="2"/>
  <c r="K48" i="2"/>
  <c r="AG52" i="12"/>
  <c r="E44" i="2" s="1"/>
  <c r="H44" i="2" s="1"/>
  <c r="H11" i="13" s="1"/>
  <c r="M42" i="2"/>
  <c r="D112" i="2"/>
  <c r="D115" i="2" s="1"/>
  <c r="G127" i="2"/>
  <c r="R34" i="13" s="1"/>
  <c r="S47" i="2"/>
  <c r="F11" i="3"/>
  <c r="F31" i="1"/>
  <c r="Y168" i="6"/>
  <c r="AM247" i="5"/>
  <c r="AM168" i="6" s="1"/>
  <c r="J29" i="2"/>
  <c r="L29" i="2"/>
  <c r="K29" i="2"/>
  <c r="K30" i="2"/>
  <c r="U30" i="2" s="1"/>
  <c r="J30" i="2"/>
  <c r="T30" i="2" s="1"/>
  <c r="W30" i="2"/>
  <c r="M38" i="2"/>
  <c r="W32" i="2"/>
  <c r="L36" i="2"/>
  <c r="V36" i="2" s="1"/>
  <c r="D55" i="3"/>
  <c r="D31" i="3"/>
  <c r="L49" i="2"/>
  <c r="L16" i="13" s="1"/>
  <c r="J49" i="2"/>
  <c r="J16" i="13" s="1"/>
  <c r="G131" i="2"/>
  <c r="K49" i="2"/>
  <c r="K16" i="13" s="1"/>
  <c r="S49" i="2"/>
  <c r="C56" i="3"/>
  <c r="Y100" i="6"/>
  <c r="AB100" i="6"/>
  <c r="AI149" i="6"/>
  <c r="AI184" i="5"/>
  <c r="AI179" i="6" s="1"/>
  <c r="D38" i="2"/>
  <c r="N38" i="2" s="1"/>
  <c r="N29" i="2"/>
  <c r="C13" i="3"/>
  <c r="C33" i="1"/>
  <c r="J12" i="8"/>
  <c r="O32" i="2"/>
  <c r="S43" i="2"/>
  <c r="G124" i="2"/>
  <c r="R31" i="13" s="1"/>
  <c r="G31" i="1"/>
  <c r="P32" i="2"/>
  <c r="N46" i="2"/>
  <c r="S46" i="2"/>
  <c r="E66" i="2"/>
  <c r="S29" i="2"/>
  <c r="H32" i="2"/>
  <c r="R32" i="2" s="1"/>
  <c r="H37" i="2"/>
  <c r="O37" i="2"/>
  <c r="S36" i="2"/>
  <c r="K36" i="2"/>
  <c r="U36" i="2" s="1"/>
  <c r="C106" i="2"/>
  <c r="A106" i="2" s="1"/>
  <c r="A105" i="2"/>
  <c r="J34" i="2"/>
  <c r="T34" i="2" s="1"/>
  <c r="F37" i="2"/>
  <c r="P37" i="2" s="1"/>
  <c r="S42" i="2"/>
  <c r="I51" i="2"/>
  <c r="I18" i="13" s="1"/>
  <c r="J48" i="2"/>
  <c r="J15" i="13" s="1"/>
  <c r="H29" i="2"/>
  <c r="O29" i="2"/>
  <c r="F29" i="2"/>
  <c r="C58" i="3"/>
  <c r="C34" i="3"/>
  <c r="W29" i="2"/>
  <c r="K34" i="2"/>
  <c r="U34" i="2" s="1"/>
  <c r="L37" i="2"/>
  <c r="V37" i="2" s="1"/>
  <c r="J37" i="2"/>
  <c r="T37" i="2" s="1"/>
  <c r="S37" i="2"/>
  <c r="C32" i="3"/>
  <c r="J31" i="2"/>
  <c r="T31" i="2" s="1"/>
  <c r="L34" i="2"/>
  <c r="V34" i="2" s="1"/>
  <c r="K37" i="2"/>
  <c r="U37" i="2" s="1"/>
  <c r="K128" i="2"/>
  <c r="L46" i="2"/>
  <c r="L13" i="13" s="1"/>
  <c r="K46" i="2"/>
  <c r="K13" i="13" s="1"/>
  <c r="W46" i="2"/>
  <c r="J46" i="2"/>
  <c r="J13" i="13" s="1"/>
  <c r="W48" i="2"/>
  <c r="L48" i="2"/>
  <c r="L15" i="13" s="1"/>
  <c r="L50" i="2"/>
  <c r="L17" i="13" s="1"/>
  <c r="J50" i="2"/>
  <c r="J17" i="13" s="1"/>
  <c r="W50" i="2"/>
  <c r="J36" i="2"/>
  <c r="T36" i="2" s="1"/>
  <c r="K31" i="2"/>
  <c r="F36" i="2"/>
  <c r="P36" i="2" s="1"/>
  <c r="O36" i="2"/>
  <c r="N50" i="2"/>
  <c r="F104" i="3"/>
  <c r="F68" i="13" s="1"/>
  <c r="K104" i="3"/>
  <c r="K68" i="13" s="1"/>
  <c r="I104" i="3"/>
  <c r="I68" i="13" s="1"/>
  <c r="AL95" i="6"/>
  <c r="AM217" i="5"/>
  <c r="AM159" i="6" s="1"/>
  <c r="AL88" i="6"/>
  <c r="AM88" i="6"/>
  <c r="H30" i="2"/>
  <c r="R30" i="2" s="1"/>
  <c r="AH117" i="6"/>
  <c r="AH87" i="6"/>
  <c r="Y118" i="6"/>
  <c r="AM118" i="6"/>
  <c r="J33" i="2"/>
  <c r="T33" i="2" s="1"/>
  <c r="S45" i="2"/>
  <c r="F34" i="2"/>
  <c r="P34" i="2" s="1"/>
  <c r="N49" i="2"/>
  <c r="AD93" i="2"/>
  <c r="AD94" i="2" s="1"/>
  <c r="W49" i="2"/>
  <c r="C115" i="2"/>
  <c r="C116" i="2" s="1"/>
  <c r="A101" i="2"/>
  <c r="C102" i="2"/>
  <c r="A102" i="2" s="1"/>
  <c r="AA112" i="6"/>
  <c r="AM112" i="6"/>
  <c r="H31" i="2"/>
  <c r="R31" i="2" s="1"/>
  <c r="D51" i="2"/>
  <c r="N51" i="2" s="1"/>
  <c r="E68" i="2"/>
  <c r="N48" i="2"/>
  <c r="D102" i="2"/>
  <c r="D103" i="2" s="1"/>
  <c r="B11" i="4"/>
  <c r="B10" i="4"/>
  <c r="Y108" i="6"/>
  <c r="F31" i="2"/>
  <c r="P31" i="2" s="1"/>
  <c r="S32" i="2"/>
  <c r="AC75" i="2"/>
  <c r="AC76" i="2" s="1"/>
  <c r="E63" i="2"/>
  <c r="N43" i="2"/>
  <c r="AC66" i="2"/>
  <c r="AC67" i="2" s="1"/>
  <c r="AL117" i="6"/>
  <c r="AL87" i="6"/>
  <c r="AJ92" i="6"/>
  <c r="AB92" i="6"/>
  <c r="AA125" i="6"/>
  <c r="AL36" i="5"/>
  <c r="AH52" i="12"/>
  <c r="E45" i="2" s="1"/>
  <c r="E67" i="2"/>
  <c r="AS25" i="5"/>
  <c r="H33" i="2"/>
  <c r="R33" i="2" s="1"/>
  <c r="J35" i="2"/>
  <c r="T35" i="2" s="1"/>
  <c r="AU25" i="5"/>
  <c r="AI154" i="6"/>
  <c r="AI201" i="5"/>
  <c r="AI184" i="6" s="1"/>
  <c r="Y109" i="6"/>
  <c r="AM109" i="6"/>
  <c r="AE149" i="6"/>
  <c r="AE184" i="5"/>
  <c r="AE179" i="6" s="1"/>
  <c r="AA214" i="5"/>
  <c r="AG149" i="6"/>
  <c r="AG184" i="5"/>
  <c r="AG179" i="6" s="1"/>
  <c r="Z181" i="6"/>
  <c r="AI152" i="6"/>
  <c r="AI196" i="5"/>
  <c r="AI182" i="6" s="1"/>
  <c r="Z108" i="6"/>
  <c r="Z78" i="6"/>
  <c r="AM110" i="6"/>
  <c r="AM82" i="6"/>
  <c r="AH149" i="6"/>
  <c r="AH184" i="5"/>
  <c r="AH179" i="6" s="1"/>
  <c r="AB197" i="6"/>
  <c r="AI244" i="5"/>
  <c r="AI197" i="6" s="1"/>
  <c r="AM83" i="6"/>
  <c r="AJ87" i="6"/>
  <c r="AJ149" i="6"/>
  <c r="AJ184" i="5"/>
  <c r="AJ179" i="6" s="1"/>
  <c r="AF52" i="12"/>
  <c r="E43" i="2" s="1"/>
  <c r="AM113" i="6"/>
  <c r="AE90" i="6"/>
  <c r="AM90" i="6"/>
  <c r="AM176" i="5"/>
  <c r="AM177" i="6" s="1"/>
  <c r="Y149" i="6"/>
  <c r="Y184" i="5"/>
  <c r="AM183" i="5"/>
  <c r="AM149" i="6" s="1"/>
  <c r="AK149" i="6"/>
  <c r="AK184" i="5"/>
  <c r="AK179" i="6" s="1"/>
  <c r="Z184" i="5"/>
  <c r="Z179" i="6" s="1"/>
  <c r="AM238" i="5"/>
  <c r="AM165" i="6" s="1"/>
  <c r="AM248" i="5"/>
  <c r="AM198" i="6" s="1"/>
  <c r="M26" i="9"/>
  <c r="H26" i="9"/>
  <c r="Q26" i="9" s="1"/>
  <c r="AM79" i="6"/>
  <c r="AA149" i="6"/>
  <c r="AA184" i="5"/>
  <c r="AA179" i="6" s="1"/>
  <c r="AM182" i="5"/>
  <c r="Z180" i="6"/>
  <c r="AM188" i="5"/>
  <c r="AM180" i="6" s="1"/>
  <c r="Y114" i="6"/>
  <c r="AI114" i="6"/>
  <c r="AM94" i="6"/>
  <c r="AE96" i="6"/>
  <c r="Y84" i="6"/>
  <c r="AI84" i="6"/>
  <c r="Y86" i="6"/>
  <c r="AM124" i="6"/>
  <c r="AM226" i="5"/>
  <c r="AM162" i="6" s="1"/>
  <c r="AM25" i="6"/>
  <c r="AM38" i="6"/>
  <c r="AV28" i="6"/>
  <c r="AM80" i="6"/>
  <c r="AA151" i="6"/>
  <c r="AI191" i="5"/>
  <c r="AM191" i="5" s="1"/>
  <c r="AM151" i="6" s="1"/>
  <c r="AA192" i="5"/>
  <c r="AA181" i="6" s="1"/>
  <c r="AM227" i="5"/>
  <c r="AM192" i="6" s="1"/>
  <c r="AT28" i="6"/>
  <c r="AA126" i="6"/>
  <c r="Y198" i="6"/>
  <c r="AL52" i="12"/>
  <c r="E49" i="2" s="1"/>
  <c r="AM120" i="6"/>
  <c r="AB172" i="5"/>
  <c r="AB176" i="6" s="1"/>
  <c r="AD184" i="5"/>
  <c r="AD179" i="6" s="1"/>
  <c r="AI208" i="5"/>
  <c r="AI156" i="6" s="1"/>
  <c r="O17" i="8"/>
  <c r="M17" i="8" s="1"/>
  <c r="AM234" i="5"/>
  <c r="AM164" i="6" s="1"/>
  <c r="AM239" i="5"/>
  <c r="AM195" i="6" s="1"/>
  <c r="N29" i="8"/>
  <c r="AB130" i="6"/>
  <c r="AF184" i="5"/>
  <c r="AF179" i="6" s="1"/>
  <c r="AE52" i="12"/>
  <c r="E42" i="2" s="1"/>
  <c r="AM195" i="5"/>
  <c r="AM152" i="6" s="1"/>
  <c r="AM200" i="5"/>
  <c r="AM154" i="6" s="1"/>
  <c r="AM218" i="5"/>
  <c r="AM189" i="6" s="1"/>
  <c r="AM194" i="6"/>
  <c r="Y182" i="6"/>
  <c r="AM175" i="5"/>
  <c r="AM147" i="6" s="1"/>
  <c r="AM230" i="5"/>
  <c r="AM163" i="6" s="1"/>
  <c r="AM243" i="5"/>
  <c r="AM167" i="6" s="1"/>
  <c r="AM91" i="6"/>
  <c r="AM97" i="6"/>
  <c r="AM127" i="6"/>
  <c r="AM187" i="5"/>
  <c r="AM150" i="6" s="1"/>
  <c r="AM244" i="5"/>
  <c r="AM197" i="6" s="1"/>
  <c r="AM222" i="5"/>
  <c r="AM190" i="6" s="1"/>
  <c r="L30" i="9"/>
  <c r="AI52" i="12"/>
  <c r="E46" i="2" s="1"/>
  <c r="AM121" i="6"/>
  <c r="AM129" i="6"/>
  <c r="AM201" i="5"/>
  <c r="AM184" i="6" s="1"/>
  <c r="AB209" i="5"/>
  <c r="AB186" i="6" s="1"/>
  <c r="AM221" i="5"/>
  <c r="AM160" i="6" s="1"/>
  <c r="AM231" i="5"/>
  <c r="AM193" i="6" s="1"/>
  <c r="D30" i="9"/>
  <c r="M30" i="9" s="1"/>
  <c r="N28" i="9"/>
  <c r="H28" i="9"/>
  <c r="Q28" i="9" s="1"/>
  <c r="AJ52" i="12"/>
  <c r="E47" i="2" s="1"/>
  <c r="O21" i="8"/>
  <c r="M21" i="8" s="1"/>
  <c r="L13" i="8"/>
  <c r="M13" i="8"/>
  <c r="N13" i="8" s="1"/>
  <c r="L12" i="8"/>
  <c r="H24" i="9"/>
  <c r="Q24" i="9" s="1"/>
  <c r="H29" i="9"/>
  <c r="Q29" i="9" s="1"/>
  <c r="L24" i="9"/>
  <c r="O101" i="10"/>
  <c r="O100" i="10"/>
  <c r="R101" i="10"/>
  <c r="R100" i="10"/>
  <c r="I64" i="10"/>
  <c r="F26" i="10"/>
  <c r="F16" i="10"/>
  <c r="F55" i="10" s="1"/>
  <c r="G46" i="10"/>
  <c r="H46" i="10"/>
  <c r="E55" i="10"/>
  <c r="F12" i="10"/>
  <c r="I46" i="10"/>
  <c r="F20" i="10"/>
  <c r="D101" i="10"/>
  <c r="I55" i="10"/>
  <c r="D46" i="10"/>
  <c r="E46" i="10"/>
  <c r="G55" i="10"/>
  <c r="G101" i="10"/>
  <c r="F46" i="10"/>
  <c r="D100" i="10"/>
  <c r="H8" i="10"/>
  <c r="H101" i="10" s="1"/>
  <c r="D52" i="10"/>
  <c r="D53" i="10"/>
  <c r="D54" i="10"/>
  <c r="D64" i="10" s="1"/>
  <c r="D55" i="10"/>
  <c r="E53" i="10"/>
  <c r="E60" i="10"/>
  <c r="G52" i="10"/>
  <c r="G53" i="10"/>
  <c r="G54" i="10"/>
  <c r="G64" i="10" s="1"/>
  <c r="G100" i="10"/>
  <c r="I53" i="10"/>
  <c r="I60" i="10"/>
  <c r="Q45" i="2" l="1"/>
  <c r="H70" i="2"/>
  <c r="H62" i="2"/>
  <c r="Q42" i="2"/>
  <c r="Q50" i="2"/>
  <c r="Q49" i="2"/>
  <c r="H64" i="2"/>
  <c r="K124" i="2"/>
  <c r="V31" i="13" s="1"/>
  <c r="M10" i="13"/>
  <c r="K127" i="2"/>
  <c r="W15" i="1" s="1"/>
  <c r="M14" i="13"/>
  <c r="L44" i="2"/>
  <c r="V44" i="2" s="1"/>
  <c r="M11" i="13"/>
  <c r="W42" i="2"/>
  <c r="M9" i="13"/>
  <c r="P48" i="2"/>
  <c r="F15" i="13"/>
  <c r="V38" i="13"/>
  <c r="H67" i="2"/>
  <c r="Q47" i="2"/>
  <c r="W45" i="2"/>
  <c r="M12" i="13"/>
  <c r="U48" i="2"/>
  <c r="K15" i="13"/>
  <c r="G51" i="2"/>
  <c r="G13" i="13"/>
  <c r="U50" i="2"/>
  <c r="K17" i="13"/>
  <c r="H69" i="2"/>
  <c r="E81" i="2" s="1"/>
  <c r="W16" i="1"/>
  <c r="V35" i="13"/>
  <c r="S19" i="1"/>
  <c r="R38" i="13"/>
  <c r="S16" i="1"/>
  <c r="R35" i="13"/>
  <c r="S14" i="1"/>
  <c r="R33" i="13"/>
  <c r="S33" i="1"/>
  <c r="G104" i="3"/>
  <c r="G68" i="13" s="1"/>
  <c r="V33" i="1"/>
  <c r="J104" i="3"/>
  <c r="J68" i="13" s="1"/>
  <c r="AI213" i="5"/>
  <c r="AI158" i="6" s="1"/>
  <c r="E74" i="2"/>
  <c r="E120" i="2"/>
  <c r="Q46" i="2"/>
  <c r="H66" i="2"/>
  <c r="E76" i="2"/>
  <c r="E129" i="2"/>
  <c r="P36" i="13" s="1"/>
  <c r="E131" i="2"/>
  <c r="P38" i="13" s="1"/>
  <c r="E82" i="2"/>
  <c r="E77" i="2"/>
  <c r="E130" i="2"/>
  <c r="P37" i="13" s="1"/>
  <c r="Q48" i="2"/>
  <c r="H68" i="2"/>
  <c r="E132" i="2"/>
  <c r="P39" i="13" s="1"/>
  <c r="E75" i="2"/>
  <c r="E124" i="2"/>
  <c r="E79" i="2"/>
  <c r="E127" i="2"/>
  <c r="P34" i="13" s="1"/>
  <c r="F12" i="3"/>
  <c r="D12" i="3"/>
  <c r="E12" i="3"/>
  <c r="E198" i="4"/>
  <c r="E199" i="4" s="1"/>
  <c r="G198" i="4"/>
  <c r="F198" i="4"/>
  <c r="F199" i="4" s="1"/>
  <c r="G12" i="3"/>
  <c r="D198" i="4"/>
  <c r="D199" i="4" s="1"/>
  <c r="C198" i="4"/>
  <c r="J42" i="2"/>
  <c r="J47" i="2"/>
  <c r="D116" i="2"/>
  <c r="W44" i="2"/>
  <c r="G37" i="3"/>
  <c r="F32" i="1"/>
  <c r="AM172" i="5"/>
  <c r="AM176" i="6" s="1"/>
  <c r="AM100" i="6"/>
  <c r="C31" i="3"/>
  <c r="C55" i="3"/>
  <c r="J45" i="2"/>
  <c r="K45" i="2"/>
  <c r="F37" i="3"/>
  <c r="H37" i="3"/>
  <c r="K37" i="3"/>
  <c r="W47" i="2"/>
  <c r="L45" i="2"/>
  <c r="H30" i="9"/>
  <c r="AM213" i="5"/>
  <c r="AM158" i="6" s="1"/>
  <c r="I37" i="3"/>
  <c r="N33" i="1" s="1"/>
  <c r="D33" i="3"/>
  <c r="D57" i="3"/>
  <c r="T33" i="1"/>
  <c r="C103" i="2"/>
  <c r="A103" i="2" s="1"/>
  <c r="K42" i="2"/>
  <c r="K9" i="13" s="1"/>
  <c r="K47" i="2"/>
  <c r="L47" i="2"/>
  <c r="L42" i="2"/>
  <c r="J44" i="2"/>
  <c r="K44" i="2"/>
  <c r="AH84" i="2"/>
  <c r="AH85" i="2" s="1"/>
  <c r="G68" i="2"/>
  <c r="D80" i="2" s="1"/>
  <c r="I126" i="2"/>
  <c r="H48" i="2"/>
  <c r="W43" i="2"/>
  <c r="O48" i="2"/>
  <c r="K125" i="2"/>
  <c r="W12" i="1"/>
  <c r="F68" i="2"/>
  <c r="C80" i="2" s="1"/>
  <c r="J43" i="2"/>
  <c r="J10" i="13" s="1"/>
  <c r="K43" i="2"/>
  <c r="M51" i="2"/>
  <c r="H50" i="2"/>
  <c r="H17" i="13" s="1"/>
  <c r="F69" i="2"/>
  <c r="O50" i="2"/>
  <c r="F50" i="2"/>
  <c r="F17" i="13" s="1"/>
  <c r="F65" i="2"/>
  <c r="F44" i="2"/>
  <c r="F11" i="13" s="1"/>
  <c r="O44" i="2"/>
  <c r="L43" i="2"/>
  <c r="L10" i="13" s="1"/>
  <c r="O99" i="10"/>
  <c r="O106" i="10" s="1"/>
  <c r="N17" i="8"/>
  <c r="L17" i="8"/>
  <c r="U46" i="2"/>
  <c r="I128" i="2"/>
  <c r="J131" i="2"/>
  <c r="V49" i="2"/>
  <c r="V46" i="2"/>
  <c r="J128" i="2"/>
  <c r="U29" i="2"/>
  <c r="K38" i="2"/>
  <c r="U38" i="2" s="1"/>
  <c r="V29" i="2"/>
  <c r="L38" i="2"/>
  <c r="V38" i="2" s="1"/>
  <c r="H42" i="2"/>
  <c r="H9" i="13" s="1"/>
  <c r="E51" i="2"/>
  <c r="O51" i="2" s="1"/>
  <c r="O42" i="2"/>
  <c r="AG66" i="2"/>
  <c r="AG67" i="2" s="1"/>
  <c r="F62" i="2"/>
  <c r="F42" i="2"/>
  <c r="F9" i="13" s="1"/>
  <c r="AM130" i="6"/>
  <c r="AB95" i="6"/>
  <c r="AM95" i="6"/>
  <c r="G32" i="1"/>
  <c r="J31" i="3"/>
  <c r="G31" i="3"/>
  <c r="F31" i="3"/>
  <c r="I31" i="3"/>
  <c r="K31" i="3"/>
  <c r="H31" i="3"/>
  <c r="J38" i="2"/>
  <c r="T38" i="2" s="1"/>
  <c r="T29" i="2"/>
  <c r="N21" i="8"/>
  <c r="L21" i="8"/>
  <c r="C59" i="3"/>
  <c r="C35" i="3"/>
  <c r="R44" i="2"/>
  <c r="L33" i="1"/>
  <c r="R37" i="2"/>
  <c r="F98" i="3"/>
  <c r="F62" i="13" s="1"/>
  <c r="J98" i="3"/>
  <c r="J62" i="13" s="1"/>
  <c r="I98" i="3"/>
  <c r="I62" i="13" s="1"/>
  <c r="K98" i="3"/>
  <c r="K62" i="13" s="1"/>
  <c r="G98" i="3"/>
  <c r="G62" i="13" s="1"/>
  <c r="H98" i="3"/>
  <c r="H62" i="13" s="1"/>
  <c r="S38" i="2"/>
  <c r="D54" i="3"/>
  <c r="D30" i="3"/>
  <c r="Y87" i="6"/>
  <c r="AM87" i="6"/>
  <c r="AI209" i="5"/>
  <c r="AI186" i="6" s="1"/>
  <c r="Y179" i="6"/>
  <c r="AM184" i="5"/>
  <c r="AM179" i="6" s="1"/>
  <c r="T50" i="2"/>
  <c r="D58" i="3"/>
  <c r="D34" i="3"/>
  <c r="T48" i="2"/>
  <c r="H126" i="2"/>
  <c r="S33" i="13" s="1"/>
  <c r="H46" i="2"/>
  <c r="H13" i="13" s="1"/>
  <c r="F66" i="2"/>
  <c r="O46" i="2"/>
  <c r="F46" i="2"/>
  <c r="F13" i="13" s="1"/>
  <c r="F63" i="2"/>
  <c r="H43" i="2"/>
  <c r="H10" i="13" s="1"/>
  <c r="AG75" i="2"/>
  <c r="AG76" i="2" s="1"/>
  <c r="O43" i="2"/>
  <c r="F43" i="2"/>
  <c r="F10" i="13" s="1"/>
  <c r="Y78" i="6"/>
  <c r="AM78" i="6"/>
  <c r="AB117" i="6"/>
  <c r="AM117" i="6"/>
  <c r="AM108" i="6"/>
  <c r="O33" i="1"/>
  <c r="V50" i="2"/>
  <c r="D56" i="3"/>
  <c r="D32" i="3"/>
  <c r="O47" i="2"/>
  <c r="F67" i="2"/>
  <c r="H47" i="2"/>
  <c r="H14" i="13" s="1"/>
  <c r="F47" i="2"/>
  <c r="F14" i="13" s="1"/>
  <c r="Q30" i="9"/>
  <c r="U33" i="1"/>
  <c r="V48" i="2"/>
  <c r="J126" i="2"/>
  <c r="U33" i="13" s="1"/>
  <c r="S51" i="2"/>
  <c r="AA188" i="6"/>
  <c r="AI214" i="5"/>
  <c r="AM84" i="6"/>
  <c r="U31" i="2"/>
  <c r="F38" i="2"/>
  <c r="P38" i="2" s="1"/>
  <c r="P29" i="2"/>
  <c r="O38" i="2"/>
  <c r="O49" i="2"/>
  <c r="F70" i="2"/>
  <c r="F49" i="2"/>
  <c r="F16" i="13" s="1"/>
  <c r="AH93" i="2"/>
  <c r="AH94" i="2" s="1"/>
  <c r="H49" i="2"/>
  <c r="H16" i="13" s="1"/>
  <c r="AB122" i="6"/>
  <c r="AM122" i="6"/>
  <c r="AI151" i="6"/>
  <c r="AI192" i="5"/>
  <c r="AI181" i="6" s="1"/>
  <c r="AM196" i="5"/>
  <c r="AM182" i="6" s="1"/>
  <c r="AM209" i="5"/>
  <c r="AM186" i="6" s="1"/>
  <c r="W33" i="1"/>
  <c r="W14" i="1"/>
  <c r="I131" i="2"/>
  <c r="U49" i="2"/>
  <c r="W38" i="2"/>
  <c r="S15" i="1"/>
  <c r="O45" i="2"/>
  <c r="H45" i="2"/>
  <c r="H12" i="13" s="1"/>
  <c r="F45" i="2"/>
  <c r="F12" i="13" s="1"/>
  <c r="F64" i="2"/>
  <c r="AB99" i="6"/>
  <c r="AM99" i="6"/>
  <c r="AB86" i="6"/>
  <c r="AM86" i="6"/>
  <c r="AM92" i="6"/>
  <c r="AB125" i="6"/>
  <c r="AM125" i="6"/>
  <c r="AM114" i="6"/>
  <c r="R33" i="1"/>
  <c r="H128" i="2"/>
  <c r="T46" i="2"/>
  <c r="H38" i="2"/>
  <c r="R38" i="2" s="1"/>
  <c r="R29" i="2"/>
  <c r="G125" i="2"/>
  <c r="S12" i="1"/>
  <c r="R99" i="10"/>
  <c r="R106" i="10" s="1"/>
  <c r="AM208" i="5"/>
  <c r="AM156" i="6" s="1"/>
  <c r="AJ126" i="6"/>
  <c r="AB96" i="6"/>
  <c r="AM96" i="6"/>
  <c r="T49" i="2"/>
  <c r="H131" i="2"/>
  <c r="G62" i="10"/>
  <c r="F101" i="10"/>
  <c r="S101" i="10"/>
  <c r="S100" i="10"/>
  <c r="Q100" i="10"/>
  <c r="Q101" i="10"/>
  <c r="F100" i="10"/>
  <c r="I62" i="10"/>
  <c r="D99" i="10"/>
  <c r="F54" i="10"/>
  <c r="F64" i="10" s="1"/>
  <c r="F53" i="10"/>
  <c r="F62" i="10" s="1"/>
  <c r="F52" i="10"/>
  <c r="F63" i="10" s="1"/>
  <c r="E62" i="10"/>
  <c r="D62" i="10"/>
  <c r="G63" i="10"/>
  <c r="G60" i="10"/>
  <c r="D63" i="10"/>
  <c r="D60" i="10"/>
  <c r="G99" i="10"/>
  <c r="H100" i="10"/>
  <c r="H55" i="10"/>
  <c r="H54" i="10"/>
  <c r="H64" i="10" s="1"/>
  <c r="H53" i="10"/>
  <c r="H52" i="10"/>
  <c r="L11" i="13" l="1"/>
  <c r="V34" i="13"/>
  <c r="U42" i="2"/>
  <c r="T42" i="2"/>
  <c r="J9" i="13"/>
  <c r="R48" i="2"/>
  <c r="H15" i="13"/>
  <c r="I127" i="2"/>
  <c r="K14" i="13"/>
  <c r="T47" i="2"/>
  <c r="J14" i="13"/>
  <c r="T45" i="2"/>
  <c r="J12" i="13"/>
  <c r="W51" i="2"/>
  <c r="M18" i="13"/>
  <c r="U44" i="2"/>
  <c r="K11" i="13"/>
  <c r="I124" i="2"/>
  <c r="T31" i="13" s="1"/>
  <c r="K10" i="13"/>
  <c r="T44" i="2"/>
  <c r="J11" i="13"/>
  <c r="V45" i="2"/>
  <c r="L12" i="13"/>
  <c r="V42" i="2"/>
  <c r="L9" i="13"/>
  <c r="Q51" i="2"/>
  <c r="G18" i="13"/>
  <c r="U45" i="2"/>
  <c r="K12" i="13"/>
  <c r="V47" i="2"/>
  <c r="L14" i="13"/>
  <c r="T19" i="1"/>
  <c r="S38" i="13"/>
  <c r="T16" i="1"/>
  <c r="S35" i="13"/>
  <c r="W13" i="1"/>
  <c r="V32" i="13"/>
  <c r="E125" i="2"/>
  <c r="P32" i="13" s="1"/>
  <c r="P31" i="13"/>
  <c r="U19" i="1"/>
  <c r="T38" i="13"/>
  <c r="V16" i="1"/>
  <c r="U35" i="13"/>
  <c r="E121" i="2"/>
  <c r="P27" i="13"/>
  <c r="U15" i="1"/>
  <c r="T34" i="13"/>
  <c r="S13" i="1"/>
  <c r="R32" i="13"/>
  <c r="U14" i="1"/>
  <c r="T33" i="13"/>
  <c r="V19" i="1"/>
  <c r="U38" i="13"/>
  <c r="U16" i="1"/>
  <c r="T35" i="13"/>
  <c r="E78" i="2"/>
  <c r="E128" i="2"/>
  <c r="P35" i="13" s="1"/>
  <c r="J127" i="2"/>
  <c r="E80" i="2"/>
  <c r="E126" i="2"/>
  <c r="P33" i="13" s="1"/>
  <c r="H127" i="2"/>
  <c r="P33" i="1"/>
  <c r="C199" i="4"/>
  <c r="C208" i="4"/>
  <c r="G199" i="4"/>
  <c r="C126" i="2"/>
  <c r="D126" i="2"/>
  <c r="O33" i="13" s="1"/>
  <c r="C36" i="3"/>
  <c r="G100" i="3"/>
  <c r="G64" i="13" s="1"/>
  <c r="F100" i="3"/>
  <c r="F64" i="13" s="1"/>
  <c r="K100" i="3"/>
  <c r="K64" i="13" s="1"/>
  <c r="J100" i="3"/>
  <c r="J64" i="13" s="1"/>
  <c r="I100" i="3"/>
  <c r="I64" i="13" s="1"/>
  <c r="H100" i="3"/>
  <c r="H64" i="13" s="1"/>
  <c r="M33" i="1"/>
  <c r="AM192" i="5"/>
  <c r="AM181" i="6" s="1"/>
  <c r="G33" i="3"/>
  <c r="J33" i="3"/>
  <c r="F33" i="3"/>
  <c r="I33" i="3"/>
  <c r="K33" i="3"/>
  <c r="H33" i="3"/>
  <c r="K33" i="1"/>
  <c r="U47" i="2"/>
  <c r="F99" i="10"/>
  <c r="F126" i="2"/>
  <c r="K51" i="2"/>
  <c r="L51" i="2"/>
  <c r="J51" i="2"/>
  <c r="H124" i="2"/>
  <c r="U43" i="2"/>
  <c r="C77" i="2"/>
  <c r="T43" i="2"/>
  <c r="G65" i="2"/>
  <c r="P44" i="2"/>
  <c r="G69" i="2"/>
  <c r="P50" i="2"/>
  <c r="C81" i="2"/>
  <c r="V43" i="2"/>
  <c r="J124" i="2"/>
  <c r="U31" i="13" s="1"/>
  <c r="R50" i="2"/>
  <c r="K32" i="3"/>
  <c r="J32" i="3"/>
  <c r="I32" i="3"/>
  <c r="H32" i="3"/>
  <c r="F32" i="3"/>
  <c r="G32" i="3"/>
  <c r="O27" i="1"/>
  <c r="T14" i="1"/>
  <c r="P45" i="2"/>
  <c r="G64" i="2"/>
  <c r="C128" i="2"/>
  <c r="C78" i="2"/>
  <c r="C74" i="2"/>
  <c r="R45" i="2"/>
  <c r="P49" i="2"/>
  <c r="G70" i="2"/>
  <c r="J99" i="3"/>
  <c r="J63" i="13" s="1"/>
  <c r="I99" i="3"/>
  <c r="I63" i="13" s="1"/>
  <c r="F99" i="3"/>
  <c r="F63" i="13" s="1"/>
  <c r="K99" i="3"/>
  <c r="K63" i="13" s="1"/>
  <c r="H99" i="3"/>
  <c r="H63" i="13" s="1"/>
  <c r="G99" i="3"/>
  <c r="G63" i="13" s="1"/>
  <c r="F30" i="3"/>
  <c r="K30" i="3"/>
  <c r="J30" i="3"/>
  <c r="I30" i="3"/>
  <c r="G30" i="3"/>
  <c r="H30" i="3"/>
  <c r="C131" i="2"/>
  <c r="C82" i="2"/>
  <c r="F128" i="2"/>
  <c r="R46" i="2"/>
  <c r="J34" i="3"/>
  <c r="I34" i="3"/>
  <c r="H34" i="3"/>
  <c r="K34" i="3"/>
  <c r="G34" i="3"/>
  <c r="F34" i="3"/>
  <c r="S27" i="1"/>
  <c r="C79" i="2"/>
  <c r="C127" i="2"/>
  <c r="R43" i="2"/>
  <c r="F124" i="2"/>
  <c r="Q31" i="13" s="1"/>
  <c r="F101" i="3"/>
  <c r="F65" i="13" s="1"/>
  <c r="K101" i="3"/>
  <c r="K65" i="13" s="1"/>
  <c r="I101" i="3"/>
  <c r="I65" i="13" s="1"/>
  <c r="J101" i="3"/>
  <c r="J65" i="13" s="1"/>
  <c r="H101" i="3"/>
  <c r="H65" i="13" s="1"/>
  <c r="G101" i="3"/>
  <c r="G65" i="13" s="1"/>
  <c r="K51" i="1"/>
  <c r="W27" i="1"/>
  <c r="K85" i="3"/>
  <c r="K39" i="1" s="1"/>
  <c r="P27" i="1"/>
  <c r="V14" i="1"/>
  <c r="U27" i="1"/>
  <c r="J107" i="2"/>
  <c r="O14" i="1" s="1"/>
  <c r="I107" i="2"/>
  <c r="N14" i="1" s="1"/>
  <c r="G107" i="2"/>
  <c r="L14" i="1" s="1"/>
  <c r="K107" i="2"/>
  <c r="P14" i="1" s="1"/>
  <c r="H107" i="2"/>
  <c r="M14" i="1" s="1"/>
  <c r="F107" i="2"/>
  <c r="K14" i="1" s="1"/>
  <c r="N27" i="1"/>
  <c r="P47" i="2"/>
  <c r="G67" i="2"/>
  <c r="T27" i="1"/>
  <c r="F127" i="2"/>
  <c r="R47" i="2"/>
  <c r="M27" i="1"/>
  <c r="C124" i="2"/>
  <c r="N31" i="13" s="1"/>
  <c r="C75" i="2"/>
  <c r="V27" i="1"/>
  <c r="D35" i="3"/>
  <c r="D36" i="3" s="1"/>
  <c r="D59" i="3"/>
  <c r="D60" i="3" s="1"/>
  <c r="K27" i="1"/>
  <c r="H51" i="2"/>
  <c r="R42" i="2"/>
  <c r="AI126" i="6"/>
  <c r="F131" i="2"/>
  <c r="R49" i="2"/>
  <c r="AI188" i="6"/>
  <c r="AM214" i="5"/>
  <c r="AM188" i="6" s="1"/>
  <c r="G66" i="2"/>
  <c r="P46" i="2"/>
  <c r="R27" i="1"/>
  <c r="L27" i="1"/>
  <c r="K97" i="3"/>
  <c r="K61" i="13" s="1"/>
  <c r="P43" i="2"/>
  <c r="G63" i="2"/>
  <c r="H62" i="10"/>
  <c r="C76" i="2"/>
  <c r="C60" i="3"/>
  <c r="E63" i="3" s="1"/>
  <c r="P42" i="2"/>
  <c r="F51" i="2"/>
  <c r="G62" i="2"/>
  <c r="Q99" i="10"/>
  <c r="Q106" i="10" s="1"/>
  <c r="S99" i="10"/>
  <c r="S106" i="10" s="1"/>
  <c r="F60" i="10"/>
  <c r="H63" i="10"/>
  <c r="H60" i="10"/>
  <c r="H99" i="10"/>
  <c r="I125" i="2" l="1"/>
  <c r="U12" i="1"/>
  <c r="U51" i="2"/>
  <c r="K18" i="13"/>
  <c r="R51" i="2"/>
  <c r="H18" i="13"/>
  <c r="T51" i="2"/>
  <c r="J18" i="13"/>
  <c r="P51" i="2"/>
  <c r="F18" i="13"/>
  <c r="V51" i="2"/>
  <c r="L18" i="13"/>
  <c r="H125" i="2"/>
  <c r="S31" i="13"/>
  <c r="A126" i="2"/>
  <c r="N33" i="13"/>
  <c r="R14" i="1"/>
  <c r="Q14" i="1" s="1"/>
  <c r="Q33" i="13"/>
  <c r="T15" i="1"/>
  <c r="S34" i="13"/>
  <c r="A128" i="2"/>
  <c r="N35" i="13"/>
  <c r="R15" i="1"/>
  <c r="Q15" i="1" s="1"/>
  <c r="Q34" i="13"/>
  <c r="R19" i="1"/>
  <c r="Q19" i="1" s="1"/>
  <c r="Q38" i="13"/>
  <c r="R16" i="1"/>
  <c r="Q16" i="1" s="1"/>
  <c r="Q35" i="13"/>
  <c r="A127" i="2"/>
  <c r="N34" i="13"/>
  <c r="A131" i="2"/>
  <c r="N38" i="13"/>
  <c r="V15" i="1"/>
  <c r="U34" i="13"/>
  <c r="U13" i="1"/>
  <c r="T32" i="13"/>
  <c r="E122" i="2"/>
  <c r="P29" i="13" s="1"/>
  <c r="P28" i="13"/>
  <c r="E134" i="2"/>
  <c r="P41" i="13" s="1"/>
  <c r="T12" i="1"/>
  <c r="K213" i="4"/>
  <c r="I213" i="4"/>
  <c r="H213" i="4"/>
  <c r="L213" i="4"/>
  <c r="J213" i="4"/>
  <c r="G213" i="4"/>
  <c r="N213" i="4"/>
  <c r="R213" i="4"/>
  <c r="D213" i="4"/>
  <c r="C213" i="4"/>
  <c r="E213" i="4"/>
  <c r="P213" i="4"/>
  <c r="F213" i="4"/>
  <c r="M213" i="4"/>
  <c r="O213" i="4"/>
  <c r="Q213" i="4"/>
  <c r="N29" i="1"/>
  <c r="K29" i="1"/>
  <c r="V29" i="1"/>
  <c r="O29" i="1"/>
  <c r="W29" i="1"/>
  <c r="K53" i="1"/>
  <c r="T29" i="1"/>
  <c r="U29" i="1"/>
  <c r="L29" i="1"/>
  <c r="R29" i="1"/>
  <c r="M29" i="1"/>
  <c r="P29" i="1"/>
  <c r="K87" i="3"/>
  <c r="K41" i="1" s="1"/>
  <c r="S29" i="1"/>
  <c r="F113" i="2"/>
  <c r="K20" i="1" s="1"/>
  <c r="K113" i="2"/>
  <c r="P20" i="1" s="1"/>
  <c r="H113" i="2"/>
  <c r="M20" i="1" s="1"/>
  <c r="G113" i="2"/>
  <c r="L20" i="1" s="1"/>
  <c r="I113" i="2"/>
  <c r="N20" i="1" s="1"/>
  <c r="J113" i="2"/>
  <c r="O20" i="1" s="1"/>
  <c r="H130" i="2"/>
  <c r="G130" i="2"/>
  <c r="C130" i="2"/>
  <c r="J130" i="2"/>
  <c r="K130" i="2"/>
  <c r="I130" i="2"/>
  <c r="F130" i="2"/>
  <c r="D77" i="2"/>
  <c r="D130" i="2"/>
  <c r="O37" i="13" s="1"/>
  <c r="H111" i="2"/>
  <c r="M18" i="1" s="1"/>
  <c r="I111" i="2"/>
  <c r="N18" i="1" s="1"/>
  <c r="J111" i="2"/>
  <c r="O18" i="1" s="1"/>
  <c r="G111" i="2"/>
  <c r="L18" i="1" s="1"/>
  <c r="K111" i="2"/>
  <c r="P18" i="1" s="1"/>
  <c r="F111" i="2"/>
  <c r="K18" i="1" s="1"/>
  <c r="K132" i="2"/>
  <c r="J132" i="2"/>
  <c r="G132" i="2"/>
  <c r="F132" i="2"/>
  <c r="I132" i="2"/>
  <c r="H132" i="2"/>
  <c r="C132" i="2"/>
  <c r="D132" i="2"/>
  <c r="O39" i="13" s="1"/>
  <c r="D81" i="2"/>
  <c r="J125" i="2"/>
  <c r="V12" i="1"/>
  <c r="C125" i="2"/>
  <c r="A124" i="2"/>
  <c r="K54" i="1"/>
  <c r="W30" i="1"/>
  <c r="M30" i="1"/>
  <c r="K84" i="3"/>
  <c r="K38" i="1" s="1"/>
  <c r="P26" i="1"/>
  <c r="U30" i="1"/>
  <c r="N30" i="1"/>
  <c r="D128" i="2"/>
  <c r="O35" i="13" s="1"/>
  <c r="D78" i="2"/>
  <c r="K108" i="2"/>
  <c r="P15" i="1" s="1"/>
  <c r="F108" i="2"/>
  <c r="K15" i="1" s="1"/>
  <c r="I108" i="2"/>
  <c r="N15" i="1" s="1"/>
  <c r="H108" i="2"/>
  <c r="M15" i="1" s="1"/>
  <c r="G108" i="2"/>
  <c r="L15" i="1" s="1"/>
  <c r="J108" i="2"/>
  <c r="O15" i="1" s="1"/>
  <c r="K112" i="2"/>
  <c r="P19" i="1" s="1"/>
  <c r="J112" i="2"/>
  <c r="O19" i="1" s="1"/>
  <c r="H112" i="2"/>
  <c r="M19" i="1" s="1"/>
  <c r="G112" i="2"/>
  <c r="L19" i="1" s="1"/>
  <c r="F112" i="2"/>
  <c r="K19" i="1" s="1"/>
  <c r="I112" i="2"/>
  <c r="N19" i="1" s="1"/>
  <c r="T28" i="1"/>
  <c r="K28" i="1"/>
  <c r="F38" i="3"/>
  <c r="K38" i="3"/>
  <c r="J38" i="3"/>
  <c r="H38" i="3"/>
  <c r="I38" i="3"/>
  <c r="G38" i="3"/>
  <c r="K26" i="1"/>
  <c r="C63" i="3"/>
  <c r="S28" i="1"/>
  <c r="H62" i="3"/>
  <c r="G62" i="3"/>
  <c r="K62" i="3"/>
  <c r="J62" i="3"/>
  <c r="F62" i="3"/>
  <c r="D63" i="3"/>
  <c r="I62" i="3"/>
  <c r="K52" i="1"/>
  <c r="W28" i="1"/>
  <c r="M28" i="1"/>
  <c r="D74" i="2"/>
  <c r="D120" i="2"/>
  <c r="O27" i="13" s="1"/>
  <c r="U26" i="1"/>
  <c r="O30" i="1"/>
  <c r="R26" i="1"/>
  <c r="K129" i="2"/>
  <c r="V36" i="13" s="1"/>
  <c r="J129" i="2"/>
  <c r="U36" i="13" s="1"/>
  <c r="H129" i="2"/>
  <c r="S36" i="13" s="1"/>
  <c r="G129" i="2"/>
  <c r="R36" i="13" s="1"/>
  <c r="F129" i="2"/>
  <c r="Q36" i="13" s="1"/>
  <c r="I129" i="2"/>
  <c r="T36" i="13" s="1"/>
  <c r="C129" i="2"/>
  <c r="N36" i="13" s="1"/>
  <c r="K110" i="2"/>
  <c r="P17" i="1" s="1"/>
  <c r="J110" i="2"/>
  <c r="O17" i="1" s="1"/>
  <c r="I110" i="2"/>
  <c r="N17" i="1" s="1"/>
  <c r="H110" i="2"/>
  <c r="M17" i="1" s="1"/>
  <c r="G110" i="2"/>
  <c r="L17" i="1" s="1"/>
  <c r="F110" i="2"/>
  <c r="K17" i="1" s="1"/>
  <c r="V26" i="1"/>
  <c r="F102" i="3"/>
  <c r="F66" i="13" s="1"/>
  <c r="R28" i="1"/>
  <c r="H109" i="2"/>
  <c r="M16" i="1" s="1"/>
  <c r="G109" i="2"/>
  <c r="L16" i="1" s="1"/>
  <c r="K109" i="2"/>
  <c r="P16" i="1" s="1"/>
  <c r="I109" i="2"/>
  <c r="N16" i="1" s="1"/>
  <c r="J109" i="2"/>
  <c r="O16" i="1" s="1"/>
  <c r="F109" i="2"/>
  <c r="K16" i="1" s="1"/>
  <c r="N28" i="1"/>
  <c r="D127" i="2"/>
  <c r="O34" i="13" s="1"/>
  <c r="D79" i="2"/>
  <c r="S30" i="1"/>
  <c r="K30" i="1"/>
  <c r="M26" i="1"/>
  <c r="U28" i="1"/>
  <c r="O28" i="1"/>
  <c r="K105" i="2"/>
  <c r="J105" i="2"/>
  <c r="I105" i="2"/>
  <c r="G105" i="2"/>
  <c r="F105" i="2"/>
  <c r="H105" i="2"/>
  <c r="O26" i="1"/>
  <c r="T26" i="1"/>
  <c r="R30" i="1"/>
  <c r="L28" i="1"/>
  <c r="D75" i="2"/>
  <c r="D124" i="2"/>
  <c r="AB126" i="6"/>
  <c r="AM126" i="6"/>
  <c r="T30" i="1"/>
  <c r="L30" i="1"/>
  <c r="L26" i="1"/>
  <c r="V28" i="1"/>
  <c r="F125" i="2"/>
  <c r="R12" i="1"/>
  <c r="Q12" i="1" s="1"/>
  <c r="W26" i="1"/>
  <c r="K50" i="1"/>
  <c r="J101" i="2"/>
  <c r="I101" i="2"/>
  <c r="G101" i="2"/>
  <c r="K101" i="2"/>
  <c r="H101" i="2"/>
  <c r="F101" i="2"/>
  <c r="K120" i="2"/>
  <c r="V27" i="13" s="1"/>
  <c r="J120" i="2"/>
  <c r="U27" i="13" s="1"/>
  <c r="I120" i="2"/>
  <c r="T27" i="13" s="1"/>
  <c r="G120" i="2"/>
  <c r="R27" i="13" s="1"/>
  <c r="H120" i="2"/>
  <c r="S27" i="13" s="1"/>
  <c r="F120" i="2"/>
  <c r="Q27" i="13" s="1"/>
  <c r="C120" i="2"/>
  <c r="N27" i="13" s="1"/>
  <c r="S26" i="1"/>
  <c r="H35" i="3"/>
  <c r="H36" i="3" s="1"/>
  <c r="I35" i="3"/>
  <c r="I36" i="3" s="1"/>
  <c r="G35" i="3"/>
  <c r="G36" i="3" s="1"/>
  <c r="F35" i="3"/>
  <c r="K35" i="3"/>
  <c r="K36" i="3" s="1"/>
  <c r="J35" i="3"/>
  <c r="V30" i="1"/>
  <c r="P30" i="1"/>
  <c r="K88" i="3"/>
  <c r="K42" i="1" s="1"/>
  <c r="N26" i="1"/>
  <c r="D131" i="2"/>
  <c r="O38" i="13" s="1"/>
  <c r="D82" i="2"/>
  <c r="D129" i="2"/>
  <c r="O36" i="13" s="1"/>
  <c r="D76" i="2"/>
  <c r="K86" i="3"/>
  <c r="K40" i="1" s="1"/>
  <c r="P28" i="1"/>
  <c r="S20" i="1" l="1"/>
  <c r="R39" i="13"/>
  <c r="U18" i="1"/>
  <c r="T37" i="13"/>
  <c r="V18" i="1"/>
  <c r="U37" i="13"/>
  <c r="R20" i="1"/>
  <c r="Q20" i="1" s="1"/>
  <c r="Q39" i="13"/>
  <c r="A125" i="2"/>
  <c r="N32" i="13"/>
  <c r="S18" i="1"/>
  <c r="R37" i="13"/>
  <c r="R13" i="1"/>
  <c r="Q13" i="1" s="1"/>
  <c r="Q32" i="13"/>
  <c r="V13" i="1"/>
  <c r="U32" i="13"/>
  <c r="T18" i="1"/>
  <c r="S37" i="13"/>
  <c r="U20" i="1"/>
  <c r="T39" i="13"/>
  <c r="R18" i="1"/>
  <c r="Q18" i="1" s="1"/>
  <c r="Q37" i="13"/>
  <c r="W20" i="1"/>
  <c r="V39" i="13"/>
  <c r="A130" i="2"/>
  <c r="N37" i="13"/>
  <c r="W18" i="1"/>
  <c r="V37" i="13"/>
  <c r="V20" i="1"/>
  <c r="U39" i="13"/>
  <c r="A132" i="2"/>
  <c r="N39" i="13"/>
  <c r="D125" i="2"/>
  <c r="O32" i="13" s="1"/>
  <c r="O31" i="13"/>
  <c r="T20" i="1"/>
  <c r="S39" i="13"/>
  <c r="T13" i="1"/>
  <c r="S32" i="13"/>
  <c r="G60" i="3"/>
  <c r="G103" i="3" s="1"/>
  <c r="G106" i="3" s="1"/>
  <c r="G102" i="3"/>
  <c r="G66" i="13" s="1"/>
  <c r="K60" i="3"/>
  <c r="K103" i="3" s="1"/>
  <c r="K67" i="13" s="1"/>
  <c r="K102" i="3"/>
  <c r="K66" i="13" s="1"/>
  <c r="I60" i="3"/>
  <c r="I103" i="3" s="1"/>
  <c r="I67" i="13" s="1"/>
  <c r="I102" i="3"/>
  <c r="I66" i="13" s="1"/>
  <c r="H60" i="3"/>
  <c r="H103" i="3" s="1"/>
  <c r="H67" i="13" s="1"/>
  <c r="H102" i="3"/>
  <c r="H66" i="13" s="1"/>
  <c r="J60" i="3"/>
  <c r="J103" i="3" s="1"/>
  <c r="J106" i="3" s="1"/>
  <c r="J102" i="3"/>
  <c r="J66" i="13" s="1"/>
  <c r="K90" i="3"/>
  <c r="P32" i="1"/>
  <c r="L32" i="1"/>
  <c r="M32" i="1"/>
  <c r="K115" i="2"/>
  <c r="K116" i="2" s="1"/>
  <c r="K102" i="2"/>
  <c r="P9" i="1" s="1"/>
  <c r="P8" i="1"/>
  <c r="N8" i="1"/>
  <c r="I102" i="2"/>
  <c r="N9" i="1" s="1"/>
  <c r="I115" i="2"/>
  <c r="I116" i="2" s="1"/>
  <c r="J106" i="2"/>
  <c r="O13" i="1" s="1"/>
  <c r="O12" i="1"/>
  <c r="V17" i="1"/>
  <c r="J134" i="2"/>
  <c r="U41" i="13" s="1"/>
  <c r="D121" i="2"/>
  <c r="K12" i="1"/>
  <c r="F106" i="2"/>
  <c r="K13" i="1" s="1"/>
  <c r="A120" i="2"/>
  <c r="C121" i="2"/>
  <c r="J115" i="2"/>
  <c r="J116" i="2" s="1"/>
  <c r="J102" i="2"/>
  <c r="O9" i="1" s="1"/>
  <c r="O8" i="1"/>
  <c r="K106" i="2"/>
  <c r="P13" i="1" s="1"/>
  <c r="P12" i="1"/>
  <c r="W17" i="1"/>
  <c r="K134" i="2"/>
  <c r="V41" i="13" s="1"/>
  <c r="R17" i="1"/>
  <c r="Q17" i="1" s="1"/>
  <c r="F134" i="2"/>
  <c r="Q41" i="13" s="1"/>
  <c r="O31" i="1"/>
  <c r="F121" i="2"/>
  <c r="R8" i="1"/>
  <c r="Q8" i="1" s="1"/>
  <c r="D134" i="2"/>
  <c r="O41" i="13" s="1"/>
  <c r="K63" i="3"/>
  <c r="R31" i="1"/>
  <c r="K31" i="1"/>
  <c r="G121" i="2"/>
  <c r="S8" i="1"/>
  <c r="T31" i="1"/>
  <c r="F60" i="3"/>
  <c r="F103" i="3" s="1"/>
  <c r="I106" i="2"/>
  <c r="N13" i="1" s="1"/>
  <c r="N12" i="1"/>
  <c r="S31" i="1"/>
  <c r="H115" i="2"/>
  <c r="H116" i="2" s="1"/>
  <c r="H102" i="2"/>
  <c r="M9" i="1" s="1"/>
  <c r="M8" i="1"/>
  <c r="G106" i="2"/>
  <c r="L13" i="1" s="1"/>
  <c r="L12" i="1"/>
  <c r="K89" i="3"/>
  <c r="K43" i="1" s="1"/>
  <c r="P31" i="1"/>
  <c r="N31" i="1"/>
  <c r="V8" i="1"/>
  <c r="U31" i="1"/>
  <c r="S17" i="1"/>
  <c r="G134" i="2"/>
  <c r="R41" i="13" s="1"/>
  <c r="L8" i="1"/>
  <c r="G102" i="2"/>
  <c r="L9" i="1" s="1"/>
  <c r="G115" i="2"/>
  <c r="G116" i="2" s="1"/>
  <c r="T17" i="1"/>
  <c r="H134" i="2"/>
  <c r="S41" i="13" s="1"/>
  <c r="H121" i="2"/>
  <c r="S28" i="13" s="1"/>
  <c r="T8" i="1"/>
  <c r="L31" i="1"/>
  <c r="I121" i="2"/>
  <c r="T28" i="13" s="1"/>
  <c r="U8" i="1"/>
  <c r="M31" i="1"/>
  <c r="W8" i="1"/>
  <c r="J36" i="3"/>
  <c r="W31" i="1"/>
  <c r="K55" i="1"/>
  <c r="A129" i="2"/>
  <c r="C134" i="2"/>
  <c r="N41" i="13" s="1"/>
  <c r="F36" i="3"/>
  <c r="N32" i="1"/>
  <c r="S32" i="1"/>
  <c r="G63" i="3"/>
  <c r="F102" i="2"/>
  <c r="K9" i="1" s="1"/>
  <c r="F115" i="2"/>
  <c r="F116" i="2" s="1"/>
  <c r="K8" i="1"/>
  <c r="H106" i="2"/>
  <c r="M13" i="1" s="1"/>
  <c r="M12" i="1"/>
  <c r="V31" i="1"/>
  <c r="U17" i="1"/>
  <c r="I134" i="2"/>
  <c r="T41" i="13" s="1"/>
  <c r="H106" i="3" l="1"/>
  <c r="G67" i="13"/>
  <c r="A121" i="2"/>
  <c r="N28" i="13"/>
  <c r="W9" i="1"/>
  <c r="V28" i="13"/>
  <c r="V9" i="1"/>
  <c r="U28" i="13"/>
  <c r="D122" i="2"/>
  <c r="O29" i="13" s="1"/>
  <c r="O28" i="13"/>
  <c r="R9" i="1"/>
  <c r="Q9" i="1" s="1"/>
  <c r="Q28" i="13"/>
  <c r="S9" i="1"/>
  <c r="R28" i="13"/>
  <c r="K56" i="1"/>
  <c r="U32" i="1"/>
  <c r="W32" i="1"/>
  <c r="K106" i="3"/>
  <c r="V32" i="1"/>
  <c r="I106" i="3"/>
  <c r="J63" i="3"/>
  <c r="T32" i="1"/>
  <c r="J67" i="13"/>
  <c r="I63" i="3"/>
  <c r="H63" i="3"/>
  <c r="F106" i="3"/>
  <c r="F67" i="13"/>
  <c r="C135" i="2"/>
  <c r="N42" i="13" s="1"/>
  <c r="E135" i="2"/>
  <c r="P42" i="13" s="1"/>
  <c r="U9" i="1"/>
  <c r="T9" i="1"/>
  <c r="G122" i="2"/>
  <c r="H122" i="2"/>
  <c r="D135" i="2"/>
  <c r="O42" i="13" s="1"/>
  <c r="J135" i="2"/>
  <c r="U42" i="13" s="1"/>
  <c r="I122" i="2"/>
  <c r="F122" i="2"/>
  <c r="J122" i="2"/>
  <c r="K103" i="2"/>
  <c r="P10" i="1" s="1"/>
  <c r="J103" i="2"/>
  <c r="O10" i="1" s="1"/>
  <c r="F103" i="2"/>
  <c r="K10" i="1" s="1"/>
  <c r="G103" i="2"/>
  <c r="L10" i="1" s="1"/>
  <c r="O32" i="1"/>
  <c r="F135" i="2"/>
  <c r="Q42" i="13" s="1"/>
  <c r="C122" i="2"/>
  <c r="H135" i="2"/>
  <c r="S42" i="13" s="1"/>
  <c r="H103" i="2"/>
  <c r="M10" i="1" s="1"/>
  <c r="K135" i="2"/>
  <c r="V42" i="13" s="1"/>
  <c r="R32" i="1"/>
  <c r="F63" i="3"/>
  <c r="G135" i="2"/>
  <c r="R42" i="13" s="1"/>
  <c r="G137" i="2"/>
  <c r="I135" i="2"/>
  <c r="T42" i="13" s="1"/>
  <c r="K122" i="2"/>
  <c r="K32" i="1"/>
  <c r="I103" i="2"/>
  <c r="N10" i="1" s="1"/>
  <c r="K44" i="1"/>
  <c r="C91" i="3"/>
  <c r="C45" i="1" s="1"/>
  <c r="H91" i="3"/>
  <c r="H45" i="1" s="1"/>
  <c r="C102" i="3"/>
  <c r="C55" i="1" l="1"/>
  <c r="C66" i="13"/>
  <c r="U10" i="1"/>
  <c r="T29" i="13"/>
  <c r="R10" i="1"/>
  <c r="Q10" i="1" s="1"/>
  <c r="Q29" i="13"/>
  <c r="A122" i="2"/>
  <c r="N29" i="13"/>
  <c r="T10" i="1"/>
  <c r="S29" i="13"/>
  <c r="V10" i="1"/>
  <c r="U29" i="13"/>
  <c r="W10" i="1"/>
  <c r="V29" i="13"/>
  <c r="S10" i="1"/>
  <c r="R29" i="13"/>
  <c r="J91" i="3"/>
  <c r="J45" i="1" s="1"/>
  <c r="J57" i="1"/>
  <c r="C101" i="3"/>
  <c r="C88" i="3"/>
  <c r="C42" i="1" s="1"/>
  <c r="I57" i="1"/>
  <c r="I91" i="3"/>
  <c r="I45" i="1" s="1"/>
  <c r="D84" i="3"/>
  <c r="D38" i="1" s="1"/>
  <c r="D97" i="3"/>
  <c r="K91" i="3"/>
  <c r="D91" i="3"/>
  <c r="D45" i="1" s="1"/>
  <c r="D104" i="3"/>
  <c r="F57" i="1"/>
  <c r="E57" i="1"/>
  <c r="E91" i="3"/>
  <c r="E45" i="1" s="1"/>
  <c r="F91" i="3"/>
  <c r="F45" i="1" s="1"/>
  <c r="C87" i="3"/>
  <c r="C41" i="1" s="1"/>
  <c r="C100" i="3"/>
  <c r="C103" i="3"/>
  <c r="C67" i="13" s="1"/>
  <c r="C90" i="3"/>
  <c r="G91" i="3"/>
  <c r="G45" i="1" s="1"/>
  <c r="G57" i="1"/>
  <c r="C98" i="3"/>
  <c r="C85" i="3"/>
  <c r="C39" i="1" s="1"/>
  <c r="C99" i="3"/>
  <c r="C86" i="3"/>
  <c r="C40" i="1" s="1"/>
  <c r="C84" i="3"/>
  <c r="C38" i="1" s="1"/>
  <c r="J97" i="3"/>
  <c r="J61" i="13" s="1"/>
  <c r="H57" i="1"/>
  <c r="F97" i="3"/>
  <c r="F61" i="13" s="1"/>
  <c r="H97" i="3"/>
  <c r="H61" i="13" s="1"/>
  <c r="C89" i="3"/>
  <c r="C43" i="1" s="1"/>
  <c r="I97" i="3"/>
  <c r="I61" i="13" s="1"/>
  <c r="C97" i="3"/>
  <c r="C104" i="3"/>
  <c r="G97" i="3"/>
  <c r="G61" i="13" s="1"/>
  <c r="C57" i="1" l="1"/>
  <c r="C68" i="13"/>
  <c r="C52" i="1"/>
  <c r="C63" i="13"/>
  <c r="C51" i="1"/>
  <c r="C62" i="13"/>
  <c r="D57" i="1"/>
  <c r="D68" i="13"/>
  <c r="C54" i="1"/>
  <c r="C65" i="13"/>
  <c r="C53" i="1"/>
  <c r="C64" i="13"/>
  <c r="C50" i="1"/>
  <c r="C61" i="13"/>
  <c r="D50" i="1"/>
  <c r="D61" i="13"/>
  <c r="D102" i="3"/>
  <c r="D89" i="3"/>
  <c r="D43" i="1" s="1"/>
  <c r="I90" i="3"/>
  <c r="D85" i="3"/>
  <c r="D39" i="1" s="1"/>
  <c r="D98" i="3"/>
  <c r="I54" i="1"/>
  <c r="I88" i="3"/>
  <c r="I42" i="1" s="1"/>
  <c r="C56" i="1"/>
  <c r="C106" i="3"/>
  <c r="J51" i="1"/>
  <c r="J85" i="3"/>
  <c r="J39" i="1" s="1"/>
  <c r="F89" i="3"/>
  <c r="F43" i="1" s="1"/>
  <c r="E89" i="3"/>
  <c r="E43" i="1" s="1"/>
  <c r="E55" i="1"/>
  <c r="F55" i="1"/>
  <c r="J52" i="1"/>
  <c r="J86" i="3"/>
  <c r="J40" i="1" s="1"/>
  <c r="H88" i="3"/>
  <c r="H42" i="1" s="1"/>
  <c r="H54" i="1"/>
  <c r="D87" i="3"/>
  <c r="D41" i="1" s="1"/>
  <c r="D100" i="3"/>
  <c r="J90" i="3"/>
  <c r="D88" i="3"/>
  <c r="D42" i="1" s="1"/>
  <c r="D101" i="3"/>
  <c r="G50" i="1"/>
  <c r="G84" i="3"/>
  <c r="G38" i="1" s="1"/>
  <c r="E90" i="3"/>
  <c r="F90" i="3"/>
  <c r="D86" i="3"/>
  <c r="D40" i="1" s="1"/>
  <c r="D99" i="3"/>
  <c r="J53" i="1"/>
  <c r="J87" i="3"/>
  <c r="J41" i="1" s="1"/>
  <c r="I85" i="3"/>
  <c r="I39" i="1" s="1"/>
  <c r="I51" i="1"/>
  <c r="G53" i="1"/>
  <c r="G87" i="3"/>
  <c r="G41" i="1" s="1"/>
  <c r="K45" i="1"/>
  <c r="K93" i="3"/>
  <c r="G88" i="3"/>
  <c r="G42" i="1" s="1"/>
  <c r="G54" i="1"/>
  <c r="H89" i="3"/>
  <c r="H43" i="1" s="1"/>
  <c r="H55" i="1"/>
  <c r="E88" i="3"/>
  <c r="E42" i="1" s="1"/>
  <c r="E54" i="1"/>
  <c r="F88" i="3"/>
  <c r="F42" i="1" s="1"/>
  <c r="F54" i="1"/>
  <c r="D90" i="3"/>
  <c r="D103" i="3"/>
  <c r="D67" i="13" s="1"/>
  <c r="G51" i="1"/>
  <c r="G85" i="3"/>
  <c r="G39" i="1" s="1"/>
  <c r="K57" i="1"/>
  <c r="G55" i="1"/>
  <c r="G89" i="3"/>
  <c r="G43" i="1" s="1"/>
  <c r="E85" i="3"/>
  <c r="E39" i="1" s="1"/>
  <c r="F51" i="1"/>
  <c r="E51" i="1"/>
  <c r="F85" i="3"/>
  <c r="F39" i="1" s="1"/>
  <c r="J54" i="1"/>
  <c r="J88" i="3"/>
  <c r="J42" i="1" s="1"/>
  <c r="I53" i="1"/>
  <c r="I87" i="3"/>
  <c r="I41" i="1" s="1"/>
  <c r="I86" i="3"/>
  <c r="I40" i="1" s="1"/>
  <c r="I52" i="1"/>
  <c r="E84" i="3"/>
  <c r="E38" i="1" s="1"/>
  <c r="F84" i="3"/>
  <c r="F38" i="1" s="1"/>
  <c r="F50" i="1"/>
  <c r="E50" i="1"/>
  <c r="F86" i="3"/>
  <c r="F40" i="1" s="1"/>
  <c r="E52" i="1"/>
  <c r="F52" i="1"/>
  <c r="E86" i="3"/>
  <c r="E40" i="1" s="1"/>
  <c r="C44" i="1"/>
  <c r="C93" i="3"/>
  <c r="C94" i="3" s="1"/>
  <c r="H87" i="3"/>
  <c r="H41" i="1" s="1"/>
  <c r="H53" i="1"/>
  <c r="H90" i="3"/>
  <c r="I89" i="3"/>
  <c r="I43" i="1" s="1"/>
  <c r="I55" i="1"/>
  <c r="J89" i="3"/>
  <c r="J43" i="1" s="1"/>
  <c r="J55" i="1"/>
  <c r="G86" i="3"/>
  <c r="G40" i="1" s="1"/>
  <c r="G52" i="1"/>
  <c r="I84" i="3"/>
  <c r="I38" i="1" s="1"/>
  <c r="I50" i="1"/>
  <c r="H85" i="3"/>
  <c r="H39" i="1" s="1"/>
  <c r="H51" i="1"/>
  <c r="H50" i="1"/>
  <c r="H84" i="3"/>
  <c r="H38" i="1" s="1"/>
  <c r="J50" i="1"/>
  <c r="J84" i="3"/>
  <c r="J38" i="1" s="1"/>
  <c r="H52" i="1"/>
  <c r="H86" i="3"/>
  <c r="H40" i="1" s="1"/>
  <c r="G90" i="3"/>
  <c r="F87" i="3"/>
  <c r="F41" i="1" s="1"/>
  <c r="F53" i="1"/>
  <c r="E87" i="3"/>
  <c r="E41" i="1" s="1"/>
  <c r="E53" i="1"/>
  <c r="D52" i="1" l="1"/>
  <c r="D63" i="13"/>
  <c r="D51" i="1"/>
  <c r="D62" i="13"/>
  <c r="D55" i="1"/>
  <c r="D66" i="13"/>
  <c r="D54" i="1"/>
  <c r="D65" i="13"/>
  <c r="D53" i="1"/>
  <c r="D64" i="13"/>
  <c r="C107" i="3"/>
  <c r="E107" i="3"/>
  <c r="G107" i="3"/>
  <c r="J107" i="3"/>
  <c r="I107" i="3"/>
  <c r="F107" i="3"/>
  <c r="K107" i="3"/>
  <c r="H107" i="3"/>
  <c r="J44" i="1"/>
  <c r="J93" i="3"/>
  <c r="J94" i="3" s="1"/>
  <c r="J56" i="1"/>
  <c r="H56" i="1"/>
  <c r="E93" i="3"/>
  <c r="E94" i="3" s="1"/>
  <c r="E44" i="1"/>
  <c r="K94" i="3"/>
  <c r="E56" i="1"/>
  <c r="F93" i="3"/>
  <c r="F94" i="3" s="1"/>
  <c r="F44" i="1"/>
  <c r="F56" i="1"/>
  <c r="H44" i="1"/>
  <c r="H93" i="3"/>
  <c r="H94" i="3" s="1"/>
  <c r="I93" i="3"/>
  <c r="I94" i="3" s="1"/>
  <c r="I44" i="1"/>
  <c r="I56" i="1"/>
  <c r="G93" i="3"/>
  <c r="G94" i="3" s="1"/>
  <c r="G44" i="1"/>
  <c r="D56" i="1"/>
  <c r="D106" i="3"/>
  <c r="D107" i="3" s="1"/>
  <c r="G56" i="1"/>
  <c r="D44" i="1"/>
  <c r="D93" i="3"/>
  <c r="D94" i="3" s="1"/>
</calcChain>
</file>

<file path=xl/comments1.xml><?xml version="1.0" encoding="utf-8"?>
<comments xmlns="http://schemas.openxmlformats.org/spreadsheetml/2006/main">
  <authors>
    <author>tc={3BC5BDDB-9022-4316-8812-7F74E2543C1F}</author>
    <author>tc={3F0FACC6-B209-4463-80FC-5DC9476CA831}</author>
    <author>tc={6FADD407-205F-49BB-ABFB-C9B7D83562BB}</author>
    <author>tc={46EE618E-0113-465B-8E2F-A09A279821F7}</author>
    <author>tc={A2C00942-7FFA-462E-B527-C437AD4361AF}</author>
  </authors>
  <commentList>
    <comment ref="V20" authorId="0" shapeId="0">
      <text>
        <r>
          <rPr>
            <sz val="11"/>
            <color rgb="FF000000"/>
            <rFont val="Calibri"/>
            <family val="2"/>
            <charset val="1"/>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plus bas pour ammoniac Hydrogène</t>
        </r>
      </text>
    </comment>
    <comment ref="V49" authorId="0" shapeId="0">
      <text>
        <r>
          <rPr>
            <sz val="11"/>
            <color rgb="FF000000"/>
            <rFont val="Calibri"/>
            <family val="2"/>
            <charset val="1"/>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plus bas pour ammoniac Hydrogène</t>
        </r>
      </text>
    </comment>
    <comment ref="V101" authorId="1" shapeId="0">
      <text>
        <r>
          <rPr>
            <sz val="11"/>
            <color rgb="FF000000"/>
            <rFont val="Calibri"/>
            <family val="2"/>
            <charset val="1"/>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plus bas pour ammoniac Hydrogène</t>
        </r>
      </text>
    </comment>
    <comment ref="V153" authorId="2" shapeId="0">
      <text>
        <r>
          <rPr>
            <sz val="11"/>
            <color rgb="FF000000"/>
            <rFont val="Calibri"/>
            <family val="2"/>
            <charset val="1"/>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plus bas pour ammoniac Hydrogène</t>
        </r>
      </text>
    </comment>
    <comment ref="V154" authorId="3" shapeId="0">
      <text>
        <r>
          <rPr>
            <sz val="11"/>
            <color rgb="FF000000"/>
            <rFont val="Calibri"/>
            <family val="2"/>
            <charset val="1"/>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plus bas pour ammoniac Hydrogène</t>
        </r>
      </text>
    </comment>
    <comment ref="V155" authorId="4" shapeId="0">
      <text>
        <r>
          <rPr>
            <sz val="11"/>
            <color rgb="FF000000"/>
            <rFont val="Calibri"/>
            <family val="2"/>
            <charset val="1"/>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plus bas pour ammoniac Hydrogène</t>
        </r>
      </text>
    </comment>
  </commentList>
</comments>
</file>

<file path=xl/comments2.xml><?xml version="1.0" encoding="utf-8"?>
<comments xmlns="http://schemas.openxmlformats.org/spreadsheetml/2006/main">
  <authors>
    <author>tc={32B31341-B701-4025-8824-10032765DAE8}</author>
  </authors>
  <commentList>
    <comment ref="G97" authorId="0" shapeId="0">
      <text>
        <r>
          <rPr>
            <sz val="11"/>
            <color rgb="FF000000"/>
            <rFont val="Calibri"/>
            <family val="2"/>
            <charset val="1"/>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Modifié, la somme ne faisait pas 100%, j'ai augmenté le gaz et le biofuel</t>
        </r>
      </text>
    </comment>
  </commentList>
</comments>
</file>

<file path=xl/sharedStrings.xml><?xml version="1.0" encoding="utf-8"?>
<sst xmlns="http://schemas.openxmlformats.org/spreadsheetml/2006/main" count="4417" uniqueCount="1057">
  <si>
    <t>Voir le détail des calculs dans les onglets IGCE et Diffus</t>
  </si>
  <si>
    <t>Production IGCE en Mt</t>
  </si>
  <si>
    <t>Historique</t>
  </si>
  <si>
    <t>AME</t>
  </si>
  <si>
    <t>AMS</t>
  </si>
  <si>
    <t>Production (Mt)</t>
  </si>
  <si>
    <t>Acier</t>
  </si>
  <si>
    <t xml:space="preserve">dont haut fourneaux </t>
  </si>
  <si>
    <t>dont procédé électrique</t>
  </si>
  <si>
    <t>dont réduction directe</t>
  </si>
  <si>
    <t>Aluminium</t>
  </si>
  <si>
    <t>Aluminium recyclé</t>
  </si>
  <si>
    <t>Ethylène</t>
  </si>
  <si>
    <t>Chlore</t>
  </si>
  <si>
    <t>Ammoniac</t>
  </si>
  <si>
    <t>Clinker</t>
  </si>
  <si>
    <t>Verre</t>
  </si>
  <si>
    <t>Papier</t>
  </si>
  <si>
    <t>Sucre</t>
  </si>
  <si>
    <t>Valeurs ajoutées industrie diffuse (Md€2014)</t>
  </si>
  <si>
    <t>Données INSEE – Voir onglet VA historique</t>
  </si>
  <si>
    <t>AME 2023</t>
  </si>
  <si>
    <t>AMS 2023</t>
  </si>
  <si>
    <t>Md€2014</t>
  </si>
  <si>
    <t>Métaux primaires</t>
  </si>
  <si>
    <t>Chimie</t>
  </si>
  <si>
    <t>Minéraux non-métalliques</t>
  </si>
  <si>
    <t xml:space="preserve">IAA </t>
  </si>
  <si>
    <t xml:space="preserve">Equipements </t>
  </si>
  <si>
    <t>Autres (textile, etc.)</t>
  </si>
  <si>
    <t>Total diffus</t>
  </si>
  <si>
    <t>Construction</t>
  </si>
  <si>
    <t>Production physique, index 2015</t>
  </si>
  <si>
    <t>Total diffus (cadrage)</t>
  </si>
  <si>
    <t>IGCE</t>
  </si>
  <si>
    <t>1. Historique</t>
  </si>
  <si>
    <t>source</t>
  </si>
  <si>
    <t>CITEPA</t>
  </si>
  <si>
    <t>dont DRI</t>
  </si>
  <si>
    <t>BNR 2019, donnée 2020 calculée avec le taux de variation 2019/2020 du CITEPA</t>
  </si>
  <si>
    <t>dont aluminium recyclé</t>
  </si>
  <si>
    <t>dont 2e fusion</t>
  </si>
  <si>
    <t>CITEPA (pâte à papier) - pas cohérent avec BNR car CITEPA ne prend en compte que la pâte à papier (kraft ou bisulfite)</t>
  </si>
  <si>
    <t>2. Consommation intérieure - Sorties Pepit0</t>
  </si>
  <si>
    <t>Sorties brutes</t>
  </si>
  <si>
    <t>variation / 2015</t>
  </si>
  <si>
    <t>Consommation</t>
  </si>
  <si>
    <t>Alu</t>
  </si>
  <si>
    <t>taux de clinker dans le ciment constant à 0,78</t>
  </si>
  <si>
    <t>NH3</t>
  </si>
  <si>
    <t>Cl2</t>
  </si>
  <si>
    <t>Papiers cartons</t>
  </si>
  <si>
    <t>Total</t>
  </si>
  <si>
    <t>taux de clinker dans le ciment passe à 58% en 2030, 40% en 2050 (reprise ADEME S2)</t>
  </si>
  <si>
    <t>3. Balance commerciale</t>
  </si>
  <si>
    <t>Comparaison avec les données BNR</t>
  </si>
  <si>
    <t>Observé</t>
  </si>
  <si>
    <t>Pepit0</t>
  </si>
  <si>
    <t>Calculé (rapporté aux productions CITEPA)</t>
  </si>
  <si>
    <t>Rapport Production / Consommation</t>
  </si>
  <si>
    <t>BNR</t>
  </si>
  <si>
    <t>production (kt)</t>
  </si>
  <si>
    <t>import (kt)</t>
  </si>
  <si>
    <t>aluminium</t>
  </si>
  <si>
    <t>export (kt)</t>
  </si>
  <si>
    <t>clinker</t>
  </si>
  <si>
    <t>solde commercial apparent (kt)</t>
  </si>
  <si>
    <t>verre</t>
  </si>
  <si>
    <t>Solde / prod</t>
  </si>
  <si>
    <t>ammoniac</t>
  </si>
  <si>
    <t>solde Pepit0 (prod - conso) Mt</t>
  </si>
  <si>
    <t>Surce</t>
  </si>
  <si>
    <t>papier</t>
  </si>
  <si>
    <t>Repris de l'observé</t>
  </si>
  <si>
    <t>Projeté</t>
  </si>
  <si>
    <t>AME : ratios gardés constants par rapport à 2019</t>
  </si>
  <si>
    <t>AMS : ratio gardé constant si exportateur. Hausse du ratio si importateur</t>
  </si>
  <si>
    <t>4. Niveau de production</t>
  </si>
  <si>
    <t>AME run1</t>
  </si>
  <si>
    <t>HF = acier primaire + ferraille traitée en HF (16% de la production des HF, constant dans le temps). Calcul : EAF+HF = Acier ; EAF = Acier - HF = MPR - 0,16HF (feraille HF) soit HF = (Acier - MPR) / (1-0,16)</t>
  </si>
  <si>
    <t>dont hauts-fourneaux</t>
  </si>
  <si>
    <t>EAF = MPR - ferraille traitée en HF - DRI</t>
  </si>
  <si>
    <t>Paramétré (pas de DRI en AMS - projet AM pas pris en compte car pas encore accord de la Commission Européenne)</t>
  </si>
  <si>
    <t>Cf hyp recyclage</t>
  </si>
  <si>
    <t>dont aluminium primaire</t>
  </si>
  <si>
    <t>TOTAL</t>
  </si>
  <si>
    <t>Total index 2019</t>
  </si>
  <si>
    <t>AMS run1</t>
  </si>
  <si>
    <t>NB: on ne suppose pas que l'on augmente le taux de recyclage dans les HF (ne passe que par le déploiement d'EAF)</t>
  </si>
  <si>
    <t>Paramétré, remplace les HF</t>
  </si>
  <si>
    <t>Baisse de l'ammoniac à 2050 à investiguer</t>
  </si>
  <si>
    <t>Total run1</t>
  </si>
  <si>
    <t>IGCE AME</t>
  </si>
  <si>
    <t>IGCE AMS</t>
  </si>
  <si>
    <t>Diffus AME</t>
  </si>
  <si>
    <t>Diffus AMS</t>
  </si>
  <si>
    <t>Diffus</t>
  </si>
  <si>
    <t>cf onglet VA historique</t>
  </si>
  <si>
    <t>2. VA en AME/AMS</t>
  </si>
  <si>
    <t>Valeur ajoutée brute (Md€) - cf Cadrage</t>
  </si>
  <si>
    <t>Evolution / 2020 brute</t>
  </si>
  <si>
    <t>Evolution / 2020 corrigée</t>
  </si>
  <si>
    <t>Md€2015</t>
  </si>
  <si>
    <t xml:space="preserve">Autres  </t>
  </si>
  <si>
    <t>Total industrie</t>
  </si>
  <si>
    <t>Total diffus hors construction</t>
  </si>
  <si>
    <t>VA indice 2019</t>
  </si>
  <si>
    <t>VA run1</t>
  </si>
  <si>
    <t xml:space="preserve">3. Facteur de décorrélation VA / production physique </t>
  </si>
  <si>
    <t>identique AME/AMS</t>
  </si>
  <si>
    <t xml:space="preserve">Poursuite de la tendance historique 2000-2019 </t>
  </si>
  <si>
    <t>Indice 2000</t>
  </si>
  <si>
    <t>commentaires</t>
  </si>
  <si>
    <t>Indice 2019</t>
  </si>
  <si>
    <t>Comportement anormal entre 2000 et 2005 : pour cette branche spécifiquement, on prend la tendance 2005-2019</t>
  </si>
  <si>
    <t>Moyenne entre équipement de transport et machinery</t>
  </si>
  <si>
    <t>Bois 0,12 en 2050, autres autres 0,92, textiles 0,16 =&gt; on prend la moyenne du diffus 0,51</t>
  </si>
  <si>
    <t>Moyenne pondérée</t>
  </si>
  <si>
    <t>4. Niveau de production (indice 2019)</t>
  </si>
  <si>
    <t>total diffus avec construction</t>
  </si>
  <si>
    <t>total index 2019</t>
  </si>
  <si>
    <t>total index 2019 run1</t>
  </si>
  <si>
    <t xml:space="preserve">1. Valeur ajoutée historique par secteur pour l’industrie diffuse </t>
  </si>
  <si>
    <t>G€2014</t>
  </si>
  <si>
    <t>IAA</t>
  </si>
  <si>
    <t>Equipements</t>
  </si>
  <si>
    <t>Attention j'ai changé la catégorie métaux primaires (pris la catégorie "du dessus" : A.88.24 -&gt; A.38.CH, pour que ça colle mieux aux chiffres de l'AME2018)</t>
  </si>
  <si>
    <t>6.202 Valeur ajoutée brute par branche en volume aux prix de l'année précédente chaînés</t>
  </si>
  <si>
    <t>A5.AZ</t>
  </si>
  <si>
    <t>Agriculture, sylviculture et pêche</t>
  </si>
  <si>
    <t>A5.BE</t>
  </si>
  <si>
    <t>Industrie manufacturière, industries extractives et autres</t>
  </si>
  <si>
    <t>A17.DE</t>
  </si>
  <si>
    <t xml:space="preserve">    Industries extractives, énergie, eau, gestion des déchets et dépollution</t>
  </si>
  <si>
    <t>A38.BZ</t>
  </si>
  <si>
    <t xml:space="preserve">      Industries extractives</t>
  </si>
  <si>
    <t>A38.DZ</t>
  </si>
  <si>
    <t xml:space="preserve">      Production et distribution d'électricité, de gaz, de vapeur et d'air conditionné</t>
  </si>
  <si>
    <t>A38.EZ</t>
  </si>
  <si>
    <t xml:space="preserve">      Production et distribution d'eau ; assainissement, gestion des déchets et dépollution</t>
  </si>
  <si>
    <t>A17.C1</t>
  </si>
  <si>
    <t xml:space="preserve">    Fabrication de denrées alimentaires, de boissons et de produits à base de tabac</t>
  </si>
  <si>
    <t>A17.C2</t>
  </si>
  <si>
    <t xml:space="preserve">    Cokéfaction et raffinage</t>
  </si>
  <si>
    <t>A17.C3</t>
  </si>
  <si>
    <t xml:space="preserve">    Fabrication d'équipements électriques, électroniques, informatiques ; fabrication de machines</t>
  </si>
  <si>
    <t>A38.CI</t>
  </si>
  <si>
    <t xml:space="preserve">      Fabrication de produits informatiques, électroniques et optiques</t>
  </si>
  <si>
    <t>A38.CJ</t>
  </si>
  <si>
    <t xml:space="preserve">      Fabrication d équipements électriques</t>
  </si>
  <si>
    <t>A38.CK</t>
  </si>
  <si>
    <t xml:space="preserve">      Fabrication de machines et équipements n.c.a.</t>
  </si>
  <si>
    <t>A17.C4</t>
  </si>
  <si>
    <t xml:space="preserve">    Fabrication de matériels de transport</t>
  </si>
  <si>
    <t>A17.C5</t>
  </si>
  <si>
    <t xml:space="preserve">    Fabrication d'autres produits industriels</t>
  </si>
  <si>
    <t>A38.CB</t>
  </si>
  <si>
    <t xml:space="preserve">      Fabrication de textiles, industries de l'habillement, industrie du cuir et de la chaussure</t>
  </si>
  <si>
    <t>A38.CC</t>
  </si>
  <si>
    <t xml:space="preserve">      Travail du bois, industries du papier et imprimerie</t>
  </si>
  <si>
    <t>A38.CE</t>
  </si>
  <si>
    <t xml:space="preserve">      Industrie chimique</t>
  </si>
  <si>
    <t>A38.CF</t>
  </si>
  <si>
    <t xml:space="preserve">      Industrie pharmaceutique</t>
  </si>
  <si>
    <t>A38.CG</t>
  </si>
  <si>
    <t xml:space="preserve">      Fabrication de produits en caoutchouc, en plastique et d'autres produits minéraux non métalliques</t>
  </si>
  <si>
    <t>A38.CH</t>
  </si>
  <si>
    <t xml:space="preserve">      Métallurgie et fabrication de produits métalliques, hors machines et équipements</t>
  </si>
  <si>
    <t>A38.CM</t>
  </si>
  <si>
    <t xml:space="preserve">      Autres industries manufacturières ; réparation et installation de machines et d'équipements</t>
  </si>
  <si>
    <t>A5.FZ</t>
  </si>
  <si>
    <t>A5.GU</t>
  </si>
  <si>
    <t>Services principalement marchands</t>
  </si>
  <si>
    <t>A10.GI</t>
  </si>
  <si>
    <t xml:space="preserve">  Commerce de gros et de détail, transports, hébergement et restauration</t>
  </si>
  <si>
    <t>A17.GZ</t>
  </si>
  <si>
    <t xml:space="preserve">    Commerce ; réparation d'automobiles et de motocycles</t>
  </si>
  <si>
    <t>A17.HZ</t>
  </si>
  <si>
    <t xml:space="preserve">    Transports et entreposage</t>
  </si>
  <si>
    <t>A17.IZ</t>
  </si>
  <si>
    <t xml:space="preserve">    Hébergement et restauration</t>
  </si>
  <si>
    <t>A10.JZ</t>
  </si>
  <si>
    <t xml:space="preserve">  Information et communication</t>
  </si>
  <si>
    <t>A38.JA</t>
  </si>
  <si>
    <t xml:space="preserve">      Édition, audiovisuel et diffusion</t>
  </si>
  <si>
    <t>A38.JB</t>
  </si>
  <si>
    <t xml:space="preserve">      Télécommunications</t>
  </si>
  <si>
    <t>A38.JC</t>
  </si>
  <si>
    <t xml:space="preserve">      Activités informatiques et services d'information</t>
  </si>
  <si>
    <t>A10.KZ</t>
  </si>
  <si>
    <t xml:space="preserve">  Activités financières et d'assurance</t>
  </si>
  <si>
    <t>A10.LZ</t>
  </si>
  <si>
    <t xml:space="preserve">  Activités immobilières</t>
  </si>
  <si>
    <t>A10.MN</t>
  </si>
  <si>
    <t xml:space="preserve">  Activités scientifiques et techniques ; services administratifs et de soutien</t>
  </si>
  <si>
    <t>A38.MA</t>
  </si>
  <si>
    <t xml:space="preserve">      Activités juridiques, comptables, de gestion, d'architecture, d'ingénierie, de contrôle et d'analyses techniques</t>
  </si>
  <si>
    <t>A38.MB</t>
  </si>
  <si>
    <t xml:space="preserve">      Recherche-développement scientifique</t>
  </si>
  <si>
    <t>A38.MC</t>
  </si>
  <si>
    <t xml:space="preserve">      Autres activités spécialisées, scientifiques et techniques</t>
  </si>
  <si>
    <t>A38.NZ</t>
  </si>
  <si>
    <t xml:space="preserve">      Activités de services administratifs et de soutien</t>
  </si>
  <si>
    <t>A10.RU</t>
  </si>
  <si>
    <t xml:space="preserve">  Autres services</t>
  </si>
  <si>
    <t>A38.RZ</t>
  </si>
  <si>
    <t xml:space="preserve">      Arts, spectacles et activités récréatives</t>
  </si>
  <si>
    <t>A38.SZ</t>
  </si>
  <si>
    <t xml:space="preserve">      Autres activités de services</t>
  </si>
  <si>
    <t>A38.TZ</t>
  </si>
  <si>
    <t xml:space="preserve">      Activités des ménages en tant qu'employeurs</t>
  </si>
  <si>
    <t>A5.OQ</t>
  </si>
  <si>
    <t>Services principalement non marchands (*)</t>
  </si>
  <si>
    <t>A38.OZ</t>
  </si>
  <si>
    <t xml:space="preserve">      Administration publique et défense - sécurité sociale obligatoire</t>
  </si>
  <si>
    <t>A38.PZ</t>
  </si>
  <si>
    <t xml:space="preserve">      Enseignement</t>
  </si>
  <si>
    <t>A38.QA</t>
  </si>
  <si>
    <t xml:space="preserve">      Activités pour la santé humaine</t>
  </si>
  <si>
    <t>A38.QB</t>
  </si>
  <si>
    <t xml:space="preserve">      Hébergement médico-social et social et action sociale sans hébergement</t>
  </si>
  <si>
    <t>Total des branches</t>
  </si>
  <si>
    <t>Milliares d'euros 2014</t>
  </si>
  <si>
    <t>Source : Comptes nationaux - Base 2014, Insee</t>
  </si>
  <si>
    <t>6.202D Valeur ajoutée brute par branche en volume aux prix de l'année précédente chaînés</t>
  </si>
  <si>
    <t>A38.AZ</t>
  </si>
  <si>
    <t>A88.01</t>
  </si>
  <si>
    <t xml:space="preserve">  Culture et production animale, chasse et services annexes</t>
  </si>
  <si>
    <t>A88.02</t>
  </si>
  <si>
    <t xml:space="preserve">  Sylviculture et exploitation forestière</t>
  </si>
  <si>
    <t>A88.03</t>
  </si>
  <si>
    <t xml:space="preserve">  Pêche et aquaculture</t>
  </si>
  <si>
    <t>Industries extractives</t>
  </si>
  <si>
    <t>A88.05</t>
  </si>
  <si>
    <t xml:space="preserve">  Extraction de houille et de lignite</t>
  </si>
  <si>
    <t>A88.06</t>
  </si>
  <si>
    <t xml:space="preserve">  Extraction d'hydrocarbures</t>
  </si>
  <si>
    <t>A88.07</t>
  </si>
  <si>
    <t xml:space="preserve">  Extraction de minerais métalliques</t>
  </si>
  <si>
    <t>A88.08</t>
  </si>
  <si>
    <t xml:space="preserve">  Autres industries extractives</t>
  </si>
  <si>
    <t>A88.09</t>
  </si>
  <si>
    <t xml:space="preserve">  Services de soutien aux industries extractives</t>
  </si>
  <si>
    <t>A38.CA</t>
  </si>
  <si>
    <t>Fabrication de denrées alimentaires, de boissons et de produits à base de tabac</t>
  </si>
  <si>
    <t>A88.10</t>
  </si>
  <si>
    <t xml:space="preserve">  Industries alimentaires</t>
  </si>
  <si>
    <t>A88.11</t>
  </si>
  <si>
    <t xml:space="preserve">  Fabrication de boissons</t>
  </si>
  <si>
    <t>A88.12</t>
  </si>
  <si>
    <t xml:space="preserve">  Fabrication de produits à base de tabac</t>
  </si>
  <si>
    <t>Fabrication de textiles, industries de l'habillement, industrie du cuir et de la chaussure</t>
  </si>
  <si>
    <t>A88.13</t>
  </si>
  <si>
    <t xml:space="preserve">  Fabrication de textiles</t>
  </si>
  <si>
    <t>A88.14</t>
  </si>
  <si>
    <t xml:space="preserve">  Industrie de l'habillement</t>
  </si>
  <si>
    <t>A88.15</t>
  </si>
  <si>
    <t xml:space="preserve">  Industrie du cuir et de la chaussure</t>
  </si>
  <si>
    <t>Travail du bois, industries du papier et imprimerie</t>
  </si>
  <si>
    <t>A88.16</t>
  </si>
  <si>
    <t xml:space="preserve">  Travail du bois et fabrication d'articles en bois et en liège, hors meubles ; fabrication d'articles en vannerie et sparterie</t>
  </si>
  <si>
    <t>A88.17</t>
  </si>
  <si>
    <t xml:space="preserve">  Industrie du papier et du carton</t>
  </si>
  <si>
    <t>A88.18</t>
  </si>
  <si>
    <t xml:space="preserve">  Imprimerie et reproduction d'enregistrements</t>
  </si>
  <si>
    <t>A38.CD</t>
  </si>
  <si>
    <t>Cokéfaction et raffinage</t>
  </si>
  <si>
    <t>Industrie chimique</t>
  </si>
  <si>
    <t>Industrie pharmaceutique</t>
  </si>
  <si>
    <t>Fabrication de produits en caoutchouc, en plastique et d'autres produits minéraux non métalliques</t>
  </si>
  <si>
    <t>A88.22</t>
  </si>
  <si>
    <t xml:space="preserve">  Fabrication de produits en caoutchouc et en plastique</t>
  </si>
  <si>
    <t>A88.23</t>
  </si>
  <si>
    <t xml:space="preserve">  Fabrication d'autres produits minéraux non métalliques</t>
  </si>
  <si>
    <t>Métallurgie et fabrication de produits métalliques, hors machines et équipements</t>
  </si>
  <si>
    <t>A88.24</t>
  </si>
  <si>
    <t xml:space="preserve">  Métallurgie</t>
  </si>
  <si>
    <t>A88.25</t>
  </si>
  <si>
    <t xml:space="preserve">  Fabrication de produits métalliques, hors machines et équipements</t>
  </si>
  <si>
    <t>Fabrication de produits informatiques, électroniques et optiques</t>
  </si>
  <si>
    <t>Fabrication d'équipements électriques</t>
  </si>
  <si>
    <t>Fabrication de machines et équipements n.c.a.</t>
  </si>
  <si>
    <t>A38.CL</t>
  </si>
  <si>
    <t>Fabrication de matériels de transport</t>
  </si>
  <si>
    <t>A88.29</t>
  </si>
  <si>
    <t xml:space="preserve">  Industrie automobile</t>
  </si>
  <si>
    <t>A88.30</t>
  </si>
  <si>
    <t xml:space="preserve">  Fabrication d'autres matériels de transport</t>
  </si>
  <si>
    <t>Autres industries manufacturières ; réparation et installation de machines et d'équipements</t>
  </si>
  <si>
    <t>A88.31</t>
  </si>
  <si>
    <t xml:space="preserve">  Fabrication de meubles</t>
  </si>
  <si>
    <t>A88.32</t>
  </si>
  <si>
    <t xml:space="preserve">  Autres industries manufacturières</t>
  </si>
  <si>
    <t>A88.33</t>
  </si>
  <si>
    <t xml:space="preserve">  Réparation et installation de machines et d'équipements</t>
  </si>
  <si>
    <t>Production et distribution d'électricité, de gaz, de vapeur et d'air conditionné</t>
  </si>
  <si>
    <t>Production et distribution d'eau ; assainissement, gestion des déchets et dépollution</t>
  </si>
  <si>
    <t>A88.36</t>
  </si>
  <si>
    <t xml:space="preserve">  Captage, traitement et distribution d'eau</t>
  </si>
  <si>
    <t>A88.37</t>
  </si>
  <si>
    <t xml:space="preserve">  Collecte et traitement des eaux usées</t>
  </si>
  <si>
    <t>A88.38</t>
  </si>
  <si>
    <t xml:space="preserve">  Collecte, traitement et élimination des déchets ; récupération</t>
  </si>
  <si>
    <t>A88.39</t>
  </si>
  <si>
    <t xml:space="preserve">  Dépollution et autres services de gestion des déchets</t>
  </si>
  <si>
    <t>A38.FZ</t>
  </si>
  <si>
    <t>A88.41</t>
  </si>
  <si>
    <t xml:space="preserve">  Construction de bâtiments</t>
  </si>
  <si>
    <t>A88.42</t>
  </si>
  <si>
    <t xml:space="preserve">  Génie civil</t>
  </si>
  <si>
    <t>A88.43</t>
  </si>
  <si>
    <t xml:space="preserve">  Travaux de construction spécialisés</t>
  </si>
  <si>
    <t>A38.GZ</t>
  </si>
  <si>
    <t>Commerce ; réparation d'automobiles et de motocycles</t>
  </si>
  <si>
    <t>A88.45</t>
  </si>
  <si>
    <t xml:space="preserve">  Commerce et réparation d'automobiles et de motocycles</t>
  </si>
  <si>
    <t>A88.46</t>
  </si>
  <si>
    <t xml:space="preserve">  Commerce de gros, hors automobiles et motocycles</t>
  </si>
  <si>
    <t>A88.47</t>
  </si>
  <si>
    <t xml:space="preserve">  Commerce de détail, hors automobiles et motocycles</t>
  </si>
  <si>
    <t>A38.HZ</t>
  </si>
  <si>
    <t>Transports et entreposage</t>
  </si>
  <si>
    <t>A88.49</t>
  </si>
  <si>
    <t xml:space="preserve">  Transports terrestres et transport par conduites</t>
  </si>
  <si>
    <t>A88.50</t>
  </si>
  <si>
    <t xml:space="preserve">  Transports par eau</t>
  </si>
  <si>
    <t>A88.51</t>
  </si>
  <si>
    <t xml:space="preserve">  Transports aériens</t>
  </si>
  <si>
    <t>A88.52</t>
  </si>
  <si>
    <t xml:space="preserve">  Entreposage et services auxiliaires des transports</t>
  </si>
  <si>
    <t>A88.53</t>
  </si>
  <si>
    <t xml:space="preserve">  Activités de poste et de courrier</t>
  </si>
  <si>
    <t>A38.IZ</t>
  </si>
  <si>
    <t>Hébergement et restauration</t>
  </si>
  <si>
    <t>A88.55</t>
  </si>
  <si>
    <t xml:space="preserve">  Hébergement</t>
  </si>
  <si>
    <t>A88.56</t>
  </si>
  <si>
    <t xml:space="preserve">  Restauration</t>
  </si>
  <si>
    <t>Édition, audiovisuel et diffusion</t>
  </si>
  <si>
    <t>A88.58</t>
  </si>
  <si>
    <t xml:space="preserve">  Édition</t>
  </si>
  <si>
    <t>A88.59</t>
  </si>
  <si>
    <t xml:space="preserve">  Production de films cinématographiques, de vidéo et de programmes de télévision ; enregistrement sonore et édition musicale</t>
  </si>
  <si>
    <t>A88.60</t>
  </si>
  <si>
    <t xml:space="preserve">  Programmation et diffusion</t>
  </si>
  <si>
    <t>Télécommunications</t>
  </si>
  <si>
    <t>Activités informatiques et services d'information</t>
  </si>
  <si>
    <t>A88.62</t>
  </si>
  <si>
    <t xml:space="preserve">  Programmation, conseil et autres activités informatiques</t>
  </si>
  <si>
    <t>A88.63</t>
  </si>
  <si>
    <t xml:space="preserve">  Services d'information</t>
  </si>
  <si>
    <t>A38.KZ</t>
  </si>
  <si>
    <t>Activités financières et d'assurance</t>
  </si>
  <si>
    <t>A88.64</t>
  </si>
  <si>
    <t xml:space="preserve">  Activités des services financiers, hors assurance et caisses de retraite</t>
  </si>
  <si>
    <t>A88.65</t>
  </si>
  <si>
    <t xml:space="preserve">  Assurance</t>
  </si>
  <si>
    <t>A88.66</t>
  </si>
  <si>
    <t xml:space="preserve">  Activités auxiliaires de services financiers et d'assurance</t>
  </si>
  <si>
    <t>A38.LZ</t>
  </si>
  <si>
    <t>Activités immobilières</t>
  </si>
  <si>
    <t>Activités juridiques, comptables, de gestion, d'architecture, d'ingénierie, de contrôle et d'analyses techniques</t>
  </si>
  <si>
    <t>A88.69</t>
  </si>
  <si>
    <t xml:space="preserve">  Activités juridiques et comptables</t>
  </si>
  <si>
    <t>A88.70</t>
  </si>
  <si>
    <t xml:space="preserve">  Activités des sièges sociaux ; conseil de gestion</t>
  </si>
  <si>
    <t>A88.71</t>
  </si>
  <si>
    <t xml:space="preserve">  Activités d'architecture et d'ingénierie ; activités de contrôle et analyses techniques</t>
  </si>
  <si>
    <t>Recherche-développement scientifique</t>
  </si>
  <si>
    <t>Autres activités spécialisées, scientifiques et techniques</t>
  </si>
  <si>
    <t>A88.73</t>
  </si>
  <si>
    <t xml:space="preserve">  Publicité et études de marché</t>
  </si>
  <si>
    <t>A88.74</t>
  </si>
  <si>
    <t xml:space="preserve">  Autres activités spécialisées, scientifiques et techniques</t>
  </si>
  <si>
    <t>A88.75</t>
  </si>
  <si>
    <t xml:space="preserve">  Activités vétérinaires</t>
  </si>
  <si>
    <t>Activités de services administratifs et de soutien</t>
  </si>
  <si>
    <t>A88.77</t>
  </si>
  <si>
    <t xml:space="preserve">  Activités de location et location-bail</t>
  </si>
  <si>
    <t>A88.78</t>
  </si>
  <si>
    <t xml:space="preserve">  Activités liées à l'emploi</t>
  </si>
  <si>
    <t>A88.79</t>
  </si>
  <si>
    <t xml:space="preserve">  Activités des agences de voyage, voyagistes, services de réservation et activités connexes</t>
  </si>
  <si>
    <t>A88.80</t>
  </si>
  <si>
    <t xml:space="preserve">  Enquêtes et sécurité</t>
  </si>
  <si>
    <t>A88.81</t>
  </si>
  <si>
    <t xml:space="preserve">  Services relatifs aux bâtiments et aménagement paysager</t>
  </si>
  <si>
    <t>A88.82</t>
  </si>
  <si>
    <t xml:space="preserve">  Activités administratives et autres activités de soutien aux entreprises</t>
  </si>
  <si>
    <t>Administration publique et défense - sécurité sociale obligatoire</t>
  </si>
  <si>
    <t>Enseignement</t>
  </si>
  <si>
    <t>Activités pour la santé humaine</t>
  </si>
  <si>
    <t>Hébergement médico-social et social et action sociale sans hébergement</t>
  </si>
  <si>
    <t>A88.87</t>
  </si>
  <si>
    <t xml:space="preserve">  Hébergement médico-social et social</t>
  </si>
  <si>
    <t>A88.88</t>
  </si>
  <si>
    <t xml:space="preserve">  Action sociale sans hébergement</t>
  </si>
  <si>
    <t>Arts, spectacles et activités récréatives</t>
  </si>
  <si>
    <t>A88.90</t>
  </si>
  <si>
    <t xml:space="preserve">  Activités créatives, artistiques et de spectacle</t>
  </si>
  <si>
    <t>A88.91</t>
  </si>
  <si>
    <t xml:space="preserve">  Bibliothèques, archives, musées et autres activités culturelles</t>
  </si>
  <si>
    <t>A88.92</t>
  </si>
  <si>
    <t xml:space="preserve">  Organisation de jeux de hasard et d'argent</t>
  </si>
  <si>
    <t>A88.93</t>
  </si>
  <si>
    <t xml:space="preserve">  Activités sportives, récréatives et de loisirs</t>
  </si>
  <si>
    <t>Autres activités de services</t>
  </si>
  <si>
    <t>A88.94</t>
  </si>
  <si>
    <t xml:space="preserve">  Activités des organisations associatives</t>
  </si>
  <si>
    <t>A88.95</t>
  </si>
  <si>
    <t xml:space="preserve">  Réparation d'ordinateurs et de biens personnels et domestiques</t>
  </si>
  <si>
    <t>A88.96</t>
  </si>
  <si>
    <t xml:space="preserve">  Autres services personnels</t>
  </si>
  <si>
    <t>Activités des ménages en tant qu'employeurs</t>
  </si>
  <si>
    <t>A88.97</t>
  </si>
  <si>
    <t xml:space="preserve">  Activités des ménages en tant qu'employeurs de personnel domestique</t>
  </si>
  <si>
    <t>2. Evolution de la VA de l’industrie diffuse</t>
  </si>
  <si>
    <t>2020 : pour les secteurs non renseignés, hypothèse d’une baisse de 9,5 % (baisse de la VA de l’industrie selon l’INSEE)</t>
  </si>
  <si>
    <t>Md€ 2015</t>
  </si>
  <si>
    <t>TOTAL DIFFUS hors construction</t>
  </si>
  <si>
    <t>TOTAL DIFFUS y.c construction</t>
  </si>
  <si>
    <t>INSEE (G€ prix courants)</t>
  </si>
  <si>
    <t>INSEE (G€ 2014)</t>
  </si>
  <si>
    <t>EC Ref (G€ 2015)</t>
  </si>
  <si>
    <t>Total « industrie et énergie »</t>
  </si>
  <si>
    <t>dont total industrie</t>
  </si>
  <si>
    <t>Total construction</t>
  </si>
  <si>
    <t>inflation cumulée par rapport à 2014</t>
  </si>
  <si>
    <t>Ratio VA diffus / VA industrie hors construction</t>
  </si>
  <si>
    <t>VA construction on garde tel quel</t>
  </si>
  <si>
    <t xml:space="preserve">VA industrie </t>
  </si>
  <si>
    <t>cadrage</t>
  </si>
  <si>
    <t>VA industrie diffuse</t>
  </si>
  <si>
    <t>VA construction</t>
  </si>
  <si>
    <t>Année de référence 2019</t>
  </si>
  <si>
    <t>Données Run 1</t>
  </si>
  <si>
    <t>Proposition Run 2</t>
  </si>
  <si>
    <t>Consommation d'énergie 2019</t>
  </si>
  <si>
    <t>Charbon</t>
  </si>
  <si>
    <t>Pétrole brut</t>
  </si>
  <si>
    <t>Produits pétroliers raffinés</t>
  </si>
  <si>
    <t>Gaz naturel</t>
  </si>
  <si>
    <t>EnR thermiques et déchets</t>
  </si>
  <si>
    <t>Chaleur de l'environnement</t>
  </si>
  <si>
    <t>Solaire thermique et géothermie</t>
  </si>
  <si>
    <t>Électricité</t>
  </si>
  <si>
    <t>Chaleur vendue</t>
  </si>
  <si>
    <t>Hydrogène</t>
  </si>
  <si>
    <t>Gains AAP FR Relance - run1</t>
  </si>
  <si>
    <t>Gains AAP FR Relance - run2</t>
  </si>
  <si>
    <t>Biomasse solide</t>
  </si>
  <si>
    <t>Déchets</t>
  </si>
  <si>
    <t>Biocarburants</t>
  </si>
  <si>
    <t>Gaz renouvelable</t>
  </si>
  <si>
    <t>Coke</t>
  </si>
  <si>
    <t>Electricité PAC</t>
  </si>
  <si>
    <t>GWh</t>
  </si>
  <si>
    <t>%/2019</t>
  </si>
  <si>
    <t>Source</t>
  </si>
  <si>
    <t>Commentaire changement entre run1 &amp; run2</t>
  </si>
  <si>
    <t xml:space="preserve">     Dont sidérurgie (hauts fourneaux)</t>
  </si>
  <si>
    <t>Eurostat (Energie dans la ligne transformation des hauts fourneaux)</t>
  </si>
  <si>
    <t>Distinction entre la consommation des hauts fourneaux  et de la siderurgie après fabrication de l'acier liquide</t>
  </si>
  <si>
    <t xml:space="preserve">     Dont sidérurgie (arc électrique)</t>
  </si>
  <si>
    <t>https://www.mdpi.com/1996-1073/14/16/5152</t>
  </si>
  <si>
    <t xml:space="preserve">     Dont sidérurgie (réduction directe)</t>
  </si>
  <si>
    <t xml:space="preserve">  Dont sidérurgie (mise en forme de l'acier)</t>
  </si>
  <si>
    <t>Par différence -Odyssée</t>
  </si>
  <si>
    <t xml:space="preserve">     Dont aluminium (primaire)</t>
  </si>
  <si>
    <t>DGEC</t>
  </si>
  <si>
    <t xml:space="preserve">     Dont aluminium (recyclé)</t>
  </si>
  <si>
    <t>European aluminium - Enviromental report</t>
  </si>
  <si>
    <t xml:space="preserve">     Dont autres métaux primaires</t>
  </si>
  <si>
    <t>Odyssée</t>
  </si>
  <si>
    <t xml:space="preserve">     Dont Ammoniac</t>
  </si>
  <si>
    <t xml:space="preserve">     Dont pétrochimie de base</t>
  </si>
  <si>
    <t xml:space="preserve">Extrapolé à partir de données Secten de 2014 </t>
  </si>
  <si>
    <t>Consommation de pétrole réatribuée à du gaz, je pense qu'il y a un souci de scope entre Eurostat/SDES et les données du Secten sur la consommation de gaz/pétrole</t>
  </si>
  <si>
    <t xml:space="preserve">     Dont autres chimies</t>
  </si>
  <si>
    <t>Non-métalliques</t>
  </si>
  <si>
    <t xml:space="preserve">     Dont ciment</t>
  </si>
  <si>
    <t xml:space="preserve">     Dont verre</t>
  </si>
  <si>
    <t xml:space="preserve">     Dont autres non-métalliques</t>
  </si>
  <si>
    <t>Industries agroalimentaires</t>
  </si>
  <si>
    <t>Dont Sucre</t>
  </si>
  <si>
    <t>Dont autres IAA</t>
  </si>
  <si>
    <t>Equipement</t>
  </si>
  <si>
    <t>Autres</t>
  </si>
  <si>
    <t xml:space="preserve">     Dont papier-pâtes</t>
  </si>
  <si>
    <t xml:space="preserve">     Dont autres</t>
  </si>
  <si>
    <t xml:space="preserve">Total </t>
  </si>
  <si>
    <t>Total (sans HF)</t>
  </si>
  <si>
    <t xml:space="preserve">Charbon + Coke </t>
  </si>
  <si>
    <t xml:space="preserve">chaleur achetée </t>
  </si>
  <si>
    <t>Mix énergétique</t>
  </si>
  <si>
    <t xml:space="preserve">Électricité </t>
  </si>
  <si>
    <t>Gaz de réseau</t>
  </si>
  <si>
    <t>%</t>
  </si>
  <si>
    <t>Changement des données historiques pour prendre seulement ce qui rentre dans les hauts fourneaux. On se base sur le bilan statistique de Eurostat</t>
  </si>
  <si>
    <t>Ajout de biomasse solide à 2030 (FR Relance)</t>
  </si>
  <si>
    <t>Penetration du CSR et de la biomasse en lien avec la feuille de route et en ce basant sur les taux de pénétration de l'ADEME</t>
  </si>
  <si>
    <t>Changement mineur à cause d'un changement dans les données historique</t>
  </si>
  <si>
    <t>Pas de changement même si l'ADEME préconise une entré progressive du H2… (ce n'est pas le cas dans les scénarios ADEME, et les projets en France sont discutés avec de H2 déjà)</t>
  </si>
  <si>
    <t xml:space="preserve"> Siderurgie autres (casting rolling)</t>
  </si>
  <si>
    <t>Ajout d'un secteur, electrification et baisse du charbon mais pas complète car secteur de la sidérurgie très dépendant.</t>
  </si>
  <si>
    <t>Pas de changement</t>
  </si>
  <si>
    <t>Electrification proche du S3</t>
  </si>
  <si>
    <t>Changement après échange sur données historiques avec l'ADEME</t>
  </si>
  <si>
    <t>Baisse de la part d'hydrogène pour la consommation directe d'énergie - Augmentation de la consommation d'électricité, et de  biomasse, disparition du pétrole en contradiction avec les données de l'ADEME</t>
  </si>
  <si>
    <t>Le taux d'électrification est très haut dans les scénarios de l'ADEME dès 2030. On lise la courbe après les retours de l'ADEME. Mais la consommation est très liée à l'hypothèse de la part d'hydrogène dans la production d'ammoniac, qui est très ambitieux en AMS.</t>
  </si>
  <si>
    <t>On mélange le taux d'electrification de l'ADEME en S3 et la pénetration de la bomasse en S2</t>
  </si>
  <si>
    <t>Potentiel 3TWh de PAC (EDF) + 0,2TWh solaire thermique (FR chimie)</t>
  </si>
  <si>
    <t>Electrification baisse du charbon dès 2030, puis disparition du pétrole en 2050, ajout des PACs</t>
  </si>
  <si>
    <t>Ajout de + de biomasse solide à 2030 (FR Relance)</t>
  </si>
  <si>
    <t>On se base sur le mix proposé par la SFIC pour les usages thermiques. On baisse un peu l'electrification (trop haute d'après l'ADEME)</t>
  </si>
  <si>
    <t>On augmente légerement la biomasse pour se rapprocher du potentiel de S2</t>
  </si>
  <si>
    <t>La biomasse solide augmente dès 2030 avec FR Relance</t>
  </si>
  <si>
    <t>Potentiel 8TWh de PAC (EDF)</t>
  </si>
  <si>
    <t>On ajoute les PAC (donc on réduit la part de l'electricité joule et la part du gaz)</t>
  </si>
  <si>
    <t>Potentiel 3TWh de PAC (EDF)</t>
  </si>
  <si>
    <t>Ajout de chaleur vendue en lien avec les scénarios ADEME</t>
  </si>
  <si>
    <t>Mis à jour à partir des travaux de la FdR 301</t>
  </si>
  <si>
    <t>zéro charbon dès 2023, potentiel de 5TWh de PAC (EDF) + 0,2TWh solaire thermique (FR chimie)</t>
  </si>
  <si>
    <t>Potentiel 5TWh de PAC (EDF)</t>
  </si>
  <si>
    <t>Constant</t>
  </si>
  <si>
    <t>Disparition du charbon, et augmentation de la part de biomasse</t>
  </si>
  <si>
    <t>Reste constant</t>
  </si>
  <si>
    <t>Evolution simialire à AME run 1 mais avec des données historiques différentes</t>
  </si>
  <si>
    <t>Constant car pas de production d'hydrogène avec l'électrolyse</t>
  </si>
  <si>
    <t>Ajustement du point 2030 avec données Fr Relance</t>
  </si>
  <si>
    <t>Baisse de la part de charbon et augmentation de la biomasse et de l'électricité</t>
  </si>
  <si>
    <t xml:space="preserve">Augmentation de la part de biomasse </t>
  </si>
  <si>
    <t>Baisse du charbon et augmentation de l'électricité</t>
  </si>
  <si>
    <t>Augmentation de la biomasse et constant</t>
  </si>
  <si>
    <t>Mêmes données que dans l'onglet précédent, seule la présentation des chiffres (un tableau par année) change</t>
  </si>
  <si>
    <t>2030 AMS 2023</t>
  </si>
  <si>
    <t>Nucléaire</t>
  </si>
  <si>
    <t>EnR électriques</t>
  </si>
  <si>
    <t>Consommation d'énergie (% total)</t>
  </si>
  <si>
    <t>2050 AMS 2023</t>
  </si>
  <si>
    <t>2025 AME 2023</t>
  </si>
  <si>
    <t>2050 AME 2023</t>
  </si>
  <si>
    <t>Rappel hypothèses run1</t>
  </si>
  <si>
    <t>Commentaires</t>
  </si>
  <si>
    <t>Sauf indication contraire, les hypothèses AMS sont reprises de l’AMS précédent</t>
  </si>
  <si>
    <t>ADEME S3</t>
  </si>
  <si>
    <t xml:space="preserve">     Dont aluminium primaire</t>
  </si>
  <si>
    <t xml:space="preserve">     Dont aluminium recyclé</t>
  </si>
  <si>
    <t>idem Alu primaire en AMS</t>
  </si>
  <si>
    <t>inclut les gains liés au recyclage : Procédé recyclé consomme 80 % d’énergie en moins (AMS 2018)</t>
  </si>
  <si>
    <t xml:space="preserve">     Dont clinker</t>
  </si>
  <si>
    <t>S3 ADEME</t>
  </si>
  <si>
    <t>inclut les gains liés au recyclage : Procédé recyclé consomme 30 % d’énergie en moins (AMS 2018)</t>
  </si>
  <si>
    <t>Industrie agroalimentaire</t>
  </si>
  <si>
    <t xml:space="preserve">     Dont sucre</t>
  </si>
  <si>
    <t xml:space="preserve">     Dont autres Industries alimentaires et agricoles</t>
  </si>
  <si>
    <t>inclut les gains liés au recyclage : Procédé recyclé consomme 70 % d’énergie en moins (Federec)</t>
  </si>
  <si>
    <t>Rappel hypothèses scénarios précédents</t>
  </si>
  <si>
    <t>AME 2021</t>
  </si>
  <si>
    <t>Gains EE</t>
  </si>
  <si>
    <t>AMS 2018</t>
  </si>
  <si>
    <t>NW TEND</t>
  </si>
  <si>
    <t>NW</t>
  </si>
  <si>
    <t>Valeurs RTE pour le scénario de référence</t>
  </si>
  <si>
    <t>Entre 2030 et 2015</t>
  </si>
  <si>
    <t>Entre 2050 et 2015</t>
  </si>
  <si>
    <t>(gains par rapport à 2015)</t>
  </si>
  <si>
    <t>GES procédés</t>
  </si>
  <si>
    <t>Energie</t>
  </si>
  <si>
    <t>électricité</t>
  </si>
  <si>
    <t>combustibles</t>
  </si>
  <si>
    <t>Electricité</t>
  </si>
  <si>
    <t>Combustibles</t>
  </si>
  <si>
    <t xml:space="preserve">     Dont sidérurgie</t>
  </si>
  <si>
    <t xml:space="preserve">A voir car fondé sur AME 2018 </t>
  </si>
  <si>
    <t xml:space="preserve">     Dont aluminium</t>
  </si>
  <si>
    <t>métaux non ferreux</t>
  </si>
  <si>
    <t xml:space="preserve">E12 - Industrie laitière </t>
  </si>
  <si>
    <t xml:space="preserve">E13 - Sucreries </t>
  </si>
  <si>
    <t xml:space="preserve">E14 - Industries agricoles et alimentaires (solde) </t>
  </si>
  <si>
    <t xml:space="preserve">E16 - Sidérurgie </t>
  </si>
  <si>
    <t xml:space="preserve">Ethylène </t>
  </si>
  <si>
    <t xml:space="preserve">E18 - Métallurgie de 1ère transf. des métaux non ferreux </t>
  </si>
  <si>
    <t xml:space="preserve">     Dont chlore</t>
  </si>
  <si>
    <t xml:space="preserve">E19 - Production de minéraux divers </t>
  </si>
  <si>
    <t xml:space="preserve">E20 - Fabr. de plâtres, produits en plâtre, chaux et ciments </t>
  </si>
  <si>
    <t xml:space="preserve">E21 - Prod. d'autres matériaux de construction et de céramique </t>
  </si>
  <si>
    <t xml:space="preserve">E22 - Industrie du verre </t>
  </si>
  <si>
    <t xml:space="preserve">E23 - Fabrication d'engrais </t>
  </si>
  <si>
    <t xml:space="preserve">E24 - Autres industries de la chimie minérale </t>
  </si>
  <si>
    <t xml:space="preserve">E25 - Mat. plastiques, caoutchouc synth. et autres élastomères </t>
  </si>
  <si>
    <t xml:space="preserve">E26 - Autres industries de la chimie organique de base </t>
  </si>
  <si>
    <t xml:space="preserve">E28 - Parachimie et industrie pharmaceutique </t>
  </si>
  <si>
    <t xml:space="preserve">E29 - Fonderie et travail des métaux </t>
  </si>
  <si>
    <t xml:space="preserve">E30 - Construction mécanique </t>
  </si>
  <si>
    <t xml:space="preserve">E31 - Construction électrique et électronique </t>
  </si>
  <si>
    <t xml:space="preserve">E32 - Véh. automobiles et autres matériels de transp. terrestre </t>
  </si>
  <si>
    <t xml:space="preserve">E33 - Constr. navale et aéronautique, armement </t>
  </si>
  <si>
    <t xml:space="preserve">E34 - Industrie textile, du cuir et de l'habillement </t>
  </si>
  <si>
    <t xml:space="preserve">E35 - Industrie du papier et du carton </t>
  </si>
  <si>
    <t xml:space="preserve">E36 - Industrie du caoutchouc </t>
  </si>
  <si>
    <t xml:space="preserve">E37 - Transformation des matières plastiques </t>
  </si>
  <si>
    <t xml:space="preserve">E38 - Industries diverses </t>
  </si>
  <si>
    <t>TOTAL INDUSTRIE</t>
  </si>
  <si>
    <t>Proposition AME run 2</t>
  </si>
  <si>
    <t>On prend le plus ambitieux de FR Relance ou du TEND ADME</t>
  </si>
  <si>
    <t>input AAP FR Relance puis baisse lente</t>
  </si>
  <si>
    <t>Rapprochment avec  ADEME TEND</t>
  </si>
  <si>
    <t>Ajustement du point 2050</t>
  </si>
  <si>
    <t>Autres sidérurgie</t>
  </si>
  <si>
    <t>repris du run 1</t>
  </si>
  <si>
    <t>repris du run1 - cohérent avec AAP FR Relance</t>
  </si>
  <si>
    <t>On prend 5% en 2050 pour prendre en compte la trajectoire de la metalurgie (6% en 2030)</t>
  </si>
  <si>
    <t xml:space="preserve">repris du run1 - cohérent avec input AAP FR Relance </t>
  </si>
  <si>
    <t>repris du run 1 (la consommation d'énergie va aussi évoluer en fonction de la part de l'hydrogène produite par électrolyse pas compté dans l'industrie)</t>
  </si>
  <si>
    <t xml:space="preserve">repris du run1 - Ca prend en compte les gain du recyclage - cohérent avec input AAP FR Relance </t>
  </si>
  <si>
    <t>Rapprochement Ademe (input AAP FR Relance pour 2025/2030)</t>
  </si>
  <si>
    <t xml:space="preserve">Rapprochement Ademe- cohérent avec input AAP FR Relance </t>
  </si>
  <si>
    <t xml:space="preserve">Rapprochement Ademe - cohérent avec input AAP FR Relance </t>
  </si>
  <si>
    <t>Repris du run1 - voir output art301 si gains potentiels</t>
  </si>
  <si>
    <t>input AAP FR Relance puis baisse lente (+ relèvement pour rapprochement ADEME) - inclut le recyclage</t>
  </si>
  <si>
    <t xml:space="preserve">Rapprochement moyenne ADEME - cohérent avec input AAP FR Relance </t>
  </si>
  <si>
    <t>Calcul à partir du ratio énergie/production</t>
  </si>
  <si>
    <t>S2 Ademe</t>
  </si>
  <si>
    <t>S3 Ademe</t>
  </si>
  <si>
    <t>Secteur ADEME</t>
  </si>
  <si>
    <t>dont hauts fourneaux *</t>
  </si>
  <si>
    <t>/</t>
  </si>
  <si>
    <t xml:space="preserve">ADEME S2/S3 </t>
  </si>
  <si>
    <t>dont aciérie électrique (EAF) *</t>
  </si>
  <si>
    <t>Identique EAF</t>
  </si>
  <si>
    <t>dont DRI-EAF *</t>
  </si>
  <si>
    <t xml:space="preserve">     Autre sidérurgie</t>
  </si>
  <si>
    <t>Tentative d’alignement avec l’ADEME</t>
  </si>
  <si>
    <t>dont aluminium *</t>
  </si>
  <si>
    <t>Prend en compte les gains dus au recyclage</t>
  </si>
  <si>
    <t>Reprise acier/alu primaire</t>
  </si>
  <si>
    <t>Métaux non ferreux</t>
  </si>
  <si>
    <t>dont ammoniac *</t>
  </si>
  <si>
    <t>Chimie organique</t>
  </si>
  <si>
    <t xml:space="preserve">ADEME S3 </t>
  </si>
  <si>
    <t>Chimie minérale</t>
  </si>
  <si>
    <t>Ciment, chaux *</t>
  </si>
  <si>
    <t>ADEME S2/S3 (prend en compte les gains du recyclage)</t>
  </si>
  <si>
    <t>Verre *</t>
  </si>
  <si>
    <t>Matériaux de construction</t>
  </si>
  <si>
    <t>Sucre *</t>
  </si>
  <si>
    <t>Autres agro alimentaire</t>
  </si>
  <si>
    <t>Transports terrestres</t>
  </si>
  <si>
    <t>Gains calculées via FdR301 (en reprenant les gains PL), divisé par deux par conservatisme</t>
  </si>
  <si>
    <t>ADEME, en prenant en compte le recyclage</t>
  </si>
  <si>
    <t>Papiers-cartons (blanchiment) *</t>
  </si>
  <si>
    <t>Reprise équipements</t>
  </si>
  <si>
    <t>Taux d'incorporation matières premières recyclées</t>
  </si>
  <si>
    <t>Taux d'incorporation</t>
  </si>
  <si>
    <t>Historique (BNR ADEME 2019)</t>
  </si>
  <si>
    <t>ADEME</t>
  </si>
  <si>
    <t>RTE</t>
  </si>
  <si>
    <t>commentaire historique</t>
  </si>
  <si>
    <t>commentaire AME</t>
  </si>
  <si>
    <t>commentaire AMS</t>
  </si>
  <si>
    <t>TEND</t>
  </si>
  <si>
    <t>S1</t>
  </si>
  <si>
    <t>S2</t>
  </si>
  <si>
    <t>S3</t>
  </si>
  <si>
    <t>S4</t>
  </si>
  <si>
    <t>REF</t>
  </si>
  <si>
    <t>Impact prix du C : +0,5pt tous les 5 ans</t>
  </si>
  <si>
    <t>Repris du CITEPA</t>
  </si>
  <si>
    <t>hausse à 2030 puis constant</t>
  </si>
  <si>
    <t>Niveau 2050 AMS18 revu à la baisse / AMS18 (ADEMe autour de 45 % sauf S2 à 70%), niveau 2030 revu en accord avec les données Arcelor-Mittal/FR relance</t>
  </si>
  <si>
    <t>taux de l’aluminium issu de l’affinage et du recyclage direct</t>
  </si>
  <si>
    <t>stable</t>
  </si>
  <si>
    <t xml:space="preserve">reprise AMS/ ademe S1/S2 </t>
  </si>
  <si>
    <t>Plastiques</t>
  </si>
  <si>
    <t>N.R</t>
  </si>
  <si>
    <t>emballages uniquement – volume incorporé 2018 / volume de résines consommées 2019 – attention donnée peu fiable</t>
  </si>
  <si>
    <t>Effet plan de relance : +700kt de plastique recyclé incorporé dont 45 % sont des emballages</t>
  </si>
  <si>
    <t>reprise AMS/ ademe S1/S2</t>
  </si>
  <si>
    <t>TAUX MPR BAU AME</t>
  </si>
  <si>
    <t>Acier (%EAF/(EAF+BOF)</t>
  </si>
  <si>
    <t>taux d’incorporation de calcin par les verriers</t>
  </si>
  <si>
    <t xml:space="preserve">     Dont autres Industries agro-alimentaires</t>
  </si>
  <si>
    <t>TAUX MPR nW AMS</t>
  </si>
  <si>
    <t>taux d’incorporation de PCR</t>
  </si>
  <si>
    <t>poursuite de la hausse à 2030 puis constant</t>
  </si>
  <si>
    <t>Poursuite de la hausse 2015-2019. Reprise ADEME S1/S2/S3</t>
  </si>
  <si>
    <t>Papier - pâtes</t>
  </si>
  <si>
    <t>On simplifie en faisant l’hypothèse que l’ensemble des consommations non-énergétiques sont liées à l’industrie (~98 % selon le SDES). Comme le SDES ne désagrège pas finement par sous-secteur, on reprend la répartition 2014 des scénarios ADEME, que l’on considère constante dans le temps. On fait évoluer les consommations par [vecteur]x[secteur] en fonction de l’évolution du niveau de production, et d’hypothèses sur l’efficacité des procédés ainsi que la substitution biomasse et H2.</t>
  </si>
  <si>
    <t>Bilan de l’énergie (SDES) Mtep</t>
  </si>
  <si>
    <t>2012</t>
  </si>
  <si>
    <t>2013</t>
  </si>
  <si>
    <t>2014</t>
  </si>
  <si>
    <t>2015</t>
  </si>
  <si>
    <t>2016</t>
  </si>
  <si>
    <t>2017</t>
  </si>
  <si>
    <t>2018</t>
  </si>
  <si>
    <t>2019</t>
  </si>
  <si>
    <t>2020</t>
  </si>
  <si>
    <t>charbon</t>
  </si>
  <si>
    <t>Principalement acier (ADEME)</t>
  </si>
  <si>
    <t>Hypothèses sur le non-énergétiques pour l’AMS 2018 :</t>
  </si>
  <si>
    <t>gaz naturel</t>
  </si>
  <si>
    <t>41 % ammoniac, 50 % autres chimies, 9 % pétrochimie (25 % chimie minérale, 34 % chimie organique (dont 25 % pétrochimie)) – ADEME. Contient le gaz utilisé pour H2 (pas isolé)</t>
  </si>
  <si>
    <t>Consommation de pétrole pour la chimie réduite de 80 % (effet du recyclage du plastique)</t>
  </si>
  <si>
    <t>PPR</t>
  </si>
  <si>
    <t>3 % aluminium, 67 % pétrochimie, 29 % autres chimies (95 % chimie organique dont 70 % pétrochimie), 2 % autres (ADEME)</t>
  </si>
  <si>
    <t>Consommation de gaz pour la chimie réduite de 50 % (procédé à hydrogène et réduction des intrants en agriculture)</t>
  </si>
  <si>
    <t>dont industrie</t>
  </si>
  <si>
    <t>Consommation de pétrole pour la construction réduite de 50 % (effet biosourcé)</t>
  </si>
  <si>
    <t>dont pétrochimie</t>
  </si>
  <si>
    <t>Introduction d’hydrogène (Remplacement de 50 % du gaz par de l’hydrogène, 6 TWh de conso de combustible liquide remplacé par de l’hydrogène)</t>
  </si>
  <si>
    <t>dont construction</t>
  </si>
  <si>
    <t>dont autres industries</t>
  </si>
  <si>
    <t>conso finale à usage non énergétique</t>
  </si>
  <si>
    <t>Mtep</t>
  </si>
  <si>
    <t>gaz</t>
  </si>
  <si>
    <t>biomasse</t>
  </si>
  <si>
    <t>H2</t>
  </si>
  <si>
    <t>Sidérurgie</t>
  </si>
  <si>
    <t>Pétrochimie</t>
  </si>
  <si>
    <t>Autres chimies</t>
  </si>
  <si>
    <t>Construction (bitume…)</t>
  </si>
  <si>
    <t>Autres (électronique charbon/fuel, pharmacie gaz nat)</t>
  </si>
  <si>
    <t>Nouvelle proposition run2</t>
  </si>
  <si>
    <t>2. AME</t>
  </si>
  <si>
    <t xml:space="preserve">Substitution des non énergétiques </t>
  </si>
  <si>
    <t>La consommation de non énergétique est incluse dans la consommation d'énergie des Hauts fourneaux</t>
  </si>
  <si>
    <t>Coke de pétrole</t>
  </si>
  <si>
    <t>Biocoke</t>
  </si>
  <si>
    <t>Anode inerte</t>
  </si>
  <si>
    <t>Gaz (vaporeformage)</t>
  </si>
  <si>
    <t>Hydrogène directe (par électrolyne non considéré dans le scope industrie)</t>
  </si>
  <si>
    <t>Naphta</t>
  </si>
  <si>
    <t>Bionaohta</t>
  </si>
  <si>
    <t>Méthanol to oléphine</t>
  </si>
  <si>
    <t>Biofuel</t>
  </si>
  <si>
    <t>Biogaz</t>
  </si>
  <si>
    <t>Pétrole</t>
  </si>
  <si>
    <t>Biopétrole</t>
  </si>
  <si>
    <t>Synthétique fuel</t>
  </si>
  <si>
    <t xml:space="preserve">Pétrole </t>
  </si>
  <si>
    <t xml:space="preserve">Biofuel </t>
  </si>
  <si>
    <t>3. AMS</t>
  </si>
  <si>
    <t>On inclut les anodes inertes pas considérés dans AMS run 1</t>
  </si>
  <si>
    <t>Bionaphta</t>
  </si>
  <si>
    <t>On augmente la part du méthanol to olephine car d'après les PTS de l'ADEME cette solution est plus accessible que le bionaphta</t>
  </si>
  <si>
    <t>https://librairie.ademe.fr/cadic/5693/memo-pts-chimie-2021.pdf</t>
  </si>
  <si>
    <t>Synthétique fuel/hydrogène</t>
  </si>
  <si>
    <t>Pertes transport - stockage</t>
  </si>
  <si>
    <t xml:space="preserve">BRGM 2009 SOCECO2 </t>
  </si>
  <si>
    <t>On considère 1/2 du projet 3D</t>
  </si>
  <si>
    <t>part de CO2 biogénique</t>
  </si>
  <si>
    <t>part stockée</t>
  </si>
  <si>
    <t>part utilisée</t>
  </si>
  <si>
    <t>On considère 1/2 du projet Val de Seine</t>
  </si>
  <si>
    <t>On considère presque tout Val de Seine (plus que 8,7Mt à capter en 2050 run1)</t>
  </si>
  <si>
    <t>données run1</t>
  </si>
  <si>
    <t>0,7Mt CCU en 2040 dans le projet Seine</t>
  </si>
  <si>
    <t>On considère 1/2 du projet K6</t>
  </si>
  <si>
    <t>On considère presque tout le projet K6 (plus que 5,5Mt à capter dans le ciment en 2050)</t>
  </si>
  <si>
    <t>Pas de développement</t>
  </si>
  <si>
    <t>TOTAL industrie</t>
  </si>
  <si>
    <t>Production d’énergie</t>
  </si>
  <si>
    <t>production d'électricité</t>
  </si>
  <si>
    <t>production de chaleur</t>
  </si>
  <si>
    <t>raffinage</t>
  </si>
  <si>
    <t>Le projet Seine inclut une partie de raffinage</t>
  </si>
  <si>
    <t>TOTAL énergie</t>
  </si>
  <si>
    <t>Total CCUS</t>
  </si>
  <si>
    <t>DAC</t>
  </si>
  <si>
    <t>Total CCS fossile</t>
  </si>
  <si>
    <t>Total CCU fossile</t>
  </si>
  <si>
    <t>Total BECCS</t>
  </si>
  <si>
    <t>Total BECCU</t>
  </si>
  <si>
    <t>Total DACCS</t>
  </si>
  <si>
    <t>Total DACCU</t>
  </si>
  <si>
    <t>Total carbonatation du béton</t>
  </si>
  <si>
    <t>Total puits techno</t>
  </si>
  <si>
    <t>Carbone utilisé</t>
  </si>
  <si>
    <t>Carbone fossile stocké</t>
  </si>
  <si>
    <t>émissions négatives</t>
  </si>
  <si>
    <t xml:space="preserve">Projets AME : </t>
  </si>
  <si>
    <t>Dunkerque projet 3D (Total, ArcelorMittal, IFPEN, Axens) : 1Mt 2025 (mais pas de stockage!), 10Mt 2035 (sidérurgie)</t>
  </si>
  <si>
    <t>Normandie (Air Liquide, Borealis, Esso, Total, Yara) : 3Mt en 2030 (ammoniac, pétrochimie)</t>
  </si>
  <si>
    <t>Zone portuaire Val de eine (FdR Chimie) 0,2-0,6kt/an dès 2030, étude de pré-fiasabilité dit 5,4Mt en 2032 puis 7,7 en 2040</t>
  </si>
  <si>
    <t>Projet K6 - Cimenterie Eqilum - Lumbres Nord par de Calais. 5Mt en 2050 ciment. Mise en service 2026.  https://www.usinenouvelle.com/article/le-projet-de-captage-et-stockage-de-co2-d-eqiom-finance-par-le-fonds-innovation-europeen.N1162387 et https://www.legifrance.gouv.fr/jorf/id/JORFTEXT000044319595</t>
  </si>
  <si>
    <t>AMS18</t>
  </si>
  <si>
    <t>Production et consommation des principaux biens de consommation et d'équipement</t>
  </si>
  <si>
    <t>Consommation 2014</t>
  </si>
  <si>
    <t>Consommation 2019 consolidé AME/AMS:</t>
  </si>
  <si>
    <t>Consommation 2030</t>
  </si>
  <si>
    <t>Consommation 2049</t>
  </si>
  <si>
    <t>Consommation 2050 brutes</t>
  </si>
  <si>
    <t>Consommation 2050 corrigées</t>
  </si>
  <si>
    <t>Dichlore</t>
  </si>
  <si>
    <t>MECA ELEC TEXTILE DIVERS</t>
  </si>
  <si>
    <t>Mt</t>
  </si>
  <si>
    <t>Mécanique</t>
  </si>
  <si>
    <t>Electronique</t>
  </si>
  <si>
    <t>Textile</t>
  </si>
  <si>
    <t>Divers autres</t>
  </si>
  <si>
    <t>EMBALLAGES</t>
  </si>
  <si>
    <t>Emballages</t>
  </si>
  <si>
    <t>TRANSPORTS</t>
  </si>
  <si>
    <t>Transports terre</t>
  </si>
  <si>
    <t>Transports (NAA)</t>
  </si>
  <si>
    <t>BTP</t>
  </si>
  <si>
    <t>Bâtiment</t>
  </si>
  <si>
    <t>Ouvrages d'art</t>
  </si>
  <si>
    <t>Réseau ferré</t>
  </si>
  <si>
    <t>Voirie</t>
  </si>
  <si>
    <t>ENERGIE</t>
  </si>
  <si>
    <t>Eolien</t>
  </si>
  <si>
    <t>Photovoltaique</t>
  </si>
  <si>
    <t>Méthanisation</t>
  </si>
  <si>
    <t>CHIMIE</t>
  </si>
  <si>
    <t>Engrais azotés</t>
  </si>
  <si>
    <t>Engrais autres</t>
  </si>
  <si>
    <t>Phytosanitaires</t>
  </si>
  <si>
    <t>Entretien toilette</t>
  </si>
  <si>
    <t>Peintures,vernis,colles</t>
  </si>
  <si>
    <t>Pharmacie</t>
  </si>
  <si>
    <t>PAPIER</t>
  </si>
  <si>
    <t>Papier sanitaire</t>
  </si>
  <si>
    <t>Papier graphique</t>
  </si>
  <si>
    <t>Papiers spéciaux</t>
  </si>
  <si>
    <t>AGRO ALIMENTAIRE</t>
  </si>
  <si>
    <t>Agro alimentaire</t>
  </si>
  <si>
    <t>REACTIFS</t>
  </si>
  <si>
    <t>Metallurgie</t>
  </si>
  <si>
    <t>Engrais</t>
  </si>
  <si>
    <t>Recuperation</t>
  </si>
  <si>
    <t>Divers</t>
  </si>
  <si>
    <t>Pertes,ajustements</t>
  </si>
  <si>
    <t>AMS - chiffres à mettre à jour</t>
  </si>
  <si>
    <t>Consommation 2019 AME</t>
  </si>
  <si>
    <t>Consommation 2019 AMS</t>
  </si>
  <si>
    <t>Consommation 2019 consolidée AME/AMS</t>
  </si>
  <si>
    <t>Calculs FP</t>
  </si>
  <si>
    <t>CCS total industrie</t>
  </si>
  <si>
    <t>BECCS industrie</t>
  </si>
  <si>
    <t>CCS fossile industrie</t>
  </si>
  <si>
    <t>CCS fossile énergie</t>
  </si>
  <si>
    <t>BECCS énergie</t>
  </si>
  <si>
    <t>La part de CCU =&lt; part biogénique des émissions (tout le C fossile est stocké)</t>
  </si>
  <si>
    <t>données run1bis métaux primaires</t>
  </si>
  <si>
    <t>données run1bis chimie</t>
  </si>
  <si>
    <t>données run1bis non-métalliques</t>
  </si>
  <si>
    <t>Ajout car qqs mentions de CCS sur CO2 biogénique dans les fdr 50 sites à horizon 2050</t>
  </si>
  <si>
    <t>données run1bis</t>
  </si>
  <si>
    <t>moitié moitié car sites IAA souvent isolés donc potentiellement plus éloignés des sites de stockage</t>
  </si>
  <si>
    <t>données run1 autres (papier pâtes)</t>
  </si>
  <si>
    <t>Plus de biomasse ni fossile dans le système électrique (H2)</t>
  </si>
  <si>
    <t>Centrales calorifiques</t>
  </si>
  <si>
    <t>Raffineries restantes + bioraffineries</t>
  </si>
  <si>
    <t>CCS plus tôt et légèrement moins en 2050 (cohérent K6)</t>
  </si>
  <si>
    <t>Besoin calculé run1bis : 0,5 en 2030, 6 en 2040, 16 en 2050</t>
  </si>
  <si>
    <t>DAC mis en 100% CCU, et volume ajusté pour boucler avec la demande de CO2 pour les e-fuels</t>
  </si>
  <si>
    <t xml:space="preserve">Abaissé car cela semblait élevé au regard de la baisse de la production d'acier via haut-fourneaux, et des données qu'on a des feuilles de route </t>
  </si>
  <si>
    <t>V50sites : augmentation balance éthylène /run1bis</t>
  </si>
  <si>
    <t>Reprise run1 / SNBC-2 en attendant de retravailler les données Eurostat</t>
  </si>
  <si>
    <t>MàJ 50sites</t>
  </si>
  <si>
    <t>V50sites : baisse très forte des HF à 2030 et zéro HF à partir de 2045</t>
  </si>
  <si>
    <t>V50sites : compensation des HF par du DRI (EAF fixé par taux recyclage)</t>
  </si>
  <si>
    <t>~Cohérent 50sites (76% pour toute la sidérurgie en 2050, 82% en 2030</t>
  </si>
  <si>
    <t>Ajustement 50sites</t>
  </si>
  <si>
    <t>Ajustement 50sites (perte EE du fait du passage à l'H2)</t>
  </si>
  <si>
    <t>Ajusté 50sites</t>
  </si>
  <si>
    <t>fort pessimisme sur l'anode inerte dans les FdR 50sites</t>
  </si>
  <si>
    <t xml:space="preserve">     Dont Ammoniac (vaporeformage)</t>
  </si>
  <si>
    <t>Ammoniac hydrogene</t>
  </si>
  <si>
    <t>Après échange sur l'ammoniac</t>
  </si>
  <si>
    <t>%/2021</t>
  </si>
  <si>
    <t>Consommation d'énergie 2021</t>
  </si>
  <si>
    <t>Reprise de la donnée 2019 (BNR non disponible)</t>
  </si>
  <si>
    <t>BNR 2019, donnée 2020 calculée avec le taux de variation 2019/2020 du CITEPA. Donnée 2021 calculée avec la proportion moyenne des années précédentes.</t>
  </si>
  <si>
    <t>BNR 2019, donnée 2020 calculée avec le taux de variation 2019/2020 du CITEPA. Donnée 2021 calculée considérant la moyenne des années précédentes</t>
  </si>
  <si>
    <t>Balance commerciale</t>
  </si>
  <si>
    <t>Efficacité énergétique</t>
  </si>
  <si>
    <t>Recyclage</t>
  </si>
  <si>
    <t>Substitutions non-énergétiques</t>
  </si>
  <si>
    <t>Si il est impossible de remplir ce tableau, expliquez textuellement dans l'encadré à droite les changements à prévoir, afin que nous les traduisions dans la modélisation.</t>
  </si>
  <si>
    <t>Les hypothèses d'efficacité énergétique pré-remplies proviennent de la traduction de la FdR 50 sites.</t>
  </si>
  <si>
    <t>Onglet 6. CCUS</t>
  </si>
  <si>
    <t>Onglet 5. Substitutions non-énergétiques</t>
  </si>
  <si>
    <t>Hypothèses additionnelles</t>
  </si>
  <si>
    <t>Indiquez toute hypothèse supplémentaire non identifiée ci-dessous, afin de l'intégrer au mieux dans la modélisation</t>
  </si>
  <si>
    <t>CCUS</t>
  </si>
  <si>
    <t>Repris des FdR 50 sites.</t>
  </si>
  <si>
    <t>Production</t>
  </si>
  <si>
    <t>Niveaux de consommation fixés par Pepito</t>
  </si>
  <si>
    <t>production DRI</t>
  </si>
  <si>
    <t>AMS run  2</t>
  </si>
  <si>
    <t xml:space="preserve">Coefficient de décorrélation VA / production physique </t>
  </si>
  <si>
    <t>Production physique</t>
  </si>
  <si>
    <t>Sortie</t>
  </si>
  <si>
    <r>
      <t xml:space="preserve">Explications non-énergétique:
</t>
    </r>
    <r>
      <rPr>
        <sz val="11"/>
        <color rgb="FF000000"/>
        <rFont val="Calibri"/>
        <family val="2"/>
      </rPr>
      <t>…</t>
    </r>
  </si>
  <si>
    <t>Onglet 4. Recyclage</t>
  </si>
  <si>
    <t>Renseigner "Acier total" a minima. Les données par filière (HF, EAF, DRI) = si possible</t>
  </si>
  <si>
    <t>1. Niveau de production</t>
  </si>
  <si>
    <t>Volume de production</t>
  </si>
  <si>
    <t>si volume constant (prévisions FDR)</t>
  </si>
  <si>
    <t>hauts fourneaux</t>
  </si>
  <si>
    <t>Cubilot (coke)</t>
  </si>
  <si>
    <t>Procédé électrique</t>
  </si>
  <si>
    <t>TOTAL acier</t>
  </si>
  <si>
    <t>2. Mix énergétique</t>
  </si>
  <si>
    <t>total avec consommation électrique</t>
  </si>
  <si>
    <t>Sidérurgie (total)</t>
  </si>
  <si>
    <t>% ou TWH</t>
  </si>
  <si>
    <t>3. Efficacité énergétique</t>
  </si>
  <si>
    <t>TWh de conso totale, ou indice 2019</t>
  </si>
  <si>
    <t>Acier total</t>
  </si>
  <si>
    <t>dont HF</t>
  </si>
  <si>
    <t>dont EAF</t>
  </si>
  <si>
    <t>4. Recyclage</t>
  </si>
  <si>
    <t>% recyclage ArcelorMittal</t>
  </si>
  <si>
    <t>Volume AM</t>
  </si>
  <si>
    <t>% recyclage hors AM</t>
  </si>
  <si>
    <t>Volume hors AM</t>
  </si>
  <si>
    <t>Moyenne pondérée recyclage</t>
  </si>
  <si>
    <t>5. Procédés / conso non-énergétiques</t>
  </si>
  <si>
    <t>Décrire les technologies utilisées, et si possible leur vitesse de diffusion</t>
  </si>
  <si>
    <t>6. CCUS</t>
  </si>
  <si>
    <t>Quantité captée (Mt)</t>
  </si>
  <si>
    <t>part stockée (%)</t>
  </si>
  <si>
    <t>part utilisée (%)</t>
  </si>
  <si>
    <t>Renseigner soit Aluminium total, soit Aluminium primaire et recyclé</t>
  </si>
  <si>
    <t>Aluminium primaire</t>
  </si>
  <si>
    <t>Aluminium recyclé par Alu Dk et Trimet</t>
  </si>
  <si>
    <t>AL I</t>
  </si>
  <si>
    <t>AL II</t>
  </si>
  <si>
    <t>Aluminium recyclé (autres acteurs :Recycleurs + Affineurs)</t>
  </si>
  <si>
    <t>Total production aluminium</t>
  </si>
  <si>
    <t>0.94</t>
  </si>
  <si>
    <t>Aluminium (total)</t>
  </si>
  <si>
    <t xml:space="preserve">     Dont Aluminium (primaire)</t>
  </si>
  <si>
    <t xml:space="preserve">     Dont Aluminium (recyclé)</t>
  </si>
  <si>
    <r>
      <t>o</t>
    </r>
    <r>
      <rPr>
        <sz val="7"/>
        <color rgb="FF1F497D"/>
        <rFont val="Times New Roman"/>
        <family val="1"/>
      </rPr>
      <t xml:space="preserve">   </t>
    </r>
    <r>
      <rPr>
        <sz val="11"/>
        <color rgb="FF1F497D"/>
        <rFont val="Calibri"/>
        <family val="2"/>
      </rPr>
      <t>La part d’utilisation de gaz de réseau pour la production d’aluminium primaire et recyclé doit être diminuée en 2050 au profit des gaz renouvelables, de la biomasse et de l’utilisation de l’H2 (</t>
    </r>
    <r>
      <rPr>
        <b/>
        <sz val="11"/>
        <color rgb="FF1F497D"/>
        <rFont val="Calibri"/>
        <family val="2"/>
      </rPr>
      <t>10% à horizon 2050</t>
    </r>
    <r>
      <rPr>
        <sz val="11"/>
        <color rgb="FF1F497D"/>
        <rFont val="Calibri"/>
        <family val="2"/>
      </rPr>
      <t>) ;</t>
    </r>
  </si>
  <si>
    <r>
      <t>o</t>
    </r>
    <r>
      <rPr>
        <sz val="7"/>
        <color rgb="FF1F497D"/>
        <rFont val="Times New Roman"/>
        <family val="1"/>
      </rPr>
      <t xml:space="preserve">   </t>
    </r>
    <r>
      <rPr>
        <sz val="11"/>
        <color rgb="FF1F497D"/>
        <rFont val="Calibri"/>
        <family val="2"/>
      </rPr>
      <t xml:space="preserve">La part d’électricité utilisée doit pouvoir être rehaussée à horizon 2050 pour traduire des scénarios d’électrification des procédés de production actuels et stimuler l’achat uniquement de technologies électriques par les recycleurs (aujourd’hui les MTD sont plutôt sur un mix gaz avec conversion possible H2 mais certains fours fonctionnant à l’électricité, couplée à l’utilisation de chaleur renouvelable) commencent à apparaître dans des fonderies). </t>
    </r>
  </si>
  <si>
    <t>Aluminium total</t>
  </si>
  <si>
    <t>dont alu primaire</t>
  </si>
  <si>
    <t>dont alu recyclé</t>
  </si>
  <si>
    <t>Taux d'incorporation de matière première recyclée</t>
  </si>
  <si>
    <r>
      <t>Le taux d'incorporation de matières premières recyclées (MPR) dans des produits aluminium dépend des applications finales</t>
    </r>
    <r>
      <rPr>
        <sz val="11"/>
        <color rgb="FF1F497D"/>
        <rFont val="Calibri"/>
        <family val="2"/>
      </rPr>
      <t xml:space="preserve">. Il n'y a pas aujourd'hui de produits 100% recyclés car seule la technologie de dilution (i.e. coulée d'aluminium primaire dans le bain d'aluminium issu de déchets en fusion pour diluer la teneur en silicium, fer et cuivre). Le taux moyen en 2020 d'incorporation de MPR est de 53%. On peut supposer que celui-ci augmentera globalement du fait de la valeur affectée aux déchets aluminium et de la maturité à venir de nouvelles technologies de recyclage qui ne reposent plus uniquement sur la dilution) pour monter jusqu’au 70%, dans un contexte de demande supérieure à l’offre. </t>
    </r>
    <r>
      <rPr>
        <b/>
        <sz val="11"/>
        <color rgb="FF1F497D"/>
        <rFont val="Calibri"/>
        <family val="2"/>
      </rPr>
      <t>Ce taux de 53% est principalement représentatif du recyclage dans les filières d'emballage alu et automobile</t>
    </r>
    <r>
      <rPr>
        <sz val="11"/>
        <color rgb="FF1F497D"/>
        <rFont val="Calibri"/>
        <family val="2"/>
      </rPr>
      <t xml:space="preserve"> (avec des évolutions à prévoir où il va y avoir un switch structurel des produits laminés au détriment des produits de fonderie dans le secteur automobile, avec alors des taux d’incorporation de MPR qui diffèrent). </t>
    </r>
  </si>
  <si>
    <r>
      <t xml:space="preserve">Pour le site de Trimet France, </t>
    </r>
    <r>
      <rPr>
        <b/>
        <sz val="11"/>
        <color rgb="FF1F497D"/>
        <rFont val="Calibri"/>
        <family val="2"/>
      </rPr>
      <t>il est probable que le taux d'incorporation de MPR ne dépasse pas 40%</t>
    </r>
    <r>
      <rPr>
        <sz val="11"/>
        <color rgb="FF1F497D"/>
        <rFont val="Calibri"/>
        <family val="2"/>
      </rPr>
      <t xml:space="preserve"> du fait de la pureté règlementaire requise pour la fabrication de câbles électriques (</t>
    </r>
    <r>
      <rPr>
        <b/>
        <sz val="11"/>
        <color rgb="FF1F497D"/>
        <rFont val="Calibri"/>
        <family val="2"/>
      </rPr>
      <t>aujourd'hui</t>
    </r>
    <r>
      <rPr>
        <sz val="11"/>
        <color rgb="FF1F497D"/>
        <rFont val="Calibri"/>
        <family val="2"/>
      </rPr>
      <t xml:space="preserve">, </t>
    </r>
    <r>
      <rPr>
        <b/>
        <sz val="11"/>
        <color rgb="FF1F497D"/>
        <rFont val="Calibri"/>
        <family val="2"/>
      </rPr>
      <t>le taux d'incorporation est inférieur à 10%</t>
    </r>
    <r>
      <rPr>
        <sz val="11"/>
        <color rgb="FF1F497D"/>
        <rFont val="Calibri"/>
        <family val="2"/>
      </rPr>
      <t xml:space="preserve">). </t>
    </r>
  </si>
  <si>
    <t>Une approche produit/filière est davantage pertinente qu'une approche matière pour justifier les bons taux de recyclage par produits, dans le cas de l'aluminium compte-tenu des disparités des taux d’incorporation des MPR.</t>
  </si>
  <si>
    <t>Il faut bien absolument distinguer les augmentations capacitaires avec les mêmes niveaux d’émissions directes actuelles (4,5 t de CO2/t aluminium produite) que les augmentations capacitaires en anode inerte (théoriquement 0 ou inférieur à 0,1 t CO2 eq/t aluminium) ou en recyclage (0,3 à 0,5 t CO2 eq/t aluminium produite).</t>
  </si>
  <si>
    <t xml:space="preserve">La technologie d’anode inertes (technologies céramiques spéciales) permet d’abattre la quasi-totalité des émissions en secteur électrolyse et en secteur de cuissons des anodes en carbone (car ces intrants fabriqués sur site deviennent obsolètes et inutiles). Sa maturité industrielle reste encore à prouver, se pose des questions de PI, de coût d’accès et d’installation dans les usines existantes. Un certain nombre de questions ne permettent pas d’affirmer avec certitude que les usines FR pourront accéder à cette technologie et, en conséquence, atteindre leurs cibles de décarbonation et/ou de développement (cf. supra). 
Les technologies de capture de CO2 sont intéressantes, mais ne permettent pas d’abattre l’ensemble des émissions directes (environ 60% des émissions captées) car les émissions en sortie de l’électrolyse sont peu concentrées en CO2. Les émissions de procédés liées à la production des anodes en carbone demeurent. Là encore, il semble probable qu’Aluminium DK accède en premier au déploiement du CCUS, mais cela semble plus compliqué pour Trimet du fait de son enclavement territorial, indépendamment des coûts CAPEX/OPEX qui restent à dimensionner.
</t>
  </si>
  <si>
    <t>Décrire les technologies utilisées, et si possible leur vitesse de diffusion (ex. anode inerte, biocoke…)</t>
  </si>
  <si>
    <t xml:space="preserve">2050 worst </t>
  </si>
  <si>
    <t>Versalis Mardyck</t>
  </si>
  <si>
    <t>Total Gonfreville</t>
  </si>
  <si>
    <t>Total Feyzin</t>
  </si>
  <si>
    <t>Lyondell Basell Berre</t>
  </si>
  <si>
    <t>Naphtachimie Lavéra</t>
  </si>
  <si>
    <t>Exxon Gravenchon</t>
  </si>
  <si>
    <t xml:space="preserve">Projections de production stable d'après les sites, on n'a pas toutes les valeurs en Mt (ODG seulement pour NC et Lyondell à partir de leur capa max, manque Exxon donc estimation très grossière), valeurs prises en scénario central, possible baisse de 15% évoquée par Naphtachimie dans son tendantiel </t>
  </si>
  <si>
    <t xml:space="preserve">Prendre en compte que l'éléectricité peut être remplacée par une énergie décarbonée, accessible, compétitive. </t>
  </si>
  <si>
    <t>part d'H2 vert envisagé par un pétrochimiste, sinon H2 par vaporeformage de gaz fatal</t>
  </si>
  <si>
    <t>Ne prend pas en compte l'électricité CCS et H2 dans le mix énergétique</t>
  </si>
  <si>
    <t>perspectives de gain marginales du fait de la très bonne optimisation et intégration thermique des vapocraqueurs actuels (ou plateformes pétrochimiques), la décarbonation appelera plus d'énergie externe (notamment électricité)</t>
  </si>
  <si>
    <t xml:space="preserve">via les feuilles de route site, gain d'efficacité énergétique de 15% d'ici à 2050 (résultats très provisoires) </t>
  </si>
  <si>
    <t>Production de Plastique recyclé  en Mt (pour les résines issues de de l'éthylène)</t>
  </si>
  <si>
    <t>Besoin plastique vierge total en Mt (pour les résines issues de de l'éthylène)</t>
  </si>
  <si>
    <t>Besoin en éthylène total pour la filière de la plasturgie en Mt</t>
  </si>
  <si>
    <t>Plastique total</t>
  </si>
  <si>
    <t>Décrire les technologies utilisées, et si possible leur vitesse de diffusion (ex. bio-/e-naphta…)</t>
  </si>
  <si>
    <t>Bionaphta / biofuels pas mature / ne peut pas être considéré à ce stade dans la stratégie de décarbonation par les industriels</t>
  </si>
  <si>
    <t>Yara : swith au biogaz</t>
  </si>
  <si>
    <t>Boréalis : Switch au 100% H2 à partir de 2040</t>
  </si>
  <si>
    <t>Borealis Grandpuits</t>
  </si>
  <si>
    <t>Borealis Grand-Quevilly</t>
  </si>
  <si>
    <t>Borealis Ottmarsheim</t>
  </si>
  <si>
    <t>Yara Le Havre</t>
  </si>
  <si>
    <t>% ou MWH</t>
  </si>
  <si>
    <t>Besoins supplémentaires en électricité</t>
  </si>
  <si>
    <t>N.A</t>
  </si>
  <si>
    <t>pour l'ammoniac, adaptation du procédé existant pour incorporer jusqu'à 10-15% d' H2 électrolytique envisageable mais au-delà, rupture techno qui nécessite de passer à une installation industrielle nouvelle pour faire 100% H2 electrolytique (ODG Capex 200-400 M(e) / site, ODG temps 5 ans pour transformer un site)</t>
  </si>
  <si>
    <t>Gaz + électricité à destination pour faire de l'h2</t>
  </si>
  <si>
    <t>gaz/biogaz</t>
  </si>
  <si>
    <t>électricité pour h2</t>
  </si>
  <si>
    <t>2 (ou 0 si passage H2 vert)</t>
  </si>
  <si>
    <t>Production totale</t>
  </si>
  <si>
    <t>Production par site</t>
  </si>
  <si>
    <t>Pas d echangement</t>
  </si>
  <si>
    <t>Mix 100% H2</t>
  </si>
  <si>
    <t>Mix 100% H3</t>
  </si>
  <si>
    <t>Mix amélioré à 2030</t>
  </si>
  <si>
    <t>Mix 100% H4</t>
  </si>
  <si>
    <t>Mix amélioré</t>
  </si>
  <si>
    <t>Mix ammoniac fossile</t>
  </si>
  <si>
    <t>Part de la production concernée</t>
  </si>
  <si>
    <t>élec</t>
  </si>
  <si>
    <t>gaz réseau</t>
  </si>
  <si>
    <t>Mix 2019</t>
  </si>
  <si>
    <t>Mix 2030</t>
  </si>
  <si>
    <t>Mix 2050</t>
  </si>
  <si>
    <t>Mix ammoniac H2</t>
  </si>
  <si>
    <t>baisse de production de 20% + baisse du taux de clinker de 75 à 58% = baisse de production de clinker de 43% == possible de diminuer uniquement si changement de normes + green premium</t>
  </si>
  <si>
    <t>il ne s'agit de pas de prévisions issues des feuilles de route sites : les industriels tablent sur une stabilité de la production</t>
  </si>
  <si>
    <t>Pas de vision agrégée sur l'évolution du mix : distinguer entre combustible et électricité. 2019 : combustible fossile aux alentours de 60% et combustibles alternatifs aux alentours de 40% (dont 40% de part biogénique et 60% autres déchets). Objectif de 90% dont en 2030 (dont 50%+ biomasse) et 100% (dont 60%+ biomasse) horizon 2050</t>
  </si>
  <si>
    <t>Décrire les technologies utilisées, et si possible leur vitesse de diffusion (ex. taux de clinker dans le ciment…)</t>
  </si>
  <si>
    <t>Scénarios ambitieux des feuilles de route, à confirmer / prévoir les consommations additionnelles CCS</t>
  </si>
  <si>
    <t>Renseigner soit Papier total, soit Papier primaire et recyclé</t>
  </si>
  <si>
    <t>dont Papier recyclé</t>
  </si>
  <si>
    <t>Papier (total)</t>
  </si>
  <si>
    <t xml:space="preserve">     Dont Papier (primaire)</t>
  </si>
  <si>
    <t xml:space="preserve">     Dont Papier (recyclé)</t>
  </si>
  <si>
    <t>Papier total</t>
  </si>
  <si>
    <t>dont papier primaire</t>
  </si>
  <si>
    <t>dont papier recyclé</t>
  </si>
  <si>
    <t>Renseigner soit Verre total, soit Verre primaire et recyclé</t>
  </si>
  <si>
    <t>dont Verre recyclé</t>
  </si>
  <si>
    <t>Verre (total)</t>
  </si>
  <si>
    <t xml:space="preserve">     Dont Verre (primaire)</t>
  </si>
  <si>
    <t xml:space="preserve">     Dont Verre (recyclé)</t>
  </si>
  <si>
    <t>Verre total</t>
  </si>
  <si>
    <t>dont verre primaire</t>
  </si>
  <si>
    <t>dont verre recyclé</t>
  </si>
  <si>
    <t xml:space="preserve">certification ISO5001 pour 90% des sites verriers en 2030 / baisse de 2,5% de la consommation entre 2015 et 2030 lié à l'utilisation du calcin. </t>
  </si>
  <si>
    <t>Objectif de valorisation du verre plat à 18% en 2027</t>
  </si>
  <si>
    <t>Collecte des emballages en verre de 90% en 2025</t>
  </si>
  <si>
    <t>recours au CCS envisagé par la FDR filière mais étendue non précisée.</t>
  </si>
  <si>
    <t>Décrire les technologies utilisées, et si possible leur vitesse de diffusion (ex. taux de Sucre dans le ciment…)</t>
  </si>
  <si>
    <t>Onglet Mix éner % (l'onglet Mix éner % (2) reprend les hypothèses sous un autre format)</t>
  </si>
  <si>
    <t>Leviers</t>
  </si>
  <si>
    <t>Evolution / 2021 brute</t>
  </si>
  <si>
    <t>Evolution / 2021 brute corrigée</t>
  </si>
  <si>
    <t>Introduction d'une hausse de la VA en raison de la réindustrialisation (batteries…)</t>
  </si>
  <si>
    <t>Les hypothèses de recyclage/réutilisation pré-remplies proviennent de la traduction de la FdR 50 sites.</t>
  </si>
  <si>
    <t>Hydrogène (consommation finale)</t>
  </si>
  <si>
    <t>Pour référence</t>
  </si>
  <si>
    <t>Les niveaux de recyclages s'appliquent sur les niveaux de production déterminé par la différence entre le niveau consommation (Pepito) et le ratio import/export, ce qui infine réduit la production primaire de produits industriels</t>
  </si>
  <si>
    <t>A noter que les volumes de CO2 captés doivent être par ailleurs cohérents avec les volumes d'émissions données par les hypothèses prises au dessus (niv prod, mix énergétique, non énergétique, efficacité énergétique…)</t>
  </si>
  <si>
    <t>Quelque soit l'usage CCU ou CCS</t>
  </si>
  <si>
    <t>Quelque soit l'origine du CO2</t>
  </si>
  <si>
    <t>Taux de clinker</t>
  </si>
  <si>
    <t>vDGE: augmentation de la balance commerciale pour le chlore en observée</t>
  </si>
  <si>
    <t>Actualisation sur retours de la DGE sur le retard des projets d'électrification</t>
  </si>
  <si>
    <t>On garde une part de biogaz pour piloter les chaudières et les torches</t>
  </si>
  <si>
    <t>Compromis DGE / ADEME (pulpe de betterave)</t>
  </si>
  <si>
    <t>Modifications DGE</t>
  </si>
  <si>
    <t>Biogaz en autoconsommation.</t>
  </si>
  <si>
    <t>Retour ADEME</t>
  </si>
  <si>
    <t>Pas d'anode inerte en 2030</t>
  </si>
  <si>
    <t>Plus d'hydrogène en 2030, et rupture nette pour 2050 en raison du délai des projets.</t>
  </si>
  <si>
    <t>Intégration de biopétrole</t>
  </si>
  <si>
    <t>Substitution hydrogène</t>
  </si>
  <si>
    <t>Baisse N2O</t>
  </si>
  <si>
    <t>FdR chimie: on pourrait récupérer 99% du N2O contre 95% aujourd'hui</t>
  </si>
  <si>
    <t>Réduction de 0,7Mt à horizon 2030 (suppression des émissions en en gardant un tout petit peu en raison des fuiteq)</t>
  </si>
  <si>
    <t>Autres chimies (ktCO2eq évités)</t>
  </si>
  <si>
    <t>On prend les chiffres de la feuille de route chimie</t>
  </si>
  <si>
    <t>Electrolyse en lieu et place du vapocraquage pour la production d'hydrogène (40% d'hydrogène décarboné à horizon 2030, scénario haut de la FdR chimie)</t>
  </si>
  <si>
    <t>Intégré pour prendre en compte la hausse de production dans le modèle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</si>
</sst>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164" formatCode="\ * #,##0.00\ ;\-* #,##0.00\ ;\ * \-#\ ;\ @\ "/>
    <numFmt numFmtId="165" formatCode="\ * #,##0.00&quot;    &quot;;\-* #,##0.00&quot;    &quot;;\ * \-#&quot;    &quot;;\ @\ "/>
    <numFmt numFmtId="166" formatCode="0\ %"/>
    <numFmt numFmtId="167" formatCode="0.0"/>
    <numFmt numFmtId="168" formatCode="0.000"/>
    <numFmt numFmtId="169" formatCode="0.00\ %"/>
    <numFmt numFmtId="170" formatCode="0.0%"/>
    <numFmt numFmtId="171" formatCode="#,##0.0"/>
    <numFmt numFmtId="172" formatCode="0.0\ %"/>
    <numFmt numFmtId="173" formatCode="0.0000"/>
    <numFmt numFmtId="174" formatCode="_-* #,##0.00\ _€_-;\-* #,##0.00\ _€_-;_-* &quot;-&quot;??\ _€_-;_-@_-"/>
    <numFmt numFmtId="175" formatCode="_-* #,##0.000\ _€_-;\-* #,##0.000\ _€_-;_-* &quot;-&quot;??\ _€_-;_-@_-"/>
    <numFmt numFmtId="176" formatCode="_-* #,##0.0\ _€_-;\-* #,##0.0\ _€_-;_-* &quot;-&quot;??\ _€_-;_-@_-"/>
    <numFmt numFmtId="177" formatCode="_-* #,##0.0\ _€_-;\-* #,##0.0\ _€_-;_-* &quot;-&quot;?\ _€_-;_-@_-"/>
  </numFmts>
  <fonts count="117" x14ac:knownFonts="1">
    <font>
      <sz val="11"/>
      <color rgb="FF000000"/>
      <name val="Calibri"/>
      <family val="2"/>
      <charset val="1"/>
    </font>
    <font>
      <sz val="11"/>
      <color theme="1"/>
      <name val="Calibri"/>
      <family val="2"/>
      <scheme val="minor"/>
    </font>
    <font>
      <sz val="11"/>
      <name val="Calibri"/>
      <family val="2"/>
      <charset val="1"/>
    </font>
    <font>
      <sz val="11"/>
      <color rgb="FFFFFFFF"/>
      <name val="Calibri"/>
      <family val="2"/>
      <charset val="1"/>
    </font>
    <font>
      <u/>
      <sz val="10"/>
      <color rgb="FF0000FF"/>
      <name val="Times New Roman"/>
      <family val="1"/>
      <charset val="1"/>
    </font>
    <font>
      <u/>
      <sz val="10"/>
      <name val="Times New Roman"/>
      <family val="1"/>
      <charset val="1"/>
    </font>
    <font>
      <sz val="9"/>
      <name val="Times New Roman"/>
      <family val="1"/>
      <charset val="1"/>
    </font>
    <font>
      <sz val="10"/>
      <color rgb="FFFFFFFF"/>
      <name val="Calibri"/>
      <family val="2"/>
      <charset val="1"/>
    </font>
    <font>
      <sz val="10"/>
      <name val="Calibri"/>
      <family val="2"/>
      <charset val="1"/>
    </font>
    <font>
      <b/>
      <sz val="10"/>
      <color rgb="FF000000"/>
      <name val="Calibri"/>
      <family val="2"/>
      <charset val="1"/>
    </font>
    <font>
      <b/>
      <sz val="10"/>
      <name val="Calibri"/>
      <family val="2"/>
      <charset val="1"/>
    </font>
    <font>
      <b/>
      <sz val="9"/>
      <name val="Times New Roman"/>
      <family val="1"/>
      <charset val="1"/>
    </font>
    <font>
      <sz val="9"/>
      <color rgb="FF000000"/>
      <name val="Times New Roman"/>
      <family val="1"/>
      <charset val="1"/>
    </font>
    <font>
      <sz val="12"/>
      <color rgb="FF000000"/>
      <name val="Times New Roman"/>
      <family val="1"/>
      <charset val="1"/>
    </font>
    <font>
      <sz val="12"/>
      <name val="Times New Roman"/>
      <family val="1"/>
      <charset val="1"/>
    </font>
    <font>
      <b/>
      <sz val="11"/>
      <color rgb="FF333333"/>
      <name val="Calibri"/>
      <family val="2"/>
      <charset val="1"/>
    </font>
    <font>
      <sz val="10"/>
      <color rgb="FFCA0200"/>
      <name val="Calibri"/>
      <family val="2"/>
      <charset val="1"/>
    </font>
    <font>
      <sz val="11"/>
      <color rgb="FF800080"/>
      <name val="Calibri"/>
      <family val="2"/>
      <charset val="1"/>
    </font>
    <font>
      <sz val="10"/>
      <color rgb="FFCC0000"/>
      <name val="Calibri"/>
      <family val="2"/>
      <charset val="1"/>
    </font>
    <font>
      <b/>
      <sz val="11"/>
      <color rgb="FFFF9900"/>
      <name val="Calibri"/>
      <family val="2"/>
      <charset val="1"/>
    </font>
    <font>
      <b/>
      <sz val="11"/>
      <name val="Calibri"/>
      <family val="2"/>
      <charset val="1"/>
    </font>
    <font>
      <b/>
      <sz val="11"/>
      <color rgb="FFFFFFFF"/>
      <name val="Calibri"/>
      <family val="2"/>
      <charset val="1"/>
    </font>
    <font>
      <b/>
      <sz val="11"/>
      <color rgb="FF0000FF"/>
      <name val="Arial"/>
      <family val="2"/>
      <charset val="1"/>
    </font>
    <font>
      <b/>
      <sz val="11"/>
      <name val="Arial"/>
      <family val="2"/>
      <charset val="1"/>
    </font>
    <font>
      <sz val="11"/>
      <color rgb="FF333399"/>
      <name val="Calibri"/>
      <family val="2"/>
      <charset val="1"/>
    </font>
    <font>
      <sz val="10"/>
      <name val="Arial"/>
      <family val="2"/>
      <charset val="1"/>
    </font>
    <font>
      <b/>
      <sz val="11"/>
      <color rgb="FF000000"/>
      <name val="Calibri"/>
      <family val="2"/>
      <charset val="1"/>
    </font>
    <font>
      <i/>
      <sz val="11"/>
      <color rgb="FF808080"/>
      <name val="Calibri"/>
      <family val="2"/>
      <charset val="1"/>
    </font>
    <font>
      <i/>
      <sz val="11"/>
      <name val="Calibri"/>
      <family val="2"/>
      <charset val="1"/>
    </font>
    <font>
      <b/>
      <sz val="10"/>
      <color rgb="FFFFFFFF"/>
      <name val="Calibri"/>
      <family val="2"/>
      <charset val="1"/>
    </font>
    <font>
      <i/>
      <sz val="10"/>
      <color rgb="FF808080"/>
      <name val="Calibri"/>
      <family val="2"/>
      <charset val="1"/>
    </font>
    <font>
      <i/>
      <sz val="10"/>
      <name val="Calibri"/>
      <family val="2"/>
      <charset val="1"/>
    </font>
    <font>
      <sz val="10"/>
      <color rgb="FF007926"/>
      <name val="Calibri"/>
      <family val="2"/>
      <charset val="1"/>
    </font>
    <font>
      <sz val="10"/>
      <color rgb="FF006600"/>
      <name val="Calibri"/>
      <family val="2"/>
      <charset val="1"/>
    </font>
    <font>
      <sz val="11"/>
      <color rgb="FF007926"/>
      <name val="Calibri"/>
      <family val="2"/>
      <charset val="1"/>
    </font>
    <font>
      <sz val="18"/>
      <color rgb="FF000000"/>
      <name val="Calibri"/>
      <family val="2"/>
      <charset val="1"/>
    </font>
    <font>
      <sz val="18"/>
      <name val="Calibri"/>
      <family val="2"/>
      <charset val="1"/>
    </font>
    <font>
      <b/>
      <sz val="15"/>
      <color rgb="FF003366"/>
      <name val="Calibri"/>
      <family val="2"/>
      <charset val="1"/>
    </font>
    <font>
      <sz val="12"/>
      <color rgb="FF000000"/>
      <name val="Calibri"/>
      <family val="2"/>
      <charset val="1"/>
    </font>
    <font>
      <sz val="12"/>
      <name val="Calibri"/>
      <family val="2"/>
      <charset val="1"/>
    </font>
    <font>
      <b/>
      <sz val="13"/>
      <color rgb="FF003366"/>
      <name val="Calibri"/>
      <family val="2"/>
      <charset val="1"/>
    </font>
    <font>
      <b/>
      <sz val="24"/>
      <color rgb="FF000000"/>
      <name val="Calibri"/>
      <family val="2"/>
      <charset val="1"/>
    </font>
    <font>
      <b/>
      <sz val="11"/>
      <color rgb="FF003366"/>
      <name val="Calibri"/>
      <family val="2"/>
      <charset val="1"/>
    </font>
    <font>
      <b/>
      <sz val="24"/>
      <name val="Calibri"/>
      <family val="2"/>
      <charset val="1"/>
    </font>
    <font>
      <b/>
      <sz val="12"/>
      <name val="Times New Roman"/>
      <family val="1"/>
      <charset val="1"/>
    </font>
    <font>
      <u/>
      <sz val="10"/>
      <color rgb="FF0000FF"/>
      <name val="Calibri"/>
      <family val="2"/>
      <charset val="1"/>
    </font>
    <font>
      <u/>
      <sz val="10"/>
      <name val="Calibri"/>
      <family val="2"/>
      <charset val="1"/>
    </font>
    <font>
      <u/>
      <sz val="10"/>
      <color rgb="FF0000EE"/>
      <name val="Calibri"/>
      <family val="2"/>
      <charset val="1"/>
    </font>
    <font>
      <b/>
      <sz val="12"/>
      <color rgb="FF000000"/>
      <name val="Times New Roman"/>
      <family val="1"/>
      <charset val="1"/>
    </font>
    <font>
      <sz val="11"/>
      <color rgb="FFFF9900"/>
      <name val="Calibri"/>
      <family val="2"/>
      <charset val="1"/>
    </font>
    <font>
      <sz val="10"/>
      <color rgb="FFED661E"/>
      <name val="Calibri"/>
      <family val="2"/>
      <charset val="1"/>
    </font>
    <font>
      <sz val="10"/>
      <color rgb="FF993300"/>
      <name val="Calibri"/>
      <family val="2"/>
      <charset val="1"/>
    </font>
    <font>
      <sz val="10"/>
      <color rgb="FF996600"/>
      <name val="Calibri"/>
      <family val="2"/>
      <charset val="1"/>
    </font>
    <font>
      <sz val="11"/>
      <color rgb="FFCA0200"/>
      <name val="Calibri"/>
      <family val="2"/>
      <charset val="1"/>
    </font>
    <font>
      <sz val="11"/>
      <color rgb="FF333333"/>
      <name val="Calibri"/>
      <family val="2"/>
      <charset val="1"/>
    </font>
    <font>
      <sz val="8"/>
      <name val="Arial"/>
      <family val="2"/>
      <charset val="1"/>
    </font>
    <font>
      <sz val="10"/>
      <color rgb="FF333333"/>
      <name val="Calibri"/>
      <family val="2"/>
      <charset val="1"/>
    </font>
    <font>
      <sz val="10"/>
      <color rgb="FF000000"/>
      <name val="Arial"/>
      <family val="2"/>
      <charset val="1"/>
    </font>
    <font>
      <sz val="8"/>
      <color rgb="FF000000"/>
      <name val="Calibri"/>
      <family val="2"/>
      <charset val="1"/>
    </font>
    <font>
      <i/>
      <sz val="10"/>
      <color rgb="FFAFABAB"/>
      <name val="Arial"/>
      <family val="2"/>
      <charset val="1"/>
    </font>
    <font>
      <i/>
      <sz val="11"/>
      <color rgb="FFAFABAB"/>
      <name val="Calibri"/>
      <family val="2"/>
      <charset val="1"/>
    </font>
    <font>
      <sz val="11"/>
      <color rgb="FFAFABAB"/>
      <name val="Calibri"/>
      <family val="2"/>
      <charset val="1"/>
    </font>
    <font>
      <sz val="11"/>
      <color rgb="FFFF0000"/>
      <name val="Calibri"/>
      <family val="2"/>
      <charset val="1"/>
    </font>
    <font>
      <sz val="9"/>
      <color rgb="FF000000"/>
      <name val="Calibri"/>
      <family val="2"/>
      <charset val="1"/>
    </font>
    <font>
      <sz val="11"/>
      <color rgb="FFED7D31"/>
      <name val="Calibri"/>
      <family val="2"/>
      <charset val="1"/>
    </font>
    <font>
      <b/>
      <sz val="8"/>
      <color rgb="FF000000"/>
      <name val="Arial"/>
      <family val="2"/>
      <charset val="1"/>
    </font>
    <font>
      <sz val="18"/>
      <color rgb="FF00758F"/>
      <name val="Verdana"/>
      <family val="2"/>
      <charset val="1"/>
    </font>
    <font>
      <sz val="11"/>
      <color rgb="FF00758F"/>
      <name val="Verdana"/>
      <family val="2"/>
      <charset val="1"/>
    </font>
    <font>
      <b/>
      <sz val="10"/>
      <color rgb="FF000000"/>
      <name val="Arial"/>
      <family val="2"/>
      <charset val="1"/>
    </font>
    <font>
      <b/>
      <sz val="9"/>
      <color rgb="FF000000"/>
      <name val="Arial"/>
      <family val="2"/>
      <charset val="1"/>
    </font>
    <font>
      <sz val="11"/>
      <color rgb="FFC00000"/>
      <name val="Calibri"/>
      <family val="2"/>
      <charset val="1"/>
    </font>
    <font>
      <sz val="11"/>
      <color rgb="FF7030A0"/>
      <name val="Calibri"/>
      <family val="2"/>
      <charset val="1"/>
    </font>
    <font>
      <u/>
      <sz val="11"/>
      <color rgb="FF0563C1"/>
      <name val="Calibri"/>
      <family val="2"/>
      <charset val="1"/>
    </font>
    <font>
      <b/>
      <sz val="11"/>
      <color rgb="FF000000"/>
      <name val="Arial"/>
      <family val="2"/>
      <charset val="1"/>
    </font>
    <font>
      <i/>
      <sz val="11"/>
      <color rgb="FF000000"/>
      <name val="Arial"/>
      <family val="2"/>
      <charset val="1"/>
    </font>
    <font>
      <sz val="11"/>
      <color rgb="FF000000"/>
      <name val="Arial"/>
      <family val="2"/>
      <charset val="1"/>
    </font>
    <font>
      <sz val="10"/>
      <color rgb="FF000000"/>
      <name val="Calibri"/>
      <family val="2"/>
      <charset val="1"/>
    </font>
    <font>
      <b/>
      <sz val="11"/>
      <color rgb="FFFF0000"/>
      <name val="Calibri"/>
      <family val="2"/>
      <charset val="1"/>
    </font>
    <font>
      <i/>
      <sz val="11"/>
      <color rgb="FF333333"/>
      <name val="Arial"/>
      <family val="2"/>
      <charset val="1"/>
    </font>
    <font>
      <i/>
      <sz val="11"/>
      <color rgb="FFFFFFFF"/>
      <name val="Arial"/>
      <family val="2"/>
      <charset val="1"/>
    </font>
    <font>
      <i/>
      <sz val="9"/>
      <color rgb="FF0066CC"/>
      <name val="Calibri"/>
      <family val="2"/>
      <charset val="1"/>
    </font>
    <font>
      <b/>
      <sz val="9"/>
      <name val="Calibri"/>
      <family val="2"/>
      <charset val="1"/>
    </font>
    <font>
      <sz val="9"/>
      <name val="Calibri"/>
      <family val="2"/>
      <charset val="1"/>
    </font>
    <font>
      <i/>
      <sz val="11"/>
      <name val="Arial"/>
      <family val="2"/>
      <charset val="1"/>
    </font>
    <font>
      <i/>
      <sz val="11"/>
      <color rgb="FFFF0000"/>
      <name val="Arial"/>
      <family val="2"/>
      <charset val="1"/>
    </font>
    <font>
      <sz val="11"/>
      <color rgb="FF548235"/>
      <name val="Calibri"/>
      <family val="2"/>
      <charset val="1"/>
    </font>
    <font>
      <i/>
      <sz val="11"/>
      <color rgb="FFC00000"/>
      <name val="Calibri"/>
      <family val="2"/>
      <charset val="1"/>
    </font>
    <font>
      <sz val="10"/>
      <color rgb="FF808080"/>
      <name val="Calibri"/>
      <family val="2"/>
      <charset val="1"/>
    </font>
    <font>
      <sz val="9"/>
      <color rgb="FF595959"/>
      <name val="Calibri"/>
      <family val="2"/>
      <charset val="1"/>
    </font>
    <font>
      <b/>
      <i/>
      <sz val="11"/>
      <color rgb="FFFFFFFF"/>
      <name val="Arial"/>
      <family val="2"/>
      <charset val="1"/>
    </font>
    <font>
      <sz val="11"/>
      <color rgb="FF000000"/>
      <name val="Calibri"/>
      <family val="2"/>
      <charset val="1"/>
    </font>
    <font>
      <sz val="11"/>
      <color rgb="FFFF0000"/>
      <name val="Calibri"/>
      <family val="2"/>
      <scheme val="minor"/>
    </font>
    <font>
      <sz val="11"/>
      <color rgb="FF00B0F0"/>
      <name val="Calibri"/>
      <family val="2"/>
      <scheme val="minor"/>
    </font>
    <font>
      <b/>
      <i/>
      <sz val="11"/>
      <color rgb="FFFF0000"/>
      <name val="Arial"/>
      <family val="2"/>
      <charset val="1"/>
    </font>
    <font>
      <sz val="11"/>
      <name val="Calibri"/>
      <family val="2"/>
      <scheme val="minor"/>
    </font>
    <font>
      <sz val="11"/>
      <name val="Calibri"/>
      <family val="2"/>
      <charset val="1"/>
      <scheme val="minor"/>
    </font>
    <font>
      <b/>
      <i/>
      <sz val="11"/>
      <color theme="0"/>
      <name val="Arial"/>
      <family val="2"/>
      <charset val="1"/>
    </font>
    <font>
      <sz val="11"/>
      <color rgb="FF7030A0"/>
      <name val="Calibri"/>
      <family val="2"/>
      <scheme val="minor"/>
    </font>
    <font>
      <sz val="9"/>
      <color rgb="FFFF0000"/>
      <name val="Calibri"/>
      <family val="2"/>
      <charset val="1"/>
    </font>
    <font>
      <sz val="9"/>
      <color rgb="FF7030A0"/>
      <name val="Calibri"/>
      <family val="2"/>
      <charset val="1"/>
    </font>
    <font>
      <b/>
      <sz val="11"/>
      <color rgb="FF000000"/>
      <name val="Calibri"/>
      <family val="2"/>
    </font>
    <font>
      <b/>
      <sz val="11"/>
      <color theme="1"/>
      <name val="Calibri"/>
      <family val="2"/>
      <scheme val="minor"/>
    </font>
    <font>
      <sz val="11"/>
      <color theme="1"/>
      <name val="Calibri"/>
      <family val="2"/>
      <charset val="1"/>
    </font>
    <font>
      <b/>
      <sz val="24"/>
      <color rgb="FF000000"/>
      <name val="Calibri"/>
      <family val="2"/>
    </font>
    <font>
      <sz val="11"/>
      <color rgb="FF000000"/>
      <name val="Calibri"/>
      <family val="2"/>
    </font>
    <font>
      <b/>
      <sz val="18"/>
      <color theme="1"/>
      <name val="Calibri"/>
      <family val="2"/>
      <scheme val="minor"/>
    </font>
    <font>
      <sz val="10"/>
      <color theme="1"/>
      <name val="Times New Roman"/>
      <family val="1"/>
    </font>
    <font>
      <b/>
      <sz val="11"/>
      <color rgb="FFFFFFFF"/>
      <name val="Calibri"/>
      <family val="2"/>
    </font>
    <font>
      <i/>
      <sz val="11"/>
      <color theme="1"/>
      <name val="Calibri"/>
      <family val="2"/>
      <scheme val="minor"/>
    </font>
    <font>
      <sz val="11"/>
      <name val="Calibri"/>
      <family val="2"/>
    </font>
    <font>
      <b/>
      <sz val="11"/>
      <name val="Calibri"/>
      <family val="2"/>
    </font>
    <font>
      <sz val="11"/>
      <color rgb="FF1F497D"/>
      <name val="Courier New"/>
      <family val="3"/>
    </font>
    <font>
      <sz val="7"/>
      <color rgb="FF1F497D"/>
      <name val="Times New Roman"/>
      <family val="1"/>
    </font>
    <font>
      <sz val="11"/>
      <color rgb="FF1F497D"/>
      <name val="Calibri"/>
      <family val="2"/>
    </font>
    <font>
      <b/>
      <sz val="11"/>
      <color rgb="FF1F497D"/>
      <name val="Calibri"/>
      <family val="2"/>
    </font>
    <font>
      <b/>
      <i/>
      <sz val="11"/>
      <color rgb="FF000000"/>
      <name val="Calibri"/>
      <family val="2"/>
    </font>
    <font>
      <i/>
      <sz val="11"/>
      <color rgb="FF000000"/>
      <name val="Calibri"/>
      <family val="2"/>
    </font>
  </fonts>
  <fills count="74">
    <fill>
      <patternFill patternType="none"/>
    </fill>
    <fill>
      <patternFill patternType="gray125"/>
    </fill>
    <fill>
      <patternFill patternType="solid">
        <fgColor rgb="FFCAD0FE"/>
        <bgColor rgb="FFBDD7EE"/>
      </patternFill>
    </fill>
    <fill>
      <patternFill patternType="solid">
        <fgColor rgb="FFFFFFFF"/>
        <bgColor rgb="FFF2F2F2"/>
      </patternFill>
    </fill>
    <fill>
      <patternFill patternType="solid">
        <fgColor rgb="FFFF99CC"/>
        <bgColor rgb="FFFF898C"/>
      </patternFill>
    </fill>
    <fill>
      <patternFill patternType="solid">
        <fgColor rgb="FFCCFFCC"/>
        <bgColor rgb="FFCCFFFF"/>
      </patternFill>
    </fill>
    <fill>
      <patternFill patternType="solid">
        <fgColor rgb="FFCC99FF"/>
        <bgColor rgb="FFFF99CC"/>
      </patternFill>
    </fill>
    <fill>
      <patternFill patternType="solid">
        <fgColor rgb="FFCCFFFF"/>
        <bgColor rgb="FFCCFFCC"/>
      </patternFill>
    </fill>
    <fill>
      <patternFill patternType="solid">
        <fgColor rgb="FFFFCC9B"/>
        <bgColor rgb="FFD8D8D8"/>
      </patternFill>
    </fill>
    <fill>
      <patternFill patternType="solid">
        <fgColor rgb="FF9ACBFD"/>
        <bgColor rgb="FF9DC3E6"/>
      </patternFill>
    </fill>
    <fill>
      <patternFill patternType="solid">
        <fgColor rgb="FFFF898C"/>
        <bgColor rgb="FFFF99CC"/>
      </patternFill>
    </fill>
    <fill>
      <patternFill patternType="solid">
        <fgColor rgb="FF00FF00"/>
        <bgColor rgb="FF33CCCC"/>
      </patternFill>
    </fill>
    <fill>
      <patternFill patternType="solid">
        <fgColor rgb="FFFFCC00"/>
        <bgColor rgb="FFFFC000"/>
      </patternFill>
    </fill>
    <fill>
      <patternFill patternType="solid">
        <fgColor rgb="FF006DB4"/>
        <bgColor rgb="FF296098"/>
      </patternFill>
    </fill>
    <fill>
      <patternFill patternType="solid">
        <fgColor rgb="FF800080"/>
        <bgColor rgb="FF7A2D99"/>
      </patternFill>
    </fill>
    <fill>
      <patternFill patternType="solid">
        <fgColor rgb="FF33CCCC"/>
        <bgColor rgb="FF9ACBFD"/>
      </patternFill>
    </fill>
    <fill>
      <patternFill patternType="solid">
        <fgColor rgb="FFFF9900"/>
        <bgColor rgb="FFFF9109"/>
      </patternFill>
    </fill>
    <fill>
      <patternFill patternType="solid">
        <fgColor rgb="FF000000"/>
        <bgColor rgb="FF013347"/>
      </patternFill>
    </fill>
    <fill>
      <patternFill patternType="solid">
        <fgColor rgb="FF808080"/>
        <bgColor rgb="FF959698"/>
      </patternFill>
    </fill>
    <fill>
      <patternFill patternType="solid">
        <fgColor rgb="FFE0E3F2"/>
        <bgColor rgb="FFE9E3F2"/>
      </patternFill>
    </fill>
    <fill>
      <patternFill patternType="solid">
        <fgColor rgb="FF303434"/>
        <bgColor rgb="FF013347"/>
      </patternFill>
    </fill>
    <fill>
      <patternFill patternType="solid">
        <fgColor rgb="FF333399"/>
        <bgColor rgb="FF2F5597"/>
      </patternFill>
    </fill>
    <fill>
      <patternFill patternType="solid">
        <fgColor rgb="FFFF0000"/>
        <bgColor rgb="FFCC0101"/>
      </patternFill>
    </fill>
    <fill>
      <patternFill patternType="solid">
        <fgColor rgb="FF508B36"/>
        <bgColor rgb="FF73AF45"/>
      </patternFill>
    </fill>
    <fill>
      <patternFill patternType="mediumGray">
        <fgColor rgb="FF148317"/>
        <bgColor rgb="FF508B36"/>
      </patternFill>
    </fill>
    <fill>
      <patternFill patternType="solid">
        <fgColor rgb="FFFF5900"/>
        <bgColor rgb="FFED661E"/>
      </patternFill>
    </fill>
    <fill>
      <patternFill patternType="solid">
        <fgColor rgb="FFC0C0C0"/>
        <bgColor rgb="FFBFBFBF"/>
      </patternFill>
    </fill>
    <fill>
      <patternFill patternType="darkGray">
        <fgColor rgb="FFFFCC9B"/>
        <bgColor rgb="FFD8D8D8"/>
      </patternFill>
    </fill>
    <fill>
      <patternFill patternType="solid">
        <fgColor rgb="FF959698"/>
        <bgColor rgb="FFA9A7A7"/>
      </patternFill>
    </fill>
    <fill>
      <patternFill patternType="darkGray">
        <fgColor rgb="FFC40000"/>
        <bgColor rgb="FFCC0101"/>
      </patternFill>
    </fill>
    <fill>
      <patternFill patternType="solid">
        <fgColor rgb="FFCC0101"/>
        <bgColor rgb="FFC40000"/>
      </patternFill>
    </fill>
    <fill>
      <patternFill patternType="solid">
        <fgColor rgb="FFFFFFC8"/>
        <bgColor rgb="FFFFFFFF"/>
      </patternFill>
    </fill>
    <fill>
      <patternFill patternType="solid">
        <fgColor rgb="FFFFFF00"/>
        <bgColor rgb="FFFFCC00"/>
      </patternFill>
    </fill>
    <fill>
      <patternFill patternType="solid">
        <fgColor rgb="FFDEEBF7"/>
        <bgColor rgb="FFE0E3F2"/>
      </patternFill>
    </fill>
    <fill>
      <patternFill patternType="solid">
        <fgColor rgb="FFE9E3F2"/>
        <bgColor rgb="FFE0E3F2"/>
      </patternFill>
    </fill>
    <fill>
      <patternFill patternType="solid">
        <fgColor rgb="FFA9A7A7"/>
        <bgColor rgb="FF959698"/>
      </patternFill>
    </fill>
    <fill>
      <patternFill patternType="solid">
        <fgColor rgb="FFFFC000"/>
        <bgColor rgb="FFFFCC00"/>
      </patternFill>
    </fill>
    <fill>
      <patternFill patternType="solid">
        <fgColor rgb="FFED7D31"/>
        <bgColor rgb="FFED661E"/>
      </patternFill>
    </fill>
    <fill>
      <patternFill patternType="darkGray">
        <fgColor rgb="FF3D7AC0"/>
        <bgColor rgb="FF2E66A0"/>
      </patternFill>
    </fill>
    <fill>
      <patternFill patternType="solid">
        <fgColor rgb="FFF86032"/>
        <bgColor rgb="FFED661E"/>
      </patternFill>
    </fill>
    <fill>
      <patternFill patternType="solid">
        <fgColor rgb="FFB7C5DB"/>
        <bgColor rgb="FFB4C7E5"/>
      </patternFill>
    </fill>
    <fill>
      <patternFill patternType="solid">
        <fgColor rgb="FF73AF45"/>
        <bgColor rgb="FF508B36"/>
      </patternFill>
    </fill>
    <fill>
      <patternFill patternType="solid">
        <fgColor rgb="FFFF9109"/>
        <bgColor rgb="FFFF9900"/>
      </patternFill>
    </fill>
    <fill>
      <patternFill patternType="solid">
        <fgColor rgb="FFC40000"/>
        <bgColor rgb="FFCC0101"/>
      </patternFill>
    </fill>
    <fill>
      <patternFill patternType="solid">
        <fgColor rgb="FFBFBFBF"/>
        <bgColor rgb="FFC0C0C0"/>
      </patternFill>
    </fill>
    <fill>
      <patternFill patternType="darkGray">
        <fgColor rgb="FFFF898C"/>
        <bgColor rgb="FFFF99CC"/>
      </patternFill>
    </fill>
    <fill>
      <patternFill patternType="solid">
        <fgColor rgb="FFCCCCCC"/>
        <bgColor rgb="FFC0C0C0"/>
      </patternFill>
    </fill>
    <fill>
      <patternFill patternType="solid">
        <fgColor rgb="FFF2F2F2"/>
        <bgColor rgb="FFE2F0D9"/>
      </patternFill>
    </fill>
    <fill>
      <patternFill patternType="solid">
        <fgColor rgb="FF7A2D99"/>
        <bgColor rgb="FF800080"/>
      </patternFill>
    </fill>
    <fill>
      <patternFill patternType="solid">
        <fgColor rgb="FFED661E"/>
        <bgColor rgb="FFF86032"/>
      </patternFill>
    </fill>
    <fill>
      <patternFill patternType="darkGray">
        <fgColor rgb="FFFFFF00"/>
        <bgColor rgb="FFFFCC00"/>
      </patternFill>
    </fill>
    <fill>
      <patternFill patternType="solid">
        <fgColor rgb="FF2E66A0"/>
        <bgColor rgb="FF296098"/>
      </patternFill>
    </fill>
    <fill>
      <patternFill patternType="solid">
        <fgColor rgb="FFBDD7EE"/>
        <bgColor rgb="FFCAD0FE"/>
      </patternFill>
    </fill>
    <fill>
      <patternFill patternType="solid">
        <fgColor rgb="FFB4C7E5"/>
        <bgColor rgb="FFB7C5DB"/>
      </patternFill>
    </fill>
    <fill>
      <patternFill patternType="solid">
        <fgColor rgb="FFD8D8D8"/>
        <bgColor rgb="FFCCCCCC"/>
      </patternFill>
    </fill>
    <fill>
      <patternFill patternType="solid">
        <fgColor rgb="FFE2F0D9"/>
        <bgColor rgb="FFDEEBF7"/>
      </patternFill>
    </fill>
    <fill>
      <patternFill patternType="darkGray">
        <fgColor rgb="FFE0E3F2"/>
        <bgColor rgb="FFDEEBF7"/>
      </patternFill>
    </fill>
    <fill>
      <patternFill patternType="solid">
        <fgColor rgb="FFFFFF00"/>
        <bgColor indexed="64"/>
      </patternFill>
    </fill>
    <fill>
      <patternFill patternType="solid">
        <fgColor theme="9" tint="0.79998168889431442"/>
        <bgColor indexed="64"/>
      </patternFill>
    </fill>
    <fill>
      <patternFill patternType="solid">
        <fgColor theme="9" tint="0.79998168889431442"/>
        <bgColor rgb="FFF2F2F2"/>
      </patternFill>
    </fill>
    <fill>
      <patternFill patternType="solid">
        <fgColor theme="7" tint="0.39997558519241921"/>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59999389629810485"/>
        <bgColor rgb="FFBFBFBF"/>
      </patternFill>
    </fill>
    <fill>
      <patternFill patternType="solid">
        <fgColor rgb="FFFFFF00"/>
        <bgColor rgb="FFE2F0D9"/>
      </patternFill>
    </fill>
    <fill>
      <patternFill patternType="solid">
        <fgColor rgb="FFC00000"/>
        <bgColor rgb="FFBFBFBF"/>
      </patternFill>
    </fill>
    <fill>
      <patternFill patternType="solid">
        <fgColor rgb="FFFFFF00"/>
        <bgColor rgb="FFBFBFBF"/>
      </patternFill>
    </fill>
    <fill>
      <patternFill patternType="solid">
        <fgColor rgb="FFFFFF00"/>
        <bgColor rgb="FF013347"/>
      </patternFill>
    </fill>
    <fill>
      <patternFill patternType="solid">
        <fgColor theme="0"/>
        <bgColor indexed="64"/>
      </patternFill>
    </fill>
    <fill>
      <patternFill patternType="solid">
        <fgColor theme="0"/>
        <bgColor rgb="FFF2F2F2"/>
      </patternFill>
    </fill>
    <fill>
      <patternFill patternType="solid">
        <fgColor rgb="FF959698"/>
        <bgColor rgb="FFA5A5A5"/>
      </patternFill>
    </fill>
    <fill>
      <patternFill patternType="solid">
        <fgColor theme="0"/>
        <bgColor rgb="FFE2F0D9"/>
      </patternFill>
    </fill>
  </fills>
  <borders count="8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rgb="FF013347"/>
      </left>
      <right style="thin">
        <color rgb="FF013347"/>
      </right>
      <top style="thin">
        <color rgb="FF013347"/>
      </top>
      <bottom style="thin">
        <color rgb="FF013347"/>
      </bottom>
      <diagonal/>
    </border>
    <border>
      <left style="thin">
        <color rgb="FF808080"/>
      </left>
      <right style="thin">
        <color rgb="FF808080"/>
      </right>
      <top style="thin">
        <color rgb="FF808080"/>
      </top>
      <bottom style="thin">
        <color rgb="FF808080"/>
      </bottom>
      <diagonal/>
    </border>
    <border>
      <left style="double">
        <color rgb="FF013347"/>
      </left>
      <right style="double">
        <color rgb="FF013347"/>
      </right>
      <top style="double">
        <color rgb="FF013347"/>
      </top>
      <bottom style="double">
        <color rgb="FF013347"/>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rgb="FF333399"/>
      </top>
      <bottom style="double">
        <color rgb="FF333399"/>
      </bottom>
      <diagonal/>
    </border>
    <border>
      <left/>
      <right/>
      <top/>
      <bottom style="thick">
        <color rgb="FF333399"/>
      </bottom>
      <diagonal/>
    </border>
    <border>
      <left/>
      <right/>
      <top/>
      <bottom style="thick">
        <color rgb="FFC0C0C0"/>
      </bottom>
      <diagonal/>
    </border>
    <border>
      <left/>
      <right/>
      <top/>
      <bottom style="thick">
        <color auto="1"/>
      </bottom>
      <diagonal/>
    </border>
    <border>
      <left/>
      <right/>
      <top/>
      <bottom style="medium">
        <color rgb="FF006DB4"/>
      </bottom>
      <diagonal/>
    </border>
    <border>
      <left/>
      <right/>
      <top/>
      <bottom style="thin">
        <color auto="1"/>
      </bottom>
      <diagonal/>
    </border>
    <border>
      <left/>
      <right/>
      <top/>
      <bottom style="double">
        <color rgb="FFFF9900"/>
      </bottom>
      <diagonal/>
    </border>
    <border>
      <left/>
      <right/>
      <top/>
      <bottom style="double">
        <color auto="1"/>
      </bottom>
      <diagonal/>
    </border>
    <border>
      <left style="medium">
        <color auto="1"/>
      </left>
      <right/>
      <top/>
      <bottom/>
      <diagonal/>
    </border>
    <border>
      <left style="medium">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thin">
        <color auto="1"/>
      </left>
      <right/>
      <top style="thin">
        <color auto="1"/>
      </top>
      <bottom style="thin">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right/>
      <top style="hair">
        <color auto="1"/>
      </top>
      <bottom style="hair">
        <color auto="1"/>
      </bottom>
      <diagonal/>
    </border>
    <border>
      <left/>
      <right style="hair">
        <color auto="1"/>
      </right>
      <top/>
      <bottom/>
      <diagonal/>
    </border>
    <border>
      <left style="thin">
        <color auto="1"/>
      </left>
      <right style="thin">
        <color auto="1"/>
      </right>
      <top/>
      <bottom/>
      <diagonal/>
    </border>
    <border>
      <left style="hair">
        <color auto="1"/>
      </left>
      <right style="hair">
        <color auto="1"/>
      </right>
      <top/>
      <bottom/>
      <diagonal/>
    </border>
    <border>
      <left style="medium">
        <color auto="1"/>
      </left>
      <right style="thin">
        <color auto="1"/>
      </right>
      <top style="medium">
        <color auto="1"/>
      </top>
      <bottom/>
      <diagonal/>
    </border>
    <border>
      <left style="medium">
        <color auto="1"/>
      </left>
      <right style="medium">
        <color auto="1"/>
      </right>
      <top style="medium">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style="thin">
        <color auto="1"/>
      </right>
      <top style="thin">
        <color auto="1"/>
      </top>
      <bottom/>
      <diagonal/>
    </border>
    <border>
      <left/>
      <right style="thin">
        <color auto="1"/>
      </right>
      <top/>
      <bottom/>
      <diagonal/>
    </border>
    <border>
      <left/>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style="hair">
        <color auto="1"/>
      </left>
      <right/>
      <top/>
      <bottom/>
      <diagonal/>
    </border>
    <border>
      <left style="thin">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hair">
        <color auto="1"/>
      </bottom>
      <diagonal/>
    </border>
    <border>
      <left style="hair">
        <color auto="1"/>
      </left>
      <right/>
      <top/>
      <bottom style="hair">
        <color auto="1"/>
      </bottom>
      <diagonal/>
    </border>
    <border>
      <left/>
      <right style="thin">
        <color auto="1"/>
      </right>
      <top style="medium">
        <color auto="1"/>
      </top>
      <bottom style="thin">
        <color auto="1"/>
      </bottom>
      <diagonal/>
    </border>
    <border>
      <left style="medium">
        <color auto="1"/>
      </left>
      <right/>
      <top style="medium">
        <color auto="1"/>
      </top>
      <bottom style="hair">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right style="hair">
        <color auto="1"/>
      </right>
      <top style="hair">
        <color auto="1"/>
      </top>
      <bottom style="medium">
        <color auto="1"/>
      </bottom>
      <diagonal/>
    </border>
    <border>
      <left style="hair">
        <color auto="1"/>
      </left>
      <right style="thin">
        <color indexed="64"/>
      </right>
      <top style="hair">
        <color auto="1"/>
      </top>
      <bottom style="medium">
        <color auto="1"/>
      </bottom>
      <diagonal/>
    </border>
    <border>
      <left style="hair">
        <color auto="1"/>
      </left>
      <right style="thin">
        <color indexed="64"/>
      </right>
      <top style="hair">
        <color auto="1"/>
      </top>
      <bottom style="hair">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794">
    <xf numFmtId="0" fontId="0" fillId="0" borderId="0"/>
    <xf numFmtId="164" fontId="90" fillId="0" borderId="0"/>
    <xf numFmtId="166" fontId="54" fillId="0" borderId="0"/>
    <xf numFmtId="0" fontId="72" fillId="0" borderId="0"/>
    <xf numFmtId="0" fontId="90" fillId="2" borderId="0"/>
    <xf numFmtId="0" fontId="2" fillId="3" borderId="0"/>
    <xf numFmtId="0" fontId="90" fillId="2" borderId="0"/>
    <xf numFmtId="0" fontId="2" fillId="3" borderId="0"/>
    <xf numFmtId="0" fontId="90" fillId="4" borderId="0"/>
    <xf numFmtId="0" fontId="2" fillId="3" borderId="0"/>
    <xf numFmtId="0" fontId="90" fillId="4" borderId="0"/>
    <xf numFmtId="0" fontId="2" fillId="3" borderId="0"/>
    <xf numFmtId="0" fontId="90" fillId="5" borderId="0"/>
    <xf numFmtId="0" fontId="2" fillId="3" borderId="0"/>
    <xf numFmtId="0" fontId="90" fillId="5" borderId="0"/>
    <xf numFmtId="0" fontId="2" fillId="3" borderId="0"/>
    <xf numFmtId="0" fontId="90" fillId="6" borderId="0"/>
    <xf numFmtId="0" fontId="2" fillId="3" borderId="0"/>
    <xf numFmtId="0" fontId="90" fillId="6" borderId="0"/>
    <xf numFmtId="0" fontId="2" fillId="3" borderId="0"/>
    <xf numFmtId="0" fontId="90" fillId="7" borderId="0"/>
    <xf numFmtId="0" fontId="2" fillId="3" borderId="0"/>
    <xf numFmtId="0" fontId="90" fillId="7" borderId="0"/>
    <xf numFmtId="0" fontId="2" fillId="3" borderId="0"/>
    <xf numFmtId="0" fontId="90" fillId="8" borderId="0"/>
    <xf numFmtId="0" fontId="2" fillId="3" borderId="0"/>
    <xf numFmtId="0" fontId="90" fillId="8" borderId="0"/>
    <xf numFmtId="0" fontId="2" fillId="3" borderId="0"/>
    <xf numFmtId="0" fontId="90" fillId="2" borderId="0"/>
    <xf numFmtId="0" fontId="2" fillId="3" borderId="0"/>
    <xf numFmtId="0" fontId="90" fillId="2" borderId="0"/>
    <xf numFmtId="0" fontId="2" fillId="3" borderId="0"/>
    <xf numFmtId="0" fontId="90" fillId="4" borderId="0"/>
    <xf numFmtId="0" fontId="2" fillId="3" borderId="0"/>
    <xf numFmtId="0" fontId="90" fillId="4" borderId="0"/>
    <xf numFmtId="0" fontId="2" fillId="3" borderId="0"/>
    <xf numFmtId="0" fontId="90" fillId="5" borderId="0"/>
    <xf numFmtId="0" fontId="2" fillId="3" borderId="0"/>
    <xf numFmtId="0" fontId="90" fillId="5" borderId="0"/>
    <xf numFmtId="0" fontId="2" fillId="3" borderId="0"/>
    <xf numFmtId="0" fontId="90" fillId="6" borderId="0"/>
    <xf numFmtId="0" fontId="2" fillId="3" borderId="0"/>
    <xf numFmtId="0" fontId="90" fillId="6" borderId="0"/>
    <xf numFmtId="0" fontId="2" fillId="3" borderId="0"/>
    <xf numFmtId="0" fontId="90" fillId="7" borderId="0"/>
    <xf numFmtId="0" fontId="2" fillId="3" borderId="0"/>
    <xf numFmtId="0" fontId="90" fillId="7" borderId="0"/>
    <xf numFmtId="0" fontId="2" fillId="3" borderId="0"/>
    <xf numFmtId="0" fontId="90" fillId="8" borderId="0"/>
    <xf numFmtId="0" fontId="2" fillId="3" borderId="0"/>
    <xf numFmtId="0" fontId="90" fillId="8" borderId="0"/>
    <xf numFmtId="0" fontId="2" fillId="3" borderId="0"/>
    <xf numFmtId="0" fontId="90" fillId="0" borderId="0">
      <alignment horizontal="left" vertical="center" indent="15"/>
    </xf>
    <xf numFmtId="0" fontId="90" fillId="0" borderId="0">
      <alignment horizontal="left" vertical="center" indent="15"/>
    </xf>
    <xf numFmtId="0" fontId="90" fillId="0" borderId="0">
      <alignment horizontal="left" vertical="center" indent="15"/>
    </xf>
    <xf numFmtId="0" fontId="2" fillId="0" borderId="0">
      <alignment horizontal="left" vertical="center" indent="15"/>
    </xf>
    <xf numFmtId="0" fontId="2" fillId="0" borderId="0">
      <alignment horizontal="left" vertical="center" indent="15"/>
    </xf>
    <xf numFmtId="0" fontId="90" fillId="0" borderId="0">
      <alignment horizontal="left" vertical="center" indent="15"/>
    </xf>
    <xf numFmtId="0" fontId="90" fillId="0" borderId="0">
      <alignment horizontal="left" vertical="center" indent="15"/>
    </xf>
    <xf numFmtId="0" fontId="90" fillId="0" borderId="0">
      <alignment horizontal="left" vertical="center" indent="15"/>
    </xf>
    <xf numFmtId="0" fontId="90" fillId="0" borderId="0">
      <alignment horizontal="left" vertical="center" indent="15"/>
    </xf>
    <xf numFmtId="0" fontId="2" fillId="0" borderId="0">
      <alignment horizontal="left" vertical="center" indent="15"/>
    </xf>
    <xf numFmtId="0" fontId="2" fillId="0" borderId="0">
      <alignment horizontal="left" vertical="center" indent="15"/>
    </xf>
    <xf numFmtId="0" fontId="90" fillId="0" borderId="0">
      <alignment horizontal="left" vertical="center" indent="15"/>
    </xf>
    <xf numFmtId="0" fontId="2" fillId="0" borderId="0">
      <alignment horizontal="left" vertical="center" indent="15"/>
    </xf>
    <xf numFmtId="0" fontId="2" fillId="0" borderId="0">
      <alignment horizontal="left" vertical="center" indent="15"/>
    </xf>
    <xf numFmtId="0" fontId="90" fillId="0" borderId="0">
      <alignment horizontal="left" vertical="center" indent="15"/>
    </xf>
    <xf numFmtId="0" fontId="90" fillId="0" borderId="0">
      <alignment horizontal="left" vertical="center" indent="15"/>
    </xf>
    <xf numFmtId="0" fontId="90" fillId="0" borderId="0">
      <alignment horizontal="left" vertical="center" indent="15"/>
    </xf>
    <xf numFmtId="0" fontId="2" fillId="0" borderId="0">
      <alignment horizontal="left" vertical="center" indent="15"/>
    </xf>
    <xf numFmtId="0" fontId="2" fillId="0" borderId="0">
      <alignment horizontal="left" vertical="center" indent="15"/>
    </xf>
    <xf numFmtId="0" fontId="90" fillId="0" borderId="0">
      <alignment horizontal="left" vertical="center" indent="15"/>
    </xf>
    <xf numFmtId="0" fontId="90" fillId="0" borderId="0">
      <alignment horizontal="left" vertical="center" indent="15"/>
    </xf>
    <xf numFmtId="0" fontId="2" fillId="0" borderId="0">
      <alignment horizontal="left" vertical="center" indent="15"/>
    </xf>
    <xf numFmtId="0" fontId="2" fillId="0" borderId="0">
      <alignment horizontal="left" vertical="center" indent="15"/>
    </xf>
    <xf numFmtId="0" fontId="90" fillId="0" borderId="0">
      <alignment horizontal="left" vertical="center" indent="15"/>
    </xf>
    <xf numFmtId="0" fontId="90" fillId="0" borderId="0">
      <alignment horizontal="left" vertical="center" indent="15"/>
    </xf>
    <xf numFmtId="0" fontId="2" fillId="0" borderId="0">
      <alignment horizontal="left" vertical="center" indent="15"/>
    </xf>
    <xf numFmtId="0" fontId="2" fillId="0" borderId="0">
      <alignment horizontal="left" vertical="center" indent="15"/>
    </xf>
    <xf numFmtId="0" fontId="2" fillId="0" borderId="0">
      <alignment horizontal="left" vertical="center" indent="15"/>
    </xf>
    <xf numFmtId="0" fontId="2" fillId="0" borderId="0">
      <alignment horizontal="left" vertical="center" indent="15"/>
    </xf>
    <xf numFmtId="0" fontId="2" fillId="0" borderId="0">
      <alignment horizontal="left" vertical="center" indent="15"/>
    </xf>
    <xf numFmtId="0" fontId="90" fillId="9" borderId="0"/>
    <xf numFmtId="0" fontId="2" fillId="3" borderId="0"/>
    <xf numFmtId="0" fontId="90" fillId="9" borderId="0"/>
    <xf numFmtId="0" fontId="2" fillId="3" borderId="0"/>
    <xf numFmtId="0" fontId="90" fillId="10" borderId="0"/>
    <xf numFmtId="0" fontId="2" fillId="3" borderId="0"/>
    <xf numFmtId="0" fontId="90" fillId="10" borderId="0"/>
    <xf numFmtId="0" fontId="2" fillId="3" borderId="0"/>
    <xf numFmtId="0" fontId="90" fillId="11" borderId="0"/>
    <xf numFmtId="0" fontId="2" fillId="3" borderId="0"/>
    <xf numFmtId="0" fontId="90" fillId="11" borderId="0"/>
    <xf numFmtId="0" fontId="2" fillId="3" borderId="0"/>
    <xf numFmtId="0" fontId="90" fillId="6" borderId="0"/>
    <xf numFmtId="0" fontId="2" fillId="3" borderId="0"/>
    <xf numFmtId="0" fontId="90" fillId="6" borderId="0"/>
    <xf numFmtId="0" fontId="2" fillId="3" borderId="0"/>
    <xf numFmtId="0" fontId="90" fillId="9" borderId="0"/>
    <xf numFmtId="0" fontId="2" fillId="3" borderId="0"/>
    <xf numFmtId="0" fontId="90" fillId="9" borderId="0"/>
    <xf numFmtId="0" fontId="2" fillId="3" borderId="0"/>
    <xf numFmtId="0" fontId="90" fillId="12" borderId="0"/>
    <xf numFmtId="0" fontId="2" fillId="3" borderId="0"/>
    <xf numFmtId="0" fontId="90" fillId="12" borderId="0"/>
    <xf numFmtId="0" fontId="2" fillId="3" borderId="0"/>
    <xf numFmtId="0" fontId="90" fillId="9" borderId="0"/>
    <xf numFmtId="0" fontId="2" fillId="3" borderId="0"/>
    <xf numFmtId="0" fontId="90" fillId="9" borderId="0"/>
    <xf numFmtId="0" fontId="2" fillId="3" borderId="0"/>
    <xf numFmtId="0" fontId="90" fillId="10" borderId="0"/>
    <xf numFmtId="0" fontId="2" fillId="3" borderId="0"/>
    <xf numFmtId="0" fontId="90" fillId="10" borderId="0"/>
    <xf numFmtId="0" fontId="2" fillId="3" borderId="0"/>
    <xf numFmtId="0" fontId="90" fillId="11" borderId="0"/>
    <xf numFmtId="0" fontId="2" fillId="3" borderId="0"/>
    <xf numFmtId="0" fontId="90" fillId="11" borderId="0"/>
    <xf numFmtId="0" fontId="2" fillId="3" borderId="0"/>
    <xf numFmtId="0" fontId="90" fillId="6" borderId="0"/>
    <xf numFmtId="0" fontId="2" fillId="3" borderId="0"/>
    <xf numFmtId="0" fontId="90" fillId="6" borderId="0"/>
    <xf numFmtId="0" fontId="2" fillId="3" borderId="0"/>
    <xf numFmtId="0" fontId="90" fillId="9" borderId="0"/>
    <xf numFmtId="0" fontId="2" fillId="3" borderId="0"/>
    <xf numFmtId="0" fontId="90" fillId="9" borderId="0"/>
    <xf numFmtId="0" fontId="2" fillId="3" borderId="0"/>
    <xf numFmtId="0" fontId="90" fillId="12" borderId="0"/>
    <xf numFmtId="0" fontId="2" fillId="3" borderId="0"/>
    <xf numFmtId="0" fontId="90" fillId="12" borderId="0"/>
    <xf numFmtId="0" fontId="2" fillId="3" borderId="0"/>
    <xf numFmtId="0" fontId="90" fillId="0" borderId="0">
      <alignment horizontal="left" vertical="center" indent="15"/>
    </xf>
    <xf numFmtId="0" fontId="90" fillId="0" borderId="0">
      <alignment horizontal="left" vertical="center" indent="15"/>
    </xf>
    <xf numFmtId="0" fontId="90" fillId="0" borderId="0">
      <alignment horizontal="left" vertical="center" indent="15"/>
    </xf>
    <xf numFmtId="0" fontId="2" fillId="0" borderId="0">
      <alignment horizontal="left" vertical="center" indent="15"/>
    </xf>
    <xf numFmtId="0" fontId="2" fillId="0" borderId="0">
      <alignment horizontal="left" vertical="center" indent="15"/>
    </xf>
    <xf numFmtId="0" fontId="90" fillId="0" borderId="0">
      <alignment horizontal="left" vertical="center" indent="15"/>
    </xf>
    <xf numFmtId="0" fontId="90" fillId="0" borderId="0">
      <alignment horizontal="left" vertical="center" indent="15"/>
    </xf>
    <xf numFmtId="0" fontId="2" fillId="0" borderId="0">
      <alignment horizontal="left" vertical="center" indent="15"/>
    </xf>
    <xf numFmtId="0" fontId="90" fillId="0" borderId="0">
      <alignment horizontal="left" vertical="center" indent="15"/>
    </xf>
    <xf numFmtId="0" fontId="90" fillId="0" borderId="0">
      <alignment horizontal="left" vertical="center" indent="15"/>
    </xf>
    <xf numFmtId="0" fontId="90" fillId="0" borderId="0">
      <alignment horizontal="left" vertical="center" indent="15"/>
    </xf>
    <xf numFmtId="0" fontId="2" fillId="0" borderId="0">
      <alignment horizontal="left" vertical="center" indent="15"/>
    </xf>
    <xf numFmtId="0" fontId="2" fillId="0" borderId="0">
      <alignment horizontal="left" vertical="center" indent="15"/>
    </xf>
    <xf numFmtId="0" fontId="90" fillId="0" borderId="0">
      <alignment horizontal="left" vertical="center" indent="15"/>
    </xf>
    <xf numFmtId="0" fontId="90" fillId="0" borderId="0">
      <alignment horizontal="left" vertical="center" indent="15"/>
    </xf>
    <xf numFmtId="0" fontId="2" fillId="0" borderId="0">
      <alignment horizontal="left" vertical="center" indent="15"/>
    </xf>
    <xf numFmtId="0" fontId="2" fillId="0" borderId="0">
      <alignment horizontal="left" vertical="center" indent="15"/>
    </xf>
    <xf numFmtId="0" fontId="90" fillId="0" borderId="0">
      <alignment horizontal="left" vertical="center" indent="15"/>
    </xf>
    <xf numFmtId="0" fontId="90" fillId="0" borderId="0">
      <alignment horizontal="left" vertical="center" indent="15"/>
    </xf>
    <xf numFmtId="0" fontId="2" fillId="0" borderId="0">
      <alignment horizontal="left" vertical="center" indent="15"/>
    </xf>
    <xf numFmtId="0" fontId="2" fillId="0" borderId="0">
      <alignment horizontal="left" vertical="center" indent="15"/>
    </xf>
    <xf numFmtId="0" fontId="90" fillId="0" borderId="0">
      <alignment horizontal="left" vertical="center" indent="15"/>
    </xf>
    <xf numFmtId="0" fontId="2" fillId="0" borderId="0">
      <alignment horizontal="left" vertical="center" indent="15"/>
    </xf>
    <xf numFmtId="0" fontId="2" fillId="0" borderId="0">
      <alignment horizontal="left" vertical="center" indent="15"/>
    </xf>
    <xf numFmtId="0" fontId="2" fillId="0" borderId="0">
      <alignment horizontal="left" vertical="center" indent="15"/>
    </xf>
    <xf numFmtId="0" fontId="2" fillId="0" borderId="0">
      <alignment horizontal="left" vertical="center" indent="15"/>
    </xf>
    <xf numFmtId="0" fontId="90" fillId="0" borderId="0">
      <alignment horizontal="left" vertical="center"/>
    </xf>
    <xf numFmtId="0" fontId="3" fillId="13" borderId="0"/>
    <xf numFmtId="0" fontId="2" fillId="3" borderId="0"/>
    <xf numFmtId="0" fontId="3" fillId="13" borderId="0"/>
    <xf numFmtId="0" fontId="2" fillId="3" borderId="0"/>
    <xf numFmtId="0" fontId="3" fillId="10" borderId="0"/>
    <xf numFmtId="0" fontId="2" fillId="3" borderId="0"/>
    <xf numFmtId="0" fontId="3" fillId="10" borderId="0"/>
    <xf numFmtId="0" fontId="2" fillId="3" borderId="0"/>
    <xf numFmtId="0" fontId="3" fillId="11" borderId="0"/>
    <xf numFmtId="0" fontId="2" fillId="3" borderId="0"/>
    <xf numFmtId="0" fontId="3" fillId="11" borderId="0"/>
    <xf numFmtId="0" fontId="2" fillId="3" borderId="0"/>
    <xf numFmtId="0" fontId="3" fillId="14" borderId="0"/>
    <xf numFmtId="0" fontId="2" fillId="3" borderId="0"/>
    <xf numFmtId="0" fontId="3" fillId="14" borderId="0"/>
    <xf numFmtId="0" fontId="2" fillId="3" borderId="0"/>
    <xf numFmtId="0" fontId="3" fillId="15" borderId="0"/>
    <xf numFmtId="0" fontId="2" fillId="3" borderId="0"/>
    <xf numFmtId="0" fontId="3" fillId="15" borderId="0"/>
    <xf numFmtId="0" fontId="2" fillId="3" borderId="0"/>
    <xf numFmtId="0" fontId="3" fillId="16" borderId="0"/>
    <xf numFmtId="0" fontId="2" fillId="3" borderId="0"/>
    <xf numFmtId="0" fontId="3" fillId="16" borderId="0"/>
    <xf numFmtId="0" fontId="2" fillId="3" borderId="0"/>
    <xf numFmtId="0" fontId="3" fillId="13" borderId="0"/>
    <xf numFmtId="0" fontId="2" fillId="3" borderId="0"/>
    <xf numFmtId="0" fontId="3" fillId="13" borderId="0"/>
    <xf numFmtId="0" fontId="2" fillId="3" borderId="0"/>
    <xf numFmtId="0" fontId="3" fillId="10" borderId="0"/>
    <xf numFmtId="0" fontId="2" fillId="3" borderId="0"/>
    <xf numFmtId="0" fontId="3" fillId="10" borderId="0"/>
    <xf numFmtId="0" fontId="2" fillId="3" borderId="0"/>
    <xf numFmtId="0" fontId="3" fillId="11" borderId="0"/>
    <xf numFmtId="0" fontId="2" fillId="3" borderId="0"/>
    <xf numFmtId="0" fontId="3" fillId="11" borderId="0"/>
    <xf numFmtId="0" fontId="2" fillId="3" borderId="0"/>
    <xf numFmtId="0" fontId="3" fillId="14" borderId="0"/>
    <xf numFmtId="0" fontId="2" fillId="3" borderId="0"/>
    <xf numFmtId="0" fontId="3" fillId="14" borderId="0"/>
    <xf numFmtId="0" fontId="2" fillId="3" borderId="0"/>
    <xf numFmtId="0" fontId="3" fillId="15" borderId="0"/>
    <xf numFmtId="0" fontId="2" fillId="3" borderId="0"/>
    <xf numFmtId="0" fontId="3" fillId="15" borderId="0"/>
    <xf numFmtId="0" fontId="2" fillId="3" borderId="0"/>
    <xf numFmtId="0" fontId="3" fillId="16" borderId="0"/>
    <xf numFmtId="0" fontId="2" fillId="3" borderId="0"/>
    <xf numFmtId="0" fontId="3" fillId="16" borderId="0"/>
    <xf numFmtId="0" fontId="2" fillId="3" borderId="0"/>
    <xf numFmtId="0" fontId="4" fillId="0" borderId="0"/>
    <xf numFmtId="0" fontId="5" fillId="0" borderId="0"/>
    <xf numFmtId="0" fontId="6" fillId="0" borderId="0"/>
    <xf numFmtId="0" fontId="7" fillId="17" borderId="0"/>
    <xf numFmtId="0" fontId="8" fillId="3" borderId="0"/>
    <xf numFmtId="0" fontId="7" fillId="17" borderId="0"/>
    <xf numFmtId="0" fontId="7" fillId="18" borderId="0"/>
    <xf numFmtId="0" fontId="8" fillId="3" borderId="0"/>
    <xf numFmtId="0" fontId="7" fillId="18" borderId="0"/>
    <xf numFmtId="0" fontId="9" fillId="19" borderId="0"/>
    <xf numFmtId="0" fontId="10" fillId="20" borderId="0"/>
    <xf numFmtId="0" fontId="9" fillId="19" borderId="0"/>
    <xf numFmtId="0" fontId="9" fillId="0" borderId="0"/>
    <xf numFmtId="0" fontId="10" fillId="0" borderId="0"/>
    <xf numFmtId="0" fontId="9" fillId="0" borderId="0"/>
    <xf numFmtId="0" fontId="3" fillId="21" borderId="0"/>
    <xf numFmtId="0" fontId="2" fillId="21" borderId="0"/>
    <xf numFmtId="0" fontId="3" fillId="21" borderId="0"/>
    <xf numFmtId="0" fontId="2" fillId="21" borderId="0"/>
    <xf numFmtId="0" fontId="3" fillId="21" borderId="0"/>
    <xf numFmtId="0" fontId="2" fillId="21" borderId="0"/>
    <xf numFmtId="0" fontId="3" fillId="22" borderId="0"/>
    <xf numFmtId="0" fontId="2" fillId="3" borderId="0"/>
    <xf numFmtId="0" fontId="3" fillId="22" borderId="0"/>
    <xf numFmtId="0" fontId="2" fillId="3" borderId="0"/>
    <xf numFmtId="0" fontId="3" fillId="22" borderId="0"/>
    <xf numFmtId="0" fontId="2" fillId="3" borderId="0"/>
    <xf numFmtId="0" fontId="3" fillId="23" borderId="0"/>
    <xf numFmtId="0" fontId="2" fillId="24" borderId="0"/>
    <xf numFmtId="0" fontId="3" fillId="23" borderId="0"/>
    <xf numFmtId="0" fontId="2" fillId="24" borderId="0"/>
    <xf numFmtId="0" fontId="3" fillId="23" borderId="0"/>
    <xf numFmtId="0" fontId="2" fillId="24" borderId="0"/>
    <xf numFmtId="0" fontId="3" fillId="14" borderId="0"/>
    <xf numFmtId="0" fontId="2" fillId="3" borderId="0"/>
    <xf numFmtId="0" fontId="3" fillId="14" borderId="0"/>
    <xf numFmtId="0" fontId="2" fillId="3" borderId="0"/>
    <xf numFmtId="0" fontId="3" fillId="14" borderId="0"/>
    <xf numFmtId="0" fontId="2" fillId="3" borderId="0"/>
    <xf numFmtId="0" fontId="3" fillId="15" borderId="0"/>
    <xf numFmtId="0" fontId="2" fillId="3" borderId="0"/>
    <xf numFmtId="0" fontId="3" fillId="15" borderId="0"/>
    <xf numFmtId="0" fontId="2" fillId="3" borderId="0"/>
    <xf numFmtId="0" fontId="3" fillId="15" borderId="0"/>
    <xf numFmtId="0" fontId="2" fillId="3" borderId="0"/>
    <xf numFmtId="0" fontId="3" fillId="25" borderId="0"/>
    <xf numFmtId="0" fontId="2" fillId="3" borderId="0"/>
    <xf numFmtId="0" fontId="3" fillId="25" borderId="0"/>
    <xf numFmtId="0" fontId="2" fillId="3" borderId="0"/>
    <xf numFmtId="0" fontId="3" fillId="25" borderId="0"/>
    <xf numFmtId="0" fontId="2" fillId="3" borderId="0"/>
    <xf numFmtId="0" fontId="11" fillId="7" borderId="0"/>
    <xf numFmtId="4" fontId="11" fillId="7" borderId="0"/>
    <xf numFmtId="4" fontId="11" fillId="3" borderId="0"/>
    <xf numFmtId="0" fontId="11" fillId="3" borderId="0"/>
    <xf numFmtId="0" fontId="6" fillId="7" borderId="0">
      <alignment horizontal="right" vertical="center"/>
    </xf>
    <xf numFmtId="4" fontId="6" fillId="7" borderId="0">
      <alignment horizontal="right" vertical="center"/>
    </xf>
    <xf numFmtId="4" fontId="6" fillId="3" borderId="0">
      <alignment horizontal="right" vertical="center"/>
    </xf>
    <xf numFmtId="0" fontId="6" fillId="3" borderId="0">
      <alignment horizontal="right" vertical="center"/>
    </xf>
    <xf numFmtId="0" fontId="6" fillId="7" borderId="1">
      <alignment horizontal="right" vertical="center"/>
    </xf>
    <xf numFmtId="0" fontId="6" fillId="5" borderId="0">
      <alignment horizontal="right" vertical="center"/>
    </xf>
    <xf numFmtId="4" fontId="6" fillId="5" borderId="0">
      <alignment horizontal="right" vertical="center"/>
    </xf>
    <xf numFmtId="4" fontId="6" fillId="3" borderId="0">
      <alignment horizontal="right" vertical="center"/>
    </xf>
    <xf numFmtId="0" fontId="6" fillId="5" borderId="0">
      <alignment horizontal="right" vertical="center"/>
    </xf>
    <xf numFmtId="0" fontId="6" fillId="3" borderId="0">
      <alignment horizontal="right" vertical="center"/>
    </xf>
    <xf numFmtId="0" fontId="6" fillId="5" borderId="0">
      <alignment horizontal="right" vertical="center"/>
    </xf>
    <xf numFmtId="0" fontId="6" fillId="3" borderId="0">
      <alignment horizontal="right" vertical="center"/>
    </xf>
    <xf numFmtId="0" fontId="6" fillId="3" borderId="0">
      <alignment horizontal="right" vertical="center"/>
    </xf>
    <xf numFmtId="0" fontId="6" fillId="5" borderId="0">
      <alignment horizontal="right" vertical="center"/>
    </xf>
    <xf numFmtId="4" fontId="6" fillId="5" borderId="0">
      <alignment horizontal="right" vertical="center"/>
    </xf>
    <xf numFmtId="4" fontId="6" fillId="3" borderId="0">
      <alignment horizontal="right" vertical="center"/>
    </xf>
    <xf numFmtId="0" fontId="6" fillId="5" borderId="0">
      <alignment horizontal="right" vertical="center"/>
    </xf>
    <xf numFmtId="0" fontId="6" fillId="3" borderId="0">
      <alignment horizontal="right" vertical="center"/>
    </xf>
    <xf numFmtId="0" fontId="6" fillId="5" borderId="0">
      <alignment horizontal="right" vertical="center"/>
    </xf>
    <xf numFmtId="0" fontId="6" fillId="3" borderId="0">
      <alignment horizontal="right" vertical="center"/>
    </xf>
    <xf numFmtId="0" fontId="6" fillId="3" borderId="0">
      <alignment horizontal="right" vertical="center"/>
    </xf>
    <xf numFmtId="0" fontId="6" fillId="5" borderId="2">
      <alignment horizontal="right" vertical="center"/>
    </xf>
    <xf numFmtId="0" fontId="12" fillId="5" borderId="1">
      <alignment horizontal="right" vertical="center"/>
    </xf>
    <xf numFmtId="4" fontId="12" fillId="5" borderId="1">
      <alignment horizontal="right" vertical="center"/>
    </xf>
    <xf numFmtId="4" fontId="12" fillId="5" borderId="1">
      <alignment horizontal="right" vertical="center"/>
    </xf>
    <xf numFmtId="4" fontId="12" fillId="5" borderId="1">
      <alignment horizontal="right" vertical="center"/>
    </xf>
    <xf numFmtId="4" fontId="12" fillId="5" borderId="1">
      <alignment horizontal="right" vertical="center"/>
    </xf>
    <xf numFmtId="4" fontId="6" fillId="3" borderId="1">
      <alignment horizontal="right" vertical="center"/>
    </xf>
    <xf numFmtId="4" fontId="6" fillId="3" borderId="1">
      <alignment horizontal="right" vertical="center"/>
    </xf>
    <xf numFmtId="4" fontId="12" fillId="5" borderId="1">
      <alignment horizontal="right" vertical="center"/>
    </xf>
    <xf numFmtId="4" fontId="6" fillId="3" borderId="1">
      <alignment horizontal="right" vertical="center"/>
    </xf>
    <xf numFmtId="4" fontId="6" fillId="3" borderId="1">
      <alignment horizontal="right" vertical="center"/>
    </xf>
    <xf numFmtId="4" fontId="12" fillId="5" borderId="1">
      <alignment horizontal="right" vertical="center"/>
    </xf>
    <xf numFmtId="4" fontId="12" fillId="5" borderId="1">
      <alignment horizontal="right" vertical="center"/>
    </xf>
    <xf numFmtId="4" fontId="12" fillId="5" borderId="1">
      <alignment horizontal="right" vertical="center"/>
    </xf>
    <xf numFmtId="4" fontId="6" fillId="3" borderId="1">
      <alignment horizontal="right" vertical="center"/>
    </xf>
    <xf numFmtId="4" fontId="6" fillId="3" borderId="1">
      <alignment horizontal="right" vertical="center"/>
    </xf>
    <xf numFmtId="4" fontId="12" fillId="5" borderId="1">
      <alignment horizontal="right" vertical="center"/>
    </xf>
    <xf numFmtId="4" fontId="12" fillId="5" borderId="1">
      <alignment horizontal="right" vertical="center"/>
    </xf>
    <xf numFmtId="4" fontId="6" fillId="3" borderId="1">
      <alignment horizontal="right" vertical="center"/>
    </xf>
    <xf numFmtId="4" fontId="6" fillId="3" borderId="1">
      <alignment horizontal="right" vertical="center"/>
    </xf>
    <xf numFmtId="4" fontId="12" fillId="5" borderId="1">
      <alignment horizontal="right" vertical="center"/>
    </xf>
    <xf numFmtId="4" fontId="12" fillId="5" borderId="1">
      <alignment horizontal="right" vertical="center"/>
    </xf>
    <xf numFmtId="4" fontId="6" fillId="3" borderId="1">
      <alignment horizontal="right" vertical="center"/>
    </xf>
    <xf numFmtId="4" fontId="6" fillId="3" borderId="1">
      <alignment horizontal="right" vertical="center"/>
    </xf>
    <xf numFmtId="4" fontId="6" fillId="3" borderId="1">
      <alignment horizontal="right" vertical="center"/>
    </xf>
    <xf numFmtId="4" fontId="6" fillId="3" borderId="1">
      <alignment horizontal="right" vertical="center"/>
    </xf>
    <xf numFmtId="0" fontId="12" fillId="5" borderId="1">
      <alignment horizontal="right" vertical="center"/>
    </xf>
    <xf numFmtId="0" fontId="12" fillId="5" borderId="1">
      <alignment horizontal="right" vertical="center"/>
    </xf>
    <xf numFmtId="0" fontId="12" fillId="5" borderId="1">
      <alignment horizontal="right" vertical="center"/>
    </xf>
    <xf numFmtId="0" fontId="6" fillId="3" borderId="1">
      <alignment horizontal="right" vertical="center"/>
    </xf>
    <xf numFmtId="0" fontId="6" fillId="3" borderId="1">
      <alignment horizontal="right" vertical="center"/>
    </xf>
    <xf numFmtId="0" fontId="12" fillId="5" borderId="1">
      <alignment horizontal="right" vertical="center"/>
    </xf>
    <xf numFmtId="0" fontId="6" fillId="3" borderId="1">
      <alignment horizontal="right" vertical="center"/>
    </xf>
    <xf numFmtId="0" fontId="6" fillId="3" borderId="1">
      <alignment horizontal="right" vertical="center"/>
    </xf>
    <xf numFmtId="0" fontId="12" fillId="5" borderId="1">
      <alignment horizontal="right" vertical="center"/>
    </xf>
    <xf numFmtId="0" fontId="12" fillId="5" borderId="1">
      <alignment horizontal="right" vertical="center"/>
    </xf>
    <xf numFmtId="0" fontId="12" fillId="5" borderId="1">
      <alignment horizontal="right" vertical="center"/>
    </xf>
    <xf numFmtId="0" fontId="6" fillId="3" borderId="1">
      <alignment horizontal="right" vertical="center"/>
    </xf>
    <xf numFmtId="0" fontId="6" fillId="3" borderId="1">
      <alignment horizontal="right" vertical="center"/>
    </xf>
    <xf numFmtId="0" fontId="12" fillId="5" borderId="1">
      <alignment horizontal="right" vertical="center"/>
    </xf>
    <xf numFmtId="0" fontId="12" fillId="5" borderId="1">
      <alignment horizontal="right" vertical="center"/>
    </xf>
    <xf numFmtId="0" fontId="6" fillId="3" borderId="1">
      <alignment horizontal="right" vertical="center"/>
    </xf>
    <xf numFmtId="0" fontId="6" fillId="3" borderId="1">
      <alignment horizontal="right" vertical="center"/>
    </xf>
    <xf numFmtId="0" fontId="12" fillId="5" borderId="1">
      <alignment horizontal="right" vertical="center"/>
    </xf>
    <xf numFmtId="0" fontId="12" fillId="5" borderId="1">
      <alignment horizontal="right" vertical="center"/>
    </xf>
    <xf numFmtId="0" fontId="6" fillId="3" borderId="1">
      <alignment horizontal="right" vertical="center"/>
    </xf>
    <xf numFmtId="0" fontId="6" fillId="3" borderId="1">
      <alignment horizontal="right" vertical="center"/>
    </xf>
    <xf numFmtId="0" fontId="6" fillId="3" borderId="1">
      <alignment horizontal="right" vertical="center"/>
    </xf>
    <xf numFmtId="0" fontId="12" fillId="5" borderId="1">
      <alignment horizontal="right" vertical="center"/>
    </xf>
    <xf numFmtId="0" fontId="6" fillId="3" borderId="1">
      <alignment horizontal="right" vertical="center"/>
    </xf>
    <xf numFmtId="0" fontId="6" fillId="3" borderId="1">
      <alignment horizontal="right" vertical="center"/>
    </xf>
    <xf numFmtId="0" fontId="13" fillId="5" borderId="1">
      <alignment horizontal="right" vertical="center"/>
    </xf>
    <xf numFmtId="4" fontId="13" fillId="5" borderId="1">
      <alignment horizontal="right" vertical="center"/>
    </xf>
    <xf numFmtId="4" fontId="13" fillId="5" borderId="1">
      <alignment horizontal="right" vertical="center"/>
    </xf>
    <xf numFmtId="4" fontId="13" fillId="5" borderId="1">
      <alignment horizontal="right" vertical="center"/>
    </xf>
    <xf numFmtId="4" fontId="13" fillId="5" borderId="1">
      <alignment horizontal="right" vertical="center"/>
    </xf>
    <xf numFmtId="4" fontId="14" fillId="3" borderId="1">
      <alignment horizontal="right" vertical="center"/>
    </xf>
    <xf numFmtId="4" fontId="14" fillId="3" borderId="1">
      <alignment horizontal="right" vertical="center"/>
    </xf>
    <xf numFmtId="4" fontId="13" fillId="5" borderId="1">
      <alignment horizontal="right" vertical="center"/>
    </xf>
    <xf numFmtId="4" fontId="14" fillId="3" borderId="1">
      <alignment horizontal="right" vertical="center"/>
    </xf>
    <xf numFmtId="4" fontId="14" fillId="3" borderId="1">
      <alignment horizontal="right" vertical="center"/>
    </xf>
    <xf numFmtId="4" fontId="13" fillId="5" borderId="1">
      <alignment horizontal="right" vertical="center"/>
    </xf>
    <xf numFmtId="4" fontId="13" fillId="5" borderId="1">
      <alignment horizontal="right" vertical="center"/>
    </xf>
    <xf numFmtId="4" fontId="13" fillId="5" borderId="1">
      <alignment horizontal="right" vertical="center"/>
    </xf>
    <xf numFmtId="4" fontId="14" fillId="3" borderId="1">
      <alignment horizontal="right" vertical="center"/>
    </xf>
    <xf numFmtId="4" fontId="14" fillId="3" borderId="1">
      <alignment horizontal="right" vertical="center"/>
    </xf>
    <xf numFmtId="4" fontId="13" fillId="5" borderId="1">
      <alignment horizontal="right" vertical="center"/>
    </xf>
    <xf numFmtId="4" fontId="13" fillId="5" borderId="1">
      <alignment horizontal="right" vertical="center"/>
    </xf>
    <xf numFmtId="4" fontId="14" fillId="3" borderId="1">
      <alignment horizontal="right" vertical="center"/>
    </xf>
    <xf numFmtId="4" fontId="14" fillId="3" borderId="1">
      <alignment horizontal="right" vertical="center"/>
    </xf>
    <xf numFmtId="4" fontId="13" fillId="5" borderId="1">
      <alignment horizontal="right" vertical="center"/>
    </xf>
    <xf numFmtId="4" fontId="13" fillId="5" borderId="1">
      <alignment horizontal="right" vertical="center"/>
    </xf>
    <xf numFmtId="4" fontId="14" fillId="3" borderId="1">
      <alignment horizontal="right" vertical="center"/>
    </xf>
    <xf numFmtId="4" fontId="14" fillId="3" borderId="1">
      <alignment horizontal="right" vertical="center"/>
    </xf>
    <xf numFmtId="4" fontId="14" fillId="3" borderId="1">
      <alignment horizontal="right" vertical="center"/>
    </xf>
    <xf numFmtId="4" fontId="14" fillId="3" borderId="1">
      <alignment horizontal="right" vertical="center"/>
    </xf>
    <xf numFmtId="0" fontId="13" fillId="5" borderId="1">
      <alignment horizontal="right" vertical="center"/>
    </xf>
    <xf numFmtId="0" fontId="13" fillId="5" borderId="1">
      <alignment horizontal="right" vertical="center"/>
    </xf>
    <xf numFmtId="0" fontId="13" fillId="5" borderId="1">
      <alignment horizontal="right" vertical="center"/>
    </xf>
    <xf numFmtId="0" fontId="14" fillId="3" borderId="1">
      <alignment horizontal="right" vertical="center"/>
    </xf>
    <xf numFmtId="0" fontId="14" fillId="3" borderId="1">
      <alignment horizontal="right" vertical="center"/>
    </xf>
    <xf numFmtId="0" fontId="13" fillId="5" borderId="1">
      <alignment horizontal="right" vertical="center"/>
    </xf>
    <xf numFmtId="0" fontId="14" fillId="3" borderId="1">
      <alignment horizontal="right" vertical="center"/>
    </xf>
    <xf numFmtId="0" fontId="14" fillId="3" borderId="1">
      <alignment horizontal="right" vertical="center"/>
    </xf>
    <xf numFmtId="0" fontId="13" fillId="5" borderId="1">
      <alignment horizontal="right" vertical="center"/>
    </xf>
    <xf numFmtId="0" fontId="13" fillId="5" borderId="1">
      <alignment horizontal="right" vertical="center"/>
    </xf>
    <xf numFmtId="0" fontId="13" fillId="5" borderId="1">
      <alignment horizontal="right" vertical="center"/>
    </xf>
    <xf numFmtId="0" fontId="14" fillId="3" borderId="1">
      <alignment horizontal="right" vertical="center"/>
    </xf>
    <xf numFmtId="0" fontId="14" fillId="3" borderId="1">
      <alignment horizontal="right" vertical="center"/>
    </xf>
    <xf numFmtId="0" fontId="13" fillId="5" borderId="1">
      <alignment horizontal="right" vertical="center"/>
    </xf>
    <xf numFmtId="0" fontId="13" fillId="5" borderId="1">
      <alignment horizontal="right" vertical="center"/>
    </xf>
    <xf numFmtId="0" fontId="14" fillId="3" borderId="1">
      <alignment horizontal="right" vertical="center"/>
    </xf>
    <xf numFmtId="0" fontId="14" fillId="3" borderId="1">
      <alignment horizontal="right" vertical="center"/>
    </xf>
    <xf numFmtId="0" fontId="13" fillId="5" borderId="1">
      <alignment horizontal="right" vertical="center"/>
    </xf>
    <xf numFmtId="0" fontId="13" fillId="5" borderId="1">
      <alignment horizontal="right" vertical="center"/>
    </xf>
    <xf numFmtId="0" fontId="14" fillId="3" borderId="1">
      <alignment horizontal="right" vertical="center"/>
    </xf>
    <xf numFmtId="0" fontId="14" fillId="3" borderId="1">
      <alignment horizontal="right" vertical="center"/>
    </xf>
    <xf numFmtId="0" fontId="14" fillId="3" borderId="1">
      <alignment horizontal="right" vertical="center"/>
    </xf>
    <xf numFmtId="0" fontId="13" fillId="5" borderId="1">
      <alignment horizontal="right" vertical="center"/>
    </xf>
    <xf numFmtId="0" fontId="14" fillId="3" borderId="1">
      <alignment horizontal="right" vertical="center"/>
    </xf>
    <xf numFmtId="0" fontId="14" fillId="3" borderId="1">
      <alignment horizontal="right" vertical="center"/>
    </xf>
    <xf numFmtId="0" fontId="12" fillId="5" borderId="3">
      <alignment horizontal="right" vertical="center"/>
    </xf>
    <xf numFmtId="0" fontId="12" fillId="8" borderId="1">
      <alignment horizontal="right" vertical="center"/>
    </xf>
    <xf numFmtId="4" fontId="12" fillId="8" borderId="1">
      <alignment horizontal="right" vertical="center"/>
    </xf>
    <xf numFmtId="4" fontId="12" fillId="8" borderId="1">
      <alignment horizontal="right" vertical="center"/>
    </xf>
    <xf numFmtId="4" fontId="12" fillId="8" borderId="1">
      <alignment horizontal="right" vertical="center"/>
    </xf>
    <xf numFmtId="4" fontId="12" fillId="8" borderId="1">
      <alignment horizontal="right" vertical="center"/>
    </xf>
    <xf numFmtId="4" fontId="6" fillId="3" borderId="1">
      <alignment horizontal="right" vertical="center"/>
    </xf>
    <xf numFmtId="4" fontId="6" fillId="3" borderId="1">
      <alignment horizontal="right" vertical="center"/>
    </xf>
    <xf numFmtId="4" fontId="12" fillId="8" borderId="1">
      <alignment horizontal="right" vertical="center"/>
    </xf>
    <xf numFmtId="4" fontId="6" fillId="3" borderId="1">
      <alignment horizontal="right" vertical="center"/>
    </xf>
    <xf numFmtId="4" fontId="6" fillId="3" borderId="1">
      <alignment horizontal="right" vertical="center"/>
    </xf>
    <xf numFmtId="4" fontId="12" fillId="8" borderId="1">
      <alignment horizontal="right" vertical="center"/>
    </xf>
    <xf numFmtId="4" fontId="12" fillId="8" borderId="1">
      <alignment horizontal="right" vertical="center"/>
    </xf>
    <xf numFmtId="4" fontId="12" fillId="8" borderId="1">
      <alignment horizontal="right" vertical="center"/>
    </xf>
    <xf numFmtId="4" fontId="6" fillId="3" borderId="1">
      <alignment horizontal="right" vertical="center"/>
    </xf>
    <xf numFmtId="4" fontId="6" fillId="3" borderId="1">
      <alignment horizontal="right" vertical="center"/>
    </xf>
    <xf numFmtId="4" fontId="12" fillId="8" borderId="1">
      <alignment horizontal="right" vertical="center"/>
    </xf>
    <xf numFmtId="4" fontId="12" fillId="8" borderId="1">
      <alignment horizontal="right" vertical="center"/>
    </xf>
    <xf numFmtId="4" fontId="6" fillId="3" borderId="1">
      <alignment horizontal="right" vertical="center"/>
    </xf>
    <xf numFmtId="4" fontId="6" fillId="3" borderId="1">
      <alignment horizontal="right" vertical="center"/>
    </xf>
    <xf numFmtId="4" fontId="12" fillId="8" borderId="1">
      <alignment horizontal="right" vertical="center"/>
    </xf>
    <xf numFmtId="4" fontId="12" fillId="8" borderId="1">
      <alignment horizontal="right" vertical="center"/>
    </xf>
    <xf numFmtId="4" fontId="6" fillId="3" borderId="1">
      <alignment horizontal="right" vertical="center"/>
    </xf>
    <xf numFmtId="4" fontId="6" fillId="3" borderId="1">
      <alignment horizontal="right" vertical="center"/>
    </xf>
    <xf numFmtId="4" fontId="6" fillId="3" borderId="1">
      <alignment horizontal="right" vertical="center"/>
    </xf>
    <xf numFmtId="4" fontId="6" fillId="3" borderId="1">
      <alignment horizontal="right" vertical="center"/>
    </xf>
    <xf numFmtId="0" fontId="12" fillId="8" borderId="1">
      <alignment horizontal="right" vertical="center"/>
    </xf>
    <xf numFmtId="0" fontId="12" fillId="8" borderId="1">
      <alignment horizontal="right" vertical="center"/>
    </xf>
    <xf numFmtId="0" fontId="12" fillId="8" borderId="1">
      <alignment horizontal="right" vertical="center"/>
    </xf>
    <xf numFmtId="0" fontId="6" fillId="3" borderId="1">
      <alignment horizontal="right" vertical="center"/>
    </xf>
    <xf numFmtId="0" fontId="6" fillId="3" borderId="1">
      <alignment horizontal="right" vertical="center"/>
    </xf>
    <xf numFmtId="0" fontId="12" fillId="8" borderId="1">
      <alignment horizontal="right" vertical="center"/>
    </xf>
    <xf numFmtId="0" fontId="6" fillId="3" borderId="1">
      <alignment horizontal="right" vertical="center"/>
    </xf>
    <xf numFmtId="0" fontId="6" fillId="3" borderId="1">
      <alignment horizontal="right" vertical="center"/>
    </xf>
    <xf numFmtId="0" fontId="12" fillId="8" borderId="1">
      <alignment horizontal="right" vertical="center"/>
    </xf>
    <xf numFmtId="0" fontId="12" fillId="8" borderId="1">
      <alignment horizontal="right" vertical="center"/>
    </xf>
    <xf numFmtId="0" fontId="12" fillId="8" borderId="1">
      <alignment horizontal="right" vertical="center"/>
    </xf>
    <xf numFmtId="0" fontId="6" fillId="3" borderId="1">
      <alignment horizontal="right" vertical="center"/>
    </xf>
    <xf numFmtId="0" fontId="6" fillId="3" borderId="1">
      <alignment horizontal="right" vertical="center"/>
    </xf>
    <xf numFmtId="0" fontId="12" fillId="8" borderId="1">
      <alignment horizontal="right" vertical="center"/>
    </xf>
    <xf numFmtId="0" fontId="12" fillId="8" borderId="1">
      <alignment horizontal="right" vertical="center"/>
    </xf>
    <xf numFmtId="0" fontId="6" fillId="3" borderId="1">
      <alignment horizontal="right" vertical="center"/>
    </xf>
    <xf numFmtId="0" fontId="6" fillId="3" borderId="1">
      <alignment horizontal="right" vertical="center"/>
    </xf>
    <xf numFmtId="0" fontId="12" fillId="8" borderId="1">
      <alignment horizontal="right" vertical="center"/>
    </xf>
    <xf numFmtId="0" fontId="12" fillId="8" borderId="1">
      <alignment horizontal="right" vertical="center"/>
    </xf>
    <xf numFmtId="0" fontId="6" fillId="3" borderId="1">
      <alignment horizontal="right" vertical="center"/>
    </xf>
    <xf numFmtId="0" fontId="6" fillId="3" borderId="1">
      <alignment horizontal="right" vertical="center"/>
    </xf>
    <xf numFmtId="0" fontId="6" fillId="3" borderId="1">
      <alignment horizontal="right" vertical="center"/>
    </xf>
    <xf numFmtId="0" fontId="12" fillId="8" borderId="1">
      <alignment horizontal="right" vertical="center"/>
    </xf>
    <xf numFmtId="0" fontId="6" fillId="3" borderId="1">
      <alignment horizontal="right" vertical="center"/>
    </xf>
    <xf numFmtId="0" fontId="6" fillId="3" borderId="1">
      <alignment horizontal="right" vertical="center"/>
    </xf>
    <xf numFmtId="0" fontId="12" fillId="8" borderId="1">
      <alignment horizontal="right" vertical="center"/>
    </xf>
    <xf numFmtId="4" fontId="12" fillId="8" borderId="1">
      <alignment horizontal="right" vertical="center"/>
    </xf>
    <xf numFmtId="4" fontId="12" fillId="8" borderId="1">
      <alignment horizontal="right" vertical="center"/>
    </xf>
    <xf numFmtId="4" fontId="12" fillId="8" borderId="1">
      <alignment horizontal="right" vertical="center"/>
    </xf>
    <xf numFmtId="4" fontId="12" fillId="8" borderId="1">
      <alignment horizontal="right" vertical="center"/>
    </xf>
    <xf numFmtId="4" fontId="6" fillId="3" borderId="1">
      <alignment horizontal="right" vertical="center"/>
    </xf>
    <xf numFmtId="4" fontId="6" fillId="3" borderId="1">
      <alignment horizontal="right" vertical="center"/>
    </xf>
    <xf numFmtId="4" fontId="12" fillId="8" borderId="1">
      <alignment horizontal="right" vertical="center"/>
    </xf>
    <xf numFmtId="4" fontId="6" fillId="3" borderId="1">
      <alignment horizontal="right" vertical="center"/>
    </xf>
    <xf numFmtId="4" fontId="6" fillId="3" borderId="1">
      <alignment horizontal="right" vertical="center"/>
    </xf>
    <xf numFmtId="4" fontId="12" fillId="8" borderId="1">
      <alignment horizontal="right" vertical="center"/>
    </xf>
    <xf numFmtId="4" fontId="12" fillId="8" borderId="1">
      <alignment horizontal="right" vertical="center"/>
    </xf>
    <xf numFmtId="4" fontId="12" fillId="8" borderId="1">
      <alignment horizontal="right" vertical="center"/>
    </xf>
    <xf numFmtId="4" fontId="6" fillId="3" borderId="1">
      <alignment horizontal="right" vertical="center"/>
    </xf>
    <xf numFmtId="4" fontId="6" fillId="3" borderId="1">
      <alignment horizontal="right" vertical="center"/>
    </xf>
    <xf numFmtId="4" fontId="12" fillId="8" borderId="1">
      <alignment horizontal="right" vertical="center"/>
    </xf>
    <xf numFmtId="4" fontId="12" fillId="8" borderId="1">
      <alignment horizontal="right" vertical="center"/>
    </xf>
    <xf numFmtId="4" fontId="6" fillId="3" borderId="1">
      <alignment horizontal="right" vertical="center"/>
    </xf>
    <xf numFmtId="4" fontId="6" fillId="3" borderId="1">
      <alignment horizontal="right" vertical="center"/>
    </xf>
    <xf numFmtId="4" fontId="12" fillId="8" borderId="1">
      <alignment horizontal="right" vertical="center"/>
    </xf>
    <xf numFmtId="4" fontId="12" fillId="8" borderId="1">
      <alignment horizontal="right" vertical="center"/>
    </xf>
    <xf numFmtId="4" fontId="6" fillId="3" borderId="1">
      <alignment horizontal="right" vertical="center"/>
    </xf>
    <xf numFmtId="4" fontId="6" fillId="3" borderId="1">
      <alignment horizontal="right" vertical="center"/>
    </xf>
    <xf numFmtId="4" fontId="6" fillId="3" borderId="1">
      <alignment horizontal="right" vertical="center"/>
    </xf>
    <xf numFmtId="4" fontId="6" fillId="3" borderId="1">
      <alignment horizontal="right" vertical="center"/>
    </xf>
    <xf numFmtId="0" fontId="12" fillId="8" borderId="1">
      <alignment horizontal="right" vertical="center"/>
    </xf>
    <xf numFmtId="0" fontId="12" fillId="8" borderId="1">
      <alignment horizontal="right" vertical="center"/>
    </xf>
    <xf numFmtId="0" fontId="12" fillId="8" borderId="1">
      <alignment horizontal="right" vertical="center"/>
    </xf>
    <xf numFmtId="0" fontId="6" fillId="3" borderId="1">
      <alignment horizontal="right" vertical="center"/>
    </xf>
    <xf numFmtId="0" fontId="6" fillId="3" borderId="1">
      <alignment horizontal="right" vertical="center"/>
    </xf>
    <xf numFmtId="0" fontId="12" fillId="8" borderId="1">
      <alignment horizontal="right" vertical="center"/>
    </xf>
    <xf numFmtId="0" fontId="6" fillId="3" borderId="1">
      <alignment horizontal="right" vertical="center"/>
    </xf>
    <xf numFmtId="0" fontId="6" fillId="3" borderId="1">
      <alignment horizontal="right" vertical="center"/>
    </xf>
    <xf numFmtId="0" fontId="12" fillId="8" borderId="1">
      <alignment horizontal="right" vertical="center"/>
    </xf>
    <xf numFmtId="0" fontId="12" fillId="8" borderId="1">
      <alignment horizontal="right" vertical="center"/>
    </xf>
    <xf numFmtId="0" fontId="12" fillId="8" borderId="1">
      <alignment horizontal="right" vertical="center"/>
    </xf>
    <xf numFmtId="0" fontId="6" fillId="3" borderId="1">
      <alignment horizontal="right" vertical="center"/>
    </xf>
    <xf numFmtId="0" fontId="6" fillId="3" borderId="1">
      <alignment horizontal="right" vertical="center"/>
    </xf>
    <xf numFmtId="0" fontId="12" fillId="8" borderId="1">
      <alignment horizontal="right" vertical="center"/>
    </xf>
    <xf numFmtId="0" fontId="12" fillId="8" borderId="1">
      <alignment horizontal="right" vertical="center"/>
    </xf>
    <xf numFmtId="0" fontId="6" fillId="3" borderId="1">
      <alignment horizontal="right" vertical="center"/>
    </xf>
    <xf numFmtId="0" fontId="6" fillId="3" borderId="1">
      <alignment horizontal="right" vertical="center"/>
    </xf>
    <xf numFmtId="0" fontId="12" fillId="8" borderId="1">
      <alignment horizontal="right" vertical="center"/>
    </xf>
    <xf numFmtId="0" fontId="12" fillId="8" borderId="1">
      <alignment horizontal="right" vertical="center"/>
    </xf>
    <xf numFmtId="0" fontId="6" fillId="3" borderId="1">
      <alignment horizontal="right" vertical="center"/>
    </xf>
    <xf numFmtId="0" fontId="6" fillId="3" borderId="1">
      <alignment horizontal="right" vertical="center"/>
    </xf>
    <xf numFmtId="0" fontId="6" fillId="3" borderId="1">
      <alignment horizontal="right" vertical="center"/>
    </xf>
    <xf numFmtId="0" fontId="12" fillId="8" borderId="1">
      <alignment horizontal="right" vertical="center"/>
    </xf>
    <xf numFmtId="0" fontId="6" fillId="3" borderId="1">
      <alignment horizontal="right" vertical="center"/>
    </xf>
    <xf numFmtId="0" fontId="6" fillId="3" borderId="1">
      <alignment horizontal="right" vertical="center"/>
    </xf>
    <xf numFmtId="0" fontId="12" fillId="8" borderId="3">
      <alignment horizontal="right" vertical="center"/>
    </xf>
    <xf numFmtId="0" fontId="12" fillId="8" borderId="4">
      <alignment horizontal="right" vertical="center"/>
    </xf>
    <xf numFmtId="0" fontId="12" fillId="8" borderId="5">
      <alignment horizontal="right" vertical="center"/>
    </xf>
    <xf numFmtId="4" fontId="12" fillId="8" borderId="5">
      <alignment horizontal="right" vertical="center"/>
    </xf>
    <xf numFmtId="4" fontId="12" fillId="8" borderId="5">
      <alignment horizontal="right" vertical="center"/>
    </xf>
    <xf numFmtId="4" fontId="6" fillId="3" borderId="5">
      <alignment horizontal="right" vertical="center"/>
    </xf>
    <xf numFmtId="4" fontId="12" fillId="8" borderId="5">
      <alignment horizontal="right" vertical="center"/>
    </xf>
    <xf numFmtId="4" fontId="12" fillId="8" borderId="5">
      <alignment horizontal="right" vertical="center"/>
    </xf>
    <xf numFmtId="4" fontId="12" fillId="8" borderId="5">
      <alignment horizontal="right" vertical="center"/>
    </xf>
    <xf numFmtId="4" fontId="6" fillId="3" borderId="5">
      <alignment horizontal="right" vertical="center"/>
    </xf>
    <xf numFmtId="4" fontId="6" fillId="3" borderId="5">
      <alignment horizontal="right" vertical="center"/>
    </xf>
    <xf numFmtId="4" fontId="12" fillId="8" borderId="5">
      <alignment horizontal="right" vertical="center"/>
    </xf>
    <xf numFmtId="4" fontId="12" fillId="8" borderId="5">
      <alignment horizontal="right" vertical="center"/>
    </xf>
    <xf numFmtId="4" fontId="6" fillId="3" borderId="5">
      <alignment horizontal="right" vertical="center"/>
    </xf>
    <xf numFmtId="4" fontId="6" fillId="3" borderId="5">
      <alignment horizontal="right" vertical="center"/>
    </xf>
    <xf numFmtId="4" fontId="12" fillId="8" borderId="5">
      <alignment horizontal="right" vertical="center"/>
    </xf>
    <xf numFmtId="4" fontId="12" fillId="8" borderId="5">
      <alignment horizontal="right" vertical="center"/>
    </xf>
    <xf numFmtId="4" fontId="6" fillId="3" borderId="5">
      <alignment horizontal="right" vertical="center"/>
    </xf>
    <xf numFmtId="4" fontId="6" fillId="3" borderId="5">
      <alignment horizontal="right" vertical="center"/>
    </xf>
    <xf numFmtId="4" fontId="12" fillId="8" borderId="5">
      <alignment horizontal="right" vertical="center"/>
    </xf>
    <xf numFmtId="4" fontId="6" fillId="3" borderId="5">
      <alignment horizontal="right" vertical="center"/>
    </xf>
    <xf numFmtId="4" fontId="6" fillId="3" borderId="5">
      <alignment horizontal="right" vertical="center"/>
    </xf>
    <xf numFmtId="4" fontId="6" fillId="3" borderId="5">
      <alignment horizontal="right" vertical="center"/>
    </xf>
    <xf numFmtId="0" fontId="12" fillId="8" borderId="5">
      <alignment horizontal="right" vertical="center"/>
    </xf>
    <xf numFmtId="0" fontId="6" fillId="3" borderId="5">
      <alignment horizontal="right" vertical="center"/>
    </xf>
    <xf numFmtId="0" fontId="12" fillId="8" borderId="5">
      <alignment horizontal="right" vertical="center"/>
    </xf>
    <xf numFmtId="0" fontId="12" fillId="8" borderId="5">
      <alignment horizontal="right" vertical="center"/>
    </xf>
    <xf numFmtId="0" fontId="12" fillId="8" borderId="5">
      <alignment horizontal="right" vertical="center"/>
    </xf>
    <xf numFmtId="0" fontId="6" fillId="3" borderId="5">
      <alignment horizontal="right" vertical="center"/>
    </xf>
    <xf numFmtId="0" fontId="6" fillId="3" borderId="5">
      <alignment horizontal="right" vertical="center"/>
    </xf>
    <xf numFmtId="0" fontId="12" fillId="8" borderId="5">
      <alignment horizontal="right" vertical="center"/>
    </xf>
    <xf numFmtId="0" fontId="12" fillId="8" borderId="5">
      <alignment horizontal="right" vertical="center"/>
    </xf>
    <xf numFmtId="0" fontId="6" fillId="3" borderId="5">
      <alignment horizontal="right" vertical="center"/>
    </xf>
    <xf numFmtId="0" fontId="6" fillId="3" borderId="5">
      <alignment horizontal="right" vertical="center"/>
    </xf>
    <xf numFmtId="0" fontId="12" fillId="8" borderId="5">
      <alignment horizontal="right" vertical="center"/>
    </xf>
    <xf numFmtId="0" fontId="12" fillId="8" borderId="5">
      <alignment horizontal="right" vertical="center"/>
    </xf>
    <xf numFmtId="0" fontId="6" fillId="3" borderId="5">
      <alignment horizontal="right" vertical="center"/>
    </xf>
    <xf numFmtId="0" fontId="6" fillId="3" borderId="5">
      <alignment horizontal="right" vertical="center"/>
    </xf>
    <xf numFmtId="0" fontId="12" fillId="8" borderId="5">
      <alignment horizontal="right" vertical="center"/>
    </xf>
    <xf numFmtId="0" fontId="6" fillId="3" borderId="5">
      <alignment horizontal="right" vertical="center"/>
    </xf>
    <xf numFmtId="0" fontId="6" fillId="3" borderId="5">
      <alignment horizontal="right" vertical="center"/>
    </xf>
    <xf numFmtId="0" fontId="12" fillId="8" borderId="5">
      <alignment horizontal="right" vertical="center"/>
    </xf>
    <xf numFmtId="0" fontId="6" fillId="3" borderId="5">
      <alignment horizontal="right" vertical="center"/>
    </xf>
    <xf numFmtId="0" fontId="6" fillId="3" borderId="5">
      <alignment horizontal="right" vertical="center"/>
    </xf>
    <xf numFmtId="0" fontId="12" fillId="8" borderId="6">
      <alignment horizontal="right" vertical="center"/>
    </xf>
    <xf numFmtId="4" fontId="12" fillId="8" borderId="6">
      <alignment horizontal="right" vertical="center"/>
    </xf>
    <xf numFmtId="4" fontId="12" fillId="8" borderId="6">
      <alignment horizontal="right" vertical="center"/>
    </xf>
    <xf numFmtId="4" fontId="12" fillId="8" borderId="6">
      <alignment horizontal="right" vertical="center"/>
    </xf>
    <xf numFmtId="4" fontId="12" fillId="8" borderId="6">
      <alignment horizontal="right" vertical="center"/>
    </xf>
    <xf numFmtId="4" fontId="6" fillId="3" borderId="6">
      <alignment horizontal="right" vertical="center"/>
    </xf>
    <xf numFmtId="4" fontId="6" fillId="3" borderId="6">
      <alignment horizontal="right" vertical="center"/>
    </xf>
    <xf numFmtId="4" fontId="6" fillId="3" borderId="6">
      <alignment horizontal="right" vertical="center"/>
    </xf>
    <xf numFmtId="4" fontId="12" fillId="8" borderId="6">
      <alignment horizontal="right" vertical="center"/>
    </xf>
    <xf numFmtId="4" fontId="12" fillId="8" borderId="6">
      <alignment horizontal="right" vertical="center"/>
    </xf>
    <xf numFmtId="4" fontId="12" fillId="8" borderId="6">
      <alignment horizontal="right" vertical="center"/>
    </xf>
    <xf numFmtId="4" fontId="6" fillId="3" borderId="6">
      <alignment horizontal="right" vertical="center"/>
    </xf>
    <xf numFmtId="4" fontId="6" fillId="3" borderId="6">
      <alignment horizontal="right" vertical="center"/>
    </xf>
    <xf numFmtId="4" fontId="12" fillId="8" borderId="6">
      <alignment horizontal="right" vertical="center"/>
    </xf>
    <xf numFmtId="4" fontId="12" fillId="8" borderId="6">
      <alignment horizontal="right" vertical="center"/>
    </xf>
    <xf numFmtId="4" fontId="6" fillId="3" borderId="6">
      <alignment horizontal="right" vertical="center"/>
    </xf>
    <xf numFmtId="4" fontId="6" fillId="3" borderId="6">
      <alignment horizontal="right" vertical="center"/>
    </xf>
    <xf numFmtId="4" fontId="12" fillId="8" borderId="6">
      <alignment horizontal="right" vertical="center"/>
    </xf>
    <xf numFmtId="4" fontId="12" fillId="8" borderId="6">
      <alignment horizontal="right" vertical="center"/>
    </xf>
    <xf numFmtId="4" fontId="6" fillId="3" borderId="6">
      <alignment horizontal="right" vertical="center"/>
    </xf>
    <xf numFmtId="4" fontId="6" fillId="3" borderId="6">
      <alignment horizontal="right" vertical="center"/>
    </xf>
    <xf numFmtId="4" fontId="12" fillId="8" borderId="6">
      <alignment horizontal="right" vertical="center"/>
    </xf>
    <xf numFmtId="4" fontId="6" fillId="3" borderId="6">
      <alignment horizontal="right" vertical="center"/>
    </xf>
    <xf numFmtId="4" fontId="6" fillId="3" borderId="6">
      <alignment horizontal="right" vertical="center"/>
    </xf>
    <xf numFmtId="4" fontId="6" fillId="3" borderId="6">
      <alignment horizontal="right" vertical="center"/>
    </xf>
    <xf numFmtId="0" fontId="12" fillId="8" borderId="6">
      <alignment horizontal="right" vertical="center"/>
    </xf>
    <xf numFmtId="0" fontId="12" fillId="8" borderId="6">
      <alignment horizontal="right" vertical="center"/>
    </xf>
    <xf numFmtId="0" fontId="12" fillId="8" borderId="6">
      <alignment horizontal="right" vertical="center"/>
    </xf>
    <xf numFmtId="0" fontId="6" fillId="3" borderId="6">
      <alignment horizontal="right" vertical="center"/>
    </xf>
    <xf numFmtId="0" fontId="12" fillId="8" borderId="6">
      <alignment horizontal="right" vertical="center"/>
    </xf>
    <xf numFmtId="0" fontId="6" fillId="3" borderId="6">
      <alignment horizontal="right" vertical="center"/>
    </xf>
    <xf numFmtId="0" fontId="6" fillId="3" borderId="6">
      <alignment horizontal="right" vertical="center"/>
    </xf>
    <xf numFmtId="0" fontId="6" fillId="3" borderId="6">
      <alignment horizontal="right" vertical="center"/>
    </xf>
    <xf numFmtId="0" fontId="12" fillId="8" borderId="6">
      <alignment horizontal="right" vertical="center"/>
    </xf>
    <xf numFmtId="0" fontId="12" fillId="8" borderId="6">
      <alignment horizontal="right" vertical="center"/>
    </xf>
    <xf numFmtId="0" fontId="12" fillId="8" borderId="6">
      <alignment horizontal="right" vertical="center"/>
    </xf>
    <xf numFmtId="0" fontId="6" fillId="3" borderId="6">
      <alignment horizontal="right" vertical="center"/>
    </xf>
    <xf numFmtId="0" fontId="6" fillId="3" borderId="6">
      <alignment horizontal="right" vertical="center"/>
    </xf>
    <xf numFmtId="0" fontId="12" fillId="8" borderId="6">
      <alignment horizontal="right" vertical="center"/>
    </xf>
    <xf numFmtId="0" fontId="12" fillId="8" borderId="6">
      <alignment horizontal="right" vertical="center"/>
    </xf>
    <xf numFmtId="0" fontId="6" fillId="3" borderId="6">
      <alignment horizontal="right" vertical="center"/>
    </xf>
    <xf numFmtId="0" fontId="6" fillId="3" borderId="6">
      <alignment horizontal="right" vertical="center"/>
    </xf>
    <xf numFmtId="0" fontId="12" fillId="8" borderId="6">
      <alignment horizontal="right" vertical="center"/>
    </xf>
    <xf numFmtId="0" fontId="12" fillId="8" borderId="6">
      <alignment horizontal="right" vertical="center"/>
    </xf>
    <xf numFmtId="0" fontId="6" fillId="3" borderId="6">
      <alignment horizontal="right" vertical="center"/>
    </xf>
    <xf numFmtId="0" fontId="6" fillId="3" borderId="6">
      <alignment horizontal="right" vertical="center"/>
    </xf>
    <xf numFmtId="0" fontId="12" fillId="8" borderId="6">
      <alignment horizontal="right" vertical="center"/>
    </xf>
    <xf numFmtId="0" fontId="6" fillId="3" borderId="6">
      <alignment horizontal="right" vertical="center"/>
    </xf>
    <xf numFmtId="0" fontId="6" fillId="3" borderId="6">
      <alignment horizontal="right" vertical="center"/>
    </xf>
    <xf numFmtId="0" fontId="12" fillId="8" borderId="6">
      <alignment horizontal="right" vertical="center"/>
    </xf>
    <xf numFmtId="0" fontId="6" fillId="3" borderId="6">
      <alignment horizontal="right" vertical="center"/>
    </xf>
    <xf numFmtId="0" fontId="6" fillId="3" borderId="6">
      <alignment horizontal="right" vertical="center"/>
    </xf>
    <xf numFmtId="4" fontId="12" fillId="8" borderId="6">
      <alignment horizontal="right" vertical="center"/>
    </xf>
    <xf numFmtId="0" fontId="3" fillId="21" borderId="0"/>
    <xf numFmtId="0" fontId="2" fillId="21" borderId="0"/>
    <xf numFmtId="0" fontId="3" fillId="22" borderId="0"/>
    <xf numFmtId="0" fontId="2" fillId="3" borderId="0"/>
    <xf numFmtId="0" fontId="3" fillId="23" borderId="0"/>
    <xf numFmtId="0" fontId="2" fillId="24" borderId="0"/>
    <xf numFmtId="0" fontId="3" fillId="14" borderId="0"/>
    <xf numFmtId="0" fontId="2" fillId="3" borderId="0"/>
    <xf numFmtId="0" fontId="3" fillId="15" borderId="0"/>
    <xf numFmtId="0" fontId="2" fillId="3" borderId="0"/>
    <xf numFmtId="0" fontId="3" fillId="25" borderId="0"/>
    <xf numFmtId="0" fontId="2" fillId="3" borderId="0"/>
    <xf numFmtId="0" fontId="15" fillId="26" borderId="7"/>
    <xf numFmtId="0" fontId="15" fillId="26" borderId="7"/>
    <xf numFmtId="0" fontId="15" fillId="26" borderId="7"/>
    <xf numFmtId="0" fontId="15" fillId="3" borderId="7"/>
    <xf numFmtId="0" fontId="15" fillId="3" borderId="7"/>
    <xf numFmtId="0" fontId="15" fillId="26" borderId="7"/>
    <xf numFmtId="0" fontId="15" fillId="26" borderId="7"/>
    <xf numFmtId="0" fontId="15" fillId="3" borderId="7"/>
    <xf numFmtId="0" fontId="15" fillId="3" borderId="7"/>
    <xf numFmtId="0" fontId="15" fillId="26" borderId="7"/>
    <xf numFmtId="0" fontId="15" fillId="3" borderId="7"/>
    <xf numFmtId="0" fontId="15" fillId="3" borderId="7"/>
    <xf numFmtId="0" fontId="15" fillId="26" borderId="7"/>
    <xf numFmtId="0" fontId="15" fillId="26" borderId="7"/>
    <xf numFmtId="0" fontId="15" fillId="26" borderId="7"/>
    <xf numFmtId="0" fontId="15" fillId="3" borderId="7"/>
    <xf numFmtId="0" fontId="15" fillId="3" borderId="7"/>
    <xf numFmtId="0" fontId="15" fillId="26" borderId="7"/>
    <xf numFmtId="0" fontId="15" fillId="26" borderId="7"/>
    <xf numFmtId="0" fontId="15" fillId="3" borderId="7"/>
    <xf numFmtId="0" fontId="15" fillId="3" borderId="7"/>
    <xf numFmtId="0" fontId="15" fillId="26" borderId="7"/>
    <xf numFmtId="0" fontId="15" fillId="3" borderId="7"/>
    <xf numFmtId="0" fontId="15" fillId="3" borderId="7"/>
    <xf numFmtId="0" fontId="15" fillId="26" borderId="7"/>
    <xf numFmtId="0" fontId="15" fillId="26" borderId="7"/>
    <xf numFmtId="0" fontId="15" fillId="3" borderId="7"/>
    <xf numFmtId="0" fontId="15" fillId="3" borderId="7"/>
    <xf numFmtId="0" fontId="15" fillId="26" borderId="7"/>
    <xf numFmtId="0" fontId="15" fillId="26" borderId="7"/>
    <xf numFmtId="0" fontId="15" fillId="3" borderId="7"/>
    <xf numFmtId="0" fontId="15" fillId="3" borderId="7"/>
    <xf numFmtId="0" fontId="15" fillId="26" borderId="7"/>
    <xf numFmtId="0" fontId="15" fillId="3" borderId="7"/>
    <xf numFmtId="0" fontId="16" fillId="27" borderId="0"/>
    <xf numFmtId="0" fontId="8" fillId="3" borderId="0"/>
    <xf numFmtId="0" fontId="17" fillId="4" borderId="0"/>
    <xf numFmtId="0" fontId="2" fillId="3" borderId="0"/>
    <xf numFmtId="0" fontId="17" fillId="4" borderId="0"/>
    <xf numFmtId="0" fontId="2" fillId="3" borderId="0"/>
    <xf numFmtId="0" fontId="17" fillId="4" borderId="0"/>
    <xf numFmtId="0" fontId="2" fillId="3" borderId="0"/>
    <xf numFmtId="0" fontId="18" fillId="27" borderId="0"/>
    <xf numFmtId="0" fontId="19" fillId="26" borderId="8"/>
    <xf numFmtId="0" fontId="19" fillId="26" borderId="8"/>
    <xf numFmtId="0" fontId="19" fillId="26" borderId="8"/>
    <xf numFmtId="0" fontId="20" fillId="3" borderId="1"/>
    <xf numFmtId="0" fontId="20" fillId="3" borderId="1"/>
    <xf numFmtId="0" fontId="19" fillId="26" borderId="8"/>
    <xf numFmtId="0" fontId="19" fillId="26" borderId="8"/>
    <xf numFmtId="0" fontId="20" fillId="3" borderId="1"/>
    <xf numFmtId="0" fontId="20" fillId="3" borderId="1"/>
    <xf numFmtId="0" fontId="19" fillId="26" borderId="8"/>
    <xf numFmtId="0" fontId="19" fillId="26" borderId="8"/>
    <xf numFmtId="0" fontId="20" fillId="3" borderId="1"/>
    <xf numFmtId="0" fontId="20" fillId="3" borderId="1"/>
    <xf numFmtId="0" fontId="19" fillId="26" borderId="8"/>
    <xf numFmtId="0" fontId="20" fillId="3" borderId="1"/>
    <xf numFmtId="0" fontId="20" fillId="3" borderId="1"/>
    <xf numFmtId="0" fontId="19" fillId="26" borderId="8"/>
    <xf numFmtId="0" fontId="19" fillId="26" borderId="8"/>
    <xf numFmtId="0" fontId="19" fillId="26" borderId="8"/>
    <xf numFmtId="0" fontId="20" fillId="3" borderId="1"/>
    <xf numFmtId="0" fontId="20" fillId="3" borderId="1"/>
    <xf numFmtId="0" fontId="19" fillId="26" borderId="8"/>
    <xf numFmtId="0" fontId="19" fillId="26" borderId="8"/>
    <xf numFmtId="0" fontId="20" fillId="3" borderId="1"/>
    <xf numFmtId="0" fontId="20" fillId="3" borderId="1"/>
    <xf numFmtId="0" fontId="19" fillId="26" borderId="8"/>
    <xf numFmtId="0" fontId="19" fillId="26" borderId="8"/>
    <xf numFmtId="0" fontId="20" fillId="3" borderId="1"/>
    <xf numFmtId="0" fontId="20" fillId="3" borderId="1"/>
    <xf numFmtId="0" fontId="19" fillId="26" borderId="8"/>
    <xf numFmtId="0" fontId="20" fillId="3" borderId="1"/>
    <xf numFmtId="0" fontId="20" fillId="3" borderId="1"/>
    <xf numFmtId="0" fontId="19" fillId="26" borderId="8"/>
    <xf numFmtId="0" fontId="19" fillId="26" borderId="8"/>
    <xf numFmtId="0" fontId="20" fillId="3" borderId="1"/>
    <xf numFmtId="0" fontId="20" fillId="3" borderId="1"/>
    <xf numFmtId="0" fontId="19" fillId="26" borderId="8"/>
    <xf numFmtId="0" fontId="19" fillId="26" borderId="8"/>
    <xf numFmtId="0" fontId="20" fillId="3" borderId="1"/>
    <xf numFmtId="0" fontId="20" fillId="3" borderId="1"/>
    <xf numFmtId="0" fontId="19" fillId="26" borderId="8"/>
    <xf numFmtId="0" fontId="19" fillId="26" borderId="8"/>
    <xf numFmtId="0" fontId="20" fillId="3" borderId="1"/>
    <xf numFmtId="0" fontId="20" fillId="3" borderId="1"/>
    <xf numFmtId="0" fontId="19" fillId="26" borderId="8"/>
    <xf numFmtId="0" fontId="20" fillId="3" borderId="1"/>
    <xf numFmtId="4" fontId="11" fillId="0" borderId="0">
      <alignment horizontal="right" vertical="center"/>
    </xf>
    <xf numFmtId="4" fontId="11" fillId="0" borderId="0">
      <alignment horizontal="right" vertical="center"/>
    </xf>
    <xf numFmtId="0" fontId="19" fillId="26" borderId="8"/>
    <xf numFmtId="0" fontId="19" fillId="26" borderId="8"/>
    <xf numFmtId="0" fontId="19" fillId="26" borderId="8"/>
    <xf numFmtId="0" fontId="20" fillId="3" borderId="1"/>
    <xf numFmtId="0" fontId="20" fillId="3" borderId="1"/>
    <xf numFmtId="0" fontId="19" fillId="26" borderId="8"/>
    <xf numFmtId="0" fontId="19" fillId="26" borderId="8"/>
    <xf numFmtId="0" fontId="20" fillId="3" borderId="1"/>
    <xf numFmtId="0" fontId="20" fillId="3" borderId="1"/>
    <xf numFmtId="0" fontId="19" fillId="26" borderId="8"/>
    <xf numFmtId="0" fontId="19" fillId="26" borderId="8"/>
    <xf numFmtId="0" fontId="20" fillId="3" borderId="1"/>
    <xf numFmtId="0" fontId="20" fillId="3" borderId="1"/>
    <xf numFmtId="0" fontId="19" fillId="26" borderId="8"/>
    <xf numFmtId="0" fontId="20" fillId="3" borderId="1"/>
    <xf numFmtId="0" fontId="20" fillId="3" borderId="1"/>
    <xf numFmtId="0" fontId="19" fillId="26" borderId="8"/>
    <xf numFmtId="0" fontId="19" fillId="26" borderId="8"/>
    <xf numFmtId="0" fontId="19" fillId="26" borderId="8"/>
    <xf numFmtId="0" fontId="20" fillId="3" borderId="1"/>
    <xf numFmtId="0" fontId="20" fillId="3" borderId="1"/>
    <xf numFmtId="0" fontId="19" fillId="26" borderId="8"/>
    <xf numFmtId="0" fontId="19" fillId="26" borderId="8"/>
    <xf numFmtId="0" fontId="20" fillId="3" borderId="1"/>
    <xf numFmtId="0" fontId="20" fillId="3" borderId="1"/>
    <xf numFmtId="0" fontId="19" fillId="26" borderId="8"/>
    <xf numFmtId="0" fontId="19" fillId="26" borderId="8"/>
    <xf numFmtId="0" fontId="20" fillId="3" borderId="1"/>
    <xf numFmtId="0" fontId="20" fillId="3" borderId="1"/>
    <xf numFmtId="0" fontId="19" fillId="26" borderId="8"/>
    <xf numFmtId="0" fontId="20" fillId="3" borderId="1"/>
    <xf numFmtId="0" fontId="20" fillId="3" borderId="1"/>
    <xf numFmtId="0" fontId="21" fillId="28" borderId="9"/>
    <xf numFmtId="0" fontId="20" fillId="3" borderId="9"/>
    <xf numFmtId="0" fontId="21" fillId="28" borderId="9"/>
    <xf numFmtId="0" fontId="20" fillId="3" borderId="9"/>
    <xf numFmtId="0" fontId="21" fillId="28" borderId="9"/>
    <xf numFmtId="0" fontId="20" fillId="3" borderId="9"/>
    <xf numFmtId="164" fontId="90" fillId="0" borderId="0"/>
    <xf numFmtId="165" fontId="90" fillId="0" borderId="0"/>
    <xf numFmtId="165" fontId="90" fillId="0" borderId="0"/>
    <xf numFmtId="165" fontId="2" fillId="0" borderId="0"/>
    <xf numFmtId="165" fontId="2" fillId="0" borderId="0"/>
    <xf numFmtId="164" fontId="2" fillId="0" borderId="0"/>
    <xf numFmtId="164" fontId="90" fillId="0" borderId="0"/>
    <xf numFmtId="164" fontId="2" fillId="0" borderId="0"/>
    <xf numFmtId="0" fontId="12" fillId="0" borderId="0">
      <alignment horizontal="right"/>
    </xf>
    <xf numFmtId="0" fontId="6" fillId="0" borderId="0">
      <alignment horizontal="right"/>
    </xf>
    <xf numFmtId="0" fontId="22" fillId="0" borderId="0">
      <alignment horizontal="left" vertical="center" indent="1"/>
    </xf>
    <xf numFmtId="0" fontId="23" fillId="0" borderId="0">
      <alignment horizontal="left" vertical="center" indent="1"/>
    </xf>
    <xf numFmtId="0" fontId="6" fillId="8" borderId="10">
      <alignment horizontal="left" vertical="center" wrapText="1" indent="15"/>
    </xf>
    <xf numFmtId="0" fontId="6" fillId="8" borderId="10">
      <alignment horizontal="left" vertical="center" wrapText="1" indent="15"/>
    </xf>
    <xf numFmtId="0" fontId="6" fillId="8" borderId="10">
      <alignment horizontal="left" vertical="center" wrapText="1" indent="15"/>
    </xf>
    <xf numFmtId="0" fontId="6" fillId="8" borderId="10">
      <alignment horizontal="left" vertical="center" wrapText="1" indent="15"/>
    </xf>
    <xf numFmtId="0" fontId="6" fillId="8" borderId="10">
      <alignment horizontal="left" vertical="center" wrapText="1" indent="15"/>
    </xf>
    <xf numFmtId="0" fontId="6" fillId="8" borderId="10">
      <alignment horizontal="left" vertical="center" wrapText="1" indent="15"/>
    </xf>
    <xf numFmtId="0" fontId="6" fillId="3" borderId="10">
      <alignment horizontal="left" vertical="center" wrapText="1" indent="15"/>
    </xf>
    <xf numFmtId="0" fontId="6" fillId="3" borderId="10">
      <alignment horizontal="left" vertical="center" wrapText="1" indent="15"/>
    </xf>
    <xf numFmtId="0" fontId="6" fillId="3" borderId="10">
      <alignment horizontal="left" vertical="center" wrapText="1" indent="15"/>
    </xf>
    <xf numFmtId="0" fontId="6" fillId="8" borderId="10">
      <alignment horizontal="left" vertical="center" wrapText="1" indent="15"/>
    </xf>
    <xf numFmtId="0" fontId="6" fillId="8" borderId="10">
      <alignment horizontal="left" vertical="center" wrapText="1" indent="15"/>
    </xf>
    <xf numFmtId="0" fontId="6" fillId="3" borderId="10">
      <alignment horizontal="left" vertical="center" wrapText="1" indent="15"/>
    </xf>
    <xf numFmtId="0" fontId="6" fillId="3" borderId="10">
      <alignment horizontal="left" vertical="center" wrapText="1" indent="15"/>
    </xf>
    <xf numFmtId="0" fontId="6" fillId="8" borderId="10">
      <alignment horizontal="left" vertical="center" wrapText="1" indent="15"/>
    </xf>
    <xf numFmtId="0" fontId="6" fillId="8" borderId="10">
      <alignment horizontal="left" vertical="center" wrapText="1" indent="15"/>
    </xf>
    <xf numFmtId="0" fontId="6" fillId="3" borderId="10">
      <alignment horizontal="left" vertical="center" wrapText="1" indent="15"/>
    </xf>
    <xf numFmtId="0" fontId="6" fillId="3" borderId="10">
      <alignment horizontal="left" vertical="center" wrapText="1" indent="15"/>
    </xf>
    <xf numFmtId="0" fontId="6" fillId="8" borderId="10">
      <alignment horizontal="left" vertical="center" wrapText="1" indent="15"/>
    </xf>
    <xf numFmtId="0" fontId="6" fillId="8" borderId="10">
      <alignment horizontal="left" vertical="center" wrapText="1" indent="15"/>
    </xf>
    <xf numFmtId="0" fontId="6" fillId="3" borderId="10">
      <alignment horizontal="left" vertical="center" wrapText="1" indent="15"/>
    </xf>
    <xf numFmtId="0" fontId="6" fillId="3" borderId="10">
      <alignment horizontal="left" vertical="center" wrapText="1" indent="15"/>
    </xf>
    <xf numFmtId="0" fontId="6" fillId="3" borderId="10">
      <alignment horizontal="left" vertical="center" wrapText="1" indent="15"/>
    </xf>
    <xf numFmtId="0" fontId="6" fillId="3" borderId="10">
      <alignment horizontal="left" vertical="center" wrapText="1" indent="15"/>
    </xf>
    <xf numFmtId="0" fontId="6" fillId="8" borderId="10">
      <alignment horizontal="left" vertical="center" wrapText="1" indent="15"/>
    </xf>
    <xf numFmtId="0" fontId="6" fillId="8" borderId="10">
      <alignment horizontal="left" vertical="center" wrapText="1" indent="15"/>
    </xf>
    <xf numFmtId="0" fontId="6" fillId="8" borderId="10">
      <alignment horizontal="left" vertical="center" wrapText="1" indent="15"/>
    </xf>
    <xf numFmtId="0" fontId="6" fillId="3" borderId="10">
      <alignment horizontal="left" vertical="center" wrapText="1" indent="15"/>
    </xf>
    <xf numFmtId="0" fontId="6" fillId="3" borderId="10">
      <alignment horizontal="left" vertical="center" wrapText="1" indent="15"/>
    </xf>
    <xf numFmtId="0" fontId="6" fillId="8" borderId="10">
      <alignment horizontal="left" vertical="center" wrapText="1" indent="15"/>
    </xf>
    <xf numFmtId="0" fontId="6" fillId="8" borderId="10">
      <alignment horizontal="left" vertical="center" wrapText="1" indent="15"/>
    </xf>
    <xf numFmtId="0" fontId="6" fillId="3" borderId="10">
      <alignment horizontal="left" vertical="center" wrapText="1" indent="15"/>
    </xf>
    <xf numFmtId="0" fontId="6" fillId="3" borderId="10">
      <alignment horizontal="left" vertical="center" wrapText="1" indent="15"/>
    </xf>
    <xf numFmtId="0" fontId="6" fillId="8" borderId="10">
      <alignment horizontal="left" vertical="center" wrapText="1" indent="15"/>
    </xf>
    <xf numFmtId="0" fontId="6" fillId="8" borderId="10">
      <alignment horizontal="left" vertical="center" wrapText="1" indent="15"/>
    </xf>
    <xf numFmtId="0" fontId="6" fillId="3" borderId="10">
      <alignment horizontal="left" vertical="center" wrapText="1" indent="15"/>
    </xf>
    <xf numFmtId="0" fontId="6" fillId="3" borderId="10">
      <alignment horizontal="left" vertical="center" wrapText="1" indent="15"/>
    </xf>
    <xf numFmtId="0" fontId="6" fillId="8" borderId="10">
      <alignment horizontal="left" vertical="center" wrapText="1" indent="15"/>
    </xf>
    <xf numFmtId="0" fontId="6" fillId="3" borderId="10">
      <alignment horizontal="left" vertical="center" wrapText="1" indent="15"/>
    </xf>
    <xf numFmtId="0" fontId="6" fillId="3" borderId="10">
      <alignment horizontal="left" vertical="center" wrapText="1" indent="15"/>
    </xf>
    <xf numFmtId="0" fontId="6" fillId="3" borderId="10">
      <alignment horizontal="left" vertical="center" wrapText="1" indent="15"/>
    </xf>
    <xf numFmtId="0" fontId="6" fillId="0" borderId="10">
      <alignment horizontal="left" vertical="center" wrapText="1" indent="15"/>
    </xf>
    <xf numFmtId="0" fontId="6" fillId="0" borderId="10">
      <alignment horizontal="left" vertical="center" wrapText="1" indent="15"/>
    </xf>
    <xf numFmtId="0" fontId="6" fillId="0" borderId="10">
      <alignment horizontal="left" vertical="center" wrapText="1" indent="15"/>
    </xf>
    <xf numFmtId="0" fontId="6" fillId="0" borderId="10">
      <alignment horizontal="left" vertical="center" wrapText="1" indent="15"/>
    </xf>
    <xf numFmtId="0" fontId="6" fillId="0" borderId="10">
      <alignment horizontal="left" vertical="center" wrapText="1" indent="15"/>
    </xf>
    <xf numFmtId="0" fontId="6" fillId="0" borderId="10">
      <alignment horizontal="left" vertical="center" wrapText="1" indent="15"/>
    </xf>
    <xf numFmtId="0" fontId="6" fillId="0" borderId="10">
      <alignment horizontal="left" vertical="center" wrapText="1" indent="15"/>
    </xf>
    <xf numFmtId="0" fontId="6" fillId="0" borderId="10">
      <alignment horizontal="left" vertical="center" wrapText="1" indent="15"/>
    </xf>
    <xf numFmtId="0" fontId="6" fillId="0" borderId="10">
      <alignment horizontal="left" vertical="center" wrapText="1" indent="15"/>
    </xf>
    <xf numFmtId="0" fontId="6" fillId="0" borderId="10">
      <alignment horizontal="left" vertical="center" wrapText="1" indent="15"/>
    </xf>
    <xf numFmtId="0" fontId="6" fillId="0" borderId="10">
      <alignment horizontal="left" vertical="center" wrapText="1" indent="15"/>
    </xf>
    <xf numFmtId="0" fontId="6" fillId="0" borderId="10">
      <alignment horizontal="left" vertical="center" wrapText="1" indent="15"/>
    </xf>
    <xf numFmtId="0" fontId="6" fillId="0" borderId="10">
      <alignment horizontal="left" vertical="center" wrapText="1" indent="15"/>
    </xf>
    <xf numFmtId="0" fontId="6" fillId="0" borderId="10">
      <alignment horizontal="left" vertical="center" wrapText="1" indent="15"/>
    </xf>
    <xf numFmtId="0" fontId="6" fillId="0" borderId="10">
      <alignment horizontal="left" vertical="center" wrapText="1" indent="15"/>
    </xf>
    <xf numFmtId="0" fontId="6" fillId="0" borderId="10">
      <alignment horizontal="left" vertical="center" wrapText="1" indent="15"/>
    </xf>
    <xf numFmtId="0" fontId="6" fillId="0" borderId="10">
      <alignment horizontal="left" vertical="center" wrapText="1" indent="15"/>
    </xf>
    <xf numFmtId="0" fontId="6" fillId="0" borderId="10">
      <alignment horizontal="left" vertical="center" wrapText="1" indent="15"/>
    </xf>
    <xf numFmtId="0" fontId="90" fillId="0" borderId="0"/>
    <xf numFmtId="0" fontId="2" fillId="0" borderId="0"/>
    <xf numFmtId="0" fontId="6" fillId="0" borderId="10">
      <alignment horizontal="left" vertical="center" wrapText="1" indent="15"/>
    </xf>
    <xf numFmtId="0" fontId="6" fillId="0" borderId="10">
      <alignment horizontal="left" vertical="center" wrapText="1" indent="15"/>
    </xf>
    <xf numFmtId="0" fontId="6" fillId="0" borderId="10">
      <alignment horizontal="left" vertical="center" wrapText="1" indent="15"/>
    </xf>
    <xf numFmtId="0" fontId="6" fillId="0" borderId="10">
      <alignment horizontal="left" vertical="center" wrapText="1" indent="15"/>
    </xf>
    <xf numFmtId="0" fontId="6" fillId="0" borderId="10">
      <alignment horizontal="left" vertical="center" wrapText="1" indent="15"/>
    </xf>
    <xf numFmtId="0" fontId="6" fillId="0" borderId="10">
      <alignment horizontal="left" vertical="center" wrapText="1" indent="15"/>
    </xf>
    <xf numFmtId="0" fontId="6" fillId="0" borderId="10">
      <alignment horizontal="left" vertical="center" wrapText="1" indent="15"/>
    </xf>
    <xf numFmtId="0" fontId="6" fillId="0" borderId="10">
      <alignment horizontal="left" vertical="center" wrapText="1" indent="15"/>
    </xf>
    <xf numFmtId="0" fontId="6" fillId="0" borderId="10">
      <alignment horizontal="left" vertical="center" wrapText="1" indent="15"/>
    </xf>
    <xf numFmtId="0" fontId="6" fillId="0" borderId="10">
      <alignment horizontal="left" vertical="center" wrapText="1" indent="15"/>
    </xf>
    <xf numFmtId="0" fontId="6" fillId="0" borderId="10">
      <alignment horizontal="left" vertical="center" wrapText="1" indent="15"/>
    </xf>
    <xf numFmtId="0" fontId="6" fillId="0" borderId="10">
      <alignment horizontal="left" vertical="center" wrapText="1" indent="15"/>
    </xf>
    <xf numFmtId="0" fontId="6" fillId="0" borderId="10">
      <alignment horizontal="left" vertical="center" wrapText="1" indent="15"/>
    </xf>
    <xf numFmtId="0" fontId="6" fillId="0" borderId="10">
      <alignment horizontal="left" vertical="center" wrapText="1" indent="15"/>
    </xf>
    <xf numFmtId="0" fontId="6" fillId="0" borderId="10">
      <alignment horizontal="left" vertical="center" wrapText="1" indent="15"/>
    </xf>
    <xf numFmtId="0" fontId="6" fillId="0" borderId="10">
      <alignment horizontal="left" vertical="center" wrapText="1" indent="15"/>
    </xf>
    <xf numFmtId="0" fontId="6" fillId="0" borderId="10">
      <alignment horizontal="left" vertical="center" wrapText="1" indent="15"/>
    </xf>
    <xf numFmtId="0" fontId="6" fillId="0" borderId="10">
      <alignment horizontal="left" vertical="center" wrapText="1" indent="15"/>
    </xf>
    <xf numFmtId="0" fontId="6" fillId="0" borderId="10">
      <alignment horizontal="left" vertical="center" wrapText="1" indent="15"/>
    </xf>
    <xf numFmtId="0" fontId="6" fillId="0" borderId="10">
      <alignment horizontal="left" vertical="center" wrapText="1" indent="15"/>
    </xf>
    <xf numFmtId="0" fontId="6" fillId="0" borderId="10">
      <alignment horizontal="left" vertical="center" wrapText="1" indent="15"/>
    </xf>
    <xf numFmtId="0" fontId="6" fillId="0" borderId="10">
      <alignment horizontal="left" vertical="center" wrapText="1" indent="15"/>
    </xf>
    <xf numFmtId="0" fontId="6" fillId="5" borderId="5">
      <alignment horizontal="left" vertical="center"/>
    </xf>
    <xf numFmtId="0" fontId="6" fillId="5" borderId="5">
      <alignment horizontal="left" vertical="center"/>
    </xf>
    <xf numFmtId="0" fontId="6" fillId="3" borderId="5">
      <alignment horizontal="left" vertical="center"/>
    </xf>
    <xf numFmtId="0" fontId="6" fillId="5" borderId="5">
      <alignment horizontal="left" vertical="center"/>
    </xf>
    <xf numFmtId="0" fontId="6" fillId="5" borderId="5">
      <alignment horizontal="left" vertical="center"/>
    </xf>
    <xf numFmtId="0" fontId="6" fillId="5" borderId="5">
      <alignment horizontal="left" vertical="center"/>
    </xf>
    <xf numFmtId="0" fontId="6" fillId="3" borderId="5">
      <alignment horizontal="left" vertical="center"/>
    </xf>
    <xf numFmtId="0" fontId="6" fillId="3" borderId="5">
      <alignment horizontal="left" vertical="center"/>
    </xf>
    <xf numFmtId="0" fontId="6" fillId="5" borderId="5">
      <alignment horizontal="left" vertical="center"/>
    </xf>
    <xf numFmtId="0" fontId="6" fillId="5" borderId="5">
      <alignment horizontal="left" vertical="center"/>
    </xf>
    <xf numFmtId="0" fontId="6" fillId="3" borderId="5">
      <alignment horizontal="left" vertical="center"/>
    </xf>
    <xf numFmtId="0" fontId="6" fillId="3" borderId="5">
      <alignment horizontal="left" vertical="center"/>
    </xf>
    <xf numFmtId="0" fontId="6" fillId="5" borderId="5">
      <alignment horizontal="left" vertical="center"/>
    </xf>
    <xf numFmtId="0" fontId="6" fillId="5" borderId="5">
      <alignment horizontal="left" vertical="center"/>
    </xf>
    <xf numFmtId="0" fontId="6" fillId="3" borderId="5">
      <alignment horizontal="left" vertical="center"/>
    </xf>
    <xf numFmtId="0" fontId="6" fillId="3" borderId="5">
      <alignment horizontal="left" vertical="center"/>
    </xf>
    <xf numFmtId="0" fontId="6" fillId="5" borderId="5">
      <alignment horizontal="left" vertical="center"/>
    </xf>
    <xf numFmtId="0" fontId="6" fillId="3" borderId="5">
      <alignment horizontal="left" vertical="center"/>
    </xf>
    <xf numFmtId="0" fontId="6" fillId="3" borderId="5">
      <alignment horizontal="left" vertical="center"/>
    </xf>
    <xf numFmtId="0" fontId="6" fillId="3" borderId="5">
      <alignment horizontal="left" vertical="center"/>
    </xf>
    <xf numFmtId="0" fontId="12" fillId="0" borderId="11">
      <alignment horizontal="left" vertical="top" wrapText="1"/>
    </xf>
    <xf numFmtId="0" fontId="24" fillId="8" borderId="8"/>
    <xf numFmtId="0" fontId="24" fillId="8" borderId="8"/>
    <xf numFmtId="0" fontId="24" fillId="3" borderId="1"/>
    <xf numFmtId="0" fontId="24" fillId="8" borderId="8"/>
    <xf numFmtId="0" fontId="24" fillId="8" borderId="8"/>
    <xf numFmtId="0" fontId="24" fillId="8" borderId="8"/>
    <xf numFmtId="0" fontId="24" fillId="3" borderId="1"/>
    <xf numFmtId="0" fontId="24" fillId="3" borderId="1"/>
    <xf numFmtId="0" fontId="24" fillId="8" borderId="8"/>
    <xf numFmtId="0" fontId="24" fillId="8" borderId="8"/>
    <xf numFmtId="0" fontId="24" fillId="3" borderId="1"/>
    <xf numFmtId="0" fontId="24" fillId="3" borderId="1"/>
    <xf numFmtId="0" fontId="24" fillId="8" borderId="8"/>
    <xf numFmtId="0" fontId="24" fillId="8" borderId="8"/>
    <xf numFmtId="0" fontId="24" fillId="3" borderId="1"/>
    <xf numFmtId="0" fontId="24" fillId="3" borderId="1"/>
    <xf numFmtId="0" fontId="24" fillId="8" borderId="8"/>
    <xf numFmtId="0" fontId="24" fillId="3" borderId="1"/>
    <xf numFmtId="0" fontId="24" fillId="3" borderId="1"/>
    <xf numFmtId="0" fontId="24" fillId="8" borderId="8"/>
    <xf numFmtId="0" fontId="24" fillId="8" borderId="8"/>
    <xf numFmtId="0" fontId="24" fillId="8" borderId="8"/>
    <xf numFmtId="0" fontId="24" fillId="3" borderId="1"/>
    <xf numFmtId="0" fontId="24" fillId="3" borderId="1"/>
    <xf numFmtId="0" fontId="24" fillId="8" borderId="8"/>
    <xf numFmtId="0" fontId="24" fillId="8" borderId="8"/>
    <xf numFmtId="0" fontId="24" fillId="3" borderId="1"/>
    <xf numFmtId="0" fontId="24" fillId="3" borderId="1"/>
    <xf numFmtId="0" fontId="24" fillId="8" borderId="8"/>
    <xf numFmtId="0" fontId="24" fillId="8" borderId="8"/>
    <xf numFmtId="0" fontId="24" fillId="3" borderId="1"/>
    <xf numFmtId="0" fontId="24" fillId="3" borderId="1"/>
    <xf numFmtId="0" fontId="24" fillId="8" borderId="8"/>
    <xf numFmtId="0" fontId="24" fillId="3" borderId="1"/>
    <xf numFmtId="0" fontId="24" fillId="3" borderId="1"/>
    <xf numFmtId="0" fontId="24" fillId="8" borderId="8"/>
    <xf numFmtId="0" fontId="24" fillId="8" borderId="8"/>
    <xf numFmtId="0" fontId="24" fillId="3" borderId="1"/>
    <xf numFmtId="0" fontId="24" fillId="3" borderId="1"/>
    <xf numFmtId="0" fontId="24" fillId="8" borderId="8"/>
    <xf numFmtId="0" fontId="24" fillId="8" borderId="8"/>
    <xf numFmtId="0" fontId="24" fillId="3" borderId="1"/>
    <xf numFmtId="0" fontId="24" fillId="3" borderId="1"/>
    <xf numFmtId="0" fontId="24" fillId="8" borderId="8"/>
    <xf numFmtId="0" fontId="24" fillId="8" borderId="8"/>
    <xf numFmtId="0" fontId="24" fillId="3" borderId="1"/>
    <xf numFmtId="0" fontId="24" fillId="3" borderId="1"/>
    <xf numFmtId="0" fontId="24" fillId="8" borderId="8"/>
    <xf numFmtId="0" fontId="24" fillId="3" borderId="1"/>
    <xf numFmtId="0" fontId="24" fillId="3" borderId="1"/>
    <xf numFmtId="0" fontId="25" fillId="0" borderId="12"/>
    <xf numFmtId="0" fontId="26" fillId="0" borderId="13"/>
    <xf numFmtId="0" fontId="26" fillId="0" borderId="13"/>
    <xf numFmtId="0" fontId="26" fillId="0" borderId="13"/>
    <xf numFmtId="0" fontId="20" fillId="0" borderId="13"/>
    <xf numFmtId="0" fontId="20" fillId="0" borderId="13"/>
    <xf numFmtId="0" fontId="26" fillId="0" borderId="13"/>
    <xf numFmtId="0" fontId="26" fillId="0" borderId="13"/>
    <xf numFmtId="0" fontId="20" fillId="0" borderId="13"/>
    <xf numFmtId="0" fontId="20" fillId="0" borderId="13"/>
    <xf numFmtId="0" fontId="26" fillId="0" borderId="13"/>
    <xf numFmtId="0" fontId="26" fillId="0" borderId="13"/>
    <xf numFmtId="0" fontId="20" fillId="0" borderId="13"/>
    <xf numFmtId="0" fontId="20" fillId="0" borderId="13"/>
    <xf numFmtId="0" fontId="26" fillId="0" borderId="13"/>
    <xf numFmtId="0" fontId="20" fillId="0" borderId="13"/>
    <xf numFmtId="0" fontId="20" fillId="0" borderId="13"/>
    <xf numFmtId="0" fontId="26" fillId="0" borderId="13"/>
    <xf numFmtId="0" fontId="26" fillId="0" borderId="13"/>
    <xf numFmtId="0" fontId="26" fillId="0" borderId="13"/>
    <xf numFmtId="0" fontId="20" fillId="0" borderId="13"/>
    <xf numFmtId="0" fontId="20" fillId="0" borderId="13"/>
    <xf numFmtId="0" fontId="26" fillId="0" borderId="13"/>
    <xf numFmtId="0" fontId="26" fillId="0" borderId="13"/>
    <xf numFmtId="0" fontId="20" fillId="0" borderId="13"/>
    <xf numFmtId="0" fontId="20" fillId="0" borderId="13"/>
    <xf numFmtId="0" fontId="26" fillId="0" borderId="13"/>
    <xf numFmtId="0" fontId="26" fillId="0" borderId="13"/>
    <xf numFmtId="0" fontId="20" fillId="0" borderId="13"/>
    <xf numFmtId="0" fontId="20" fillId="0" borderId="13"/>
    <xf numFmtId="0" fontId="26" fillId="0" borderId="13"/>
    <xf numFmtId="0" fontId="20" fillId="0" borderId="13"/>
    <xf numFmtId="0" fontId="20" fillId="0" borderId="13"/>
    <xf numFmtId="0" fontId="26" fillId="0" borderId="13"/>
    <xf numFmtId="0" fontId="26" fillId="0" borderId="13"/>
    <xf numFmtId="0" fontId="20" fillId="0" borderId="13"/>
    <xf numFmtId="0" fontId="20" fillId="0" borderId="13"/>
    <xf numFmtId="0" fontId="26" fillId="0" borderId="13"/>
    <xf numFmtId="0" fontId="26" fillId="0" borderId="13"/>
    <xf numFmtId="0" fontId="20" fillId="0" borderId="13"/>
    <xf numFmtId="0" fontId="20" fillId="0" borderId="13"/>
    <xf numFmtId="0" fontId="26" fillId="0" borderId="13"/>
    <xf numFmtId="0" fontId="26" fillId="0" borderId="13"/>
    <xf numFmtId="0" fontId="20" fillId="0" borderId="13"/>
    <xf numFmtId="0" fontId="20" fillId="0" borderId="13"/>
    <xf numFmtId="0" fontId="26" fillId="0" borderId="13"/>
    <xf numFmtId="0" fontId="20" fillId="0" borderId="13"/>
    <xf numFmtId="0" fontId="27" fillId="0" borderId="0"/>
    <xf numFmtId="0" fontId="28" fillId="0" borderId="0"/>
    <xf numFmtId="0" fontId="27" fillId="0" borderId="0"/>
    <xf numFmtId="0" fontId="28" fillId="0" borderId="0"/>
    <xf numFmtId="0" fontId="29" fillId="29" borderId="0"/>
    <xf numFmtId="0" fontId="10" fillId="3" borderId="0"/>
    <xf numFmtId="0" fontId="29" fillId="30" borderId="0"/>
    <xf numFmtId="0" fontId="27" fillId="0" borderId="0"/>
    <xf numFmtId="0" fontId="28" fillId="0" borderId="0"/>
    <xf numFmtId="0" fontId="27" fillId="0" borderId="0"/>
    <xf numFmtId="0" fontId="28" fillId="0" borderId="0"/>
    <xf numFmtId="0" fontId="30" fillId="0" borderId="0"/>
    <xf numFmtId="0" fontId="31" fillId="0" borderId="0"/>
    <xf numFmtId="0" fontId="30" fillId="0" borderId="0"/>
    <xf numFmtId="0" fontId="32" fillId="5" borderId="0"/>
    <xf numFmtId="0" fontId="8" fillId="3" borderId="0"/>
    <xf numFmtId="0" fontId="33" fillId="5" borderId="0"/>
    <xf numFmtId="0" fontId="34" fillId="5" borderId="0"/>
    <xf numFmtId="0" fontId="2" fillId="3" borderId="0"/>
    <xf numFmtId="0" fontId="34" fillId="5" borderId="0"/>
    <xf numFmtId="0" fontId="2" fillId="3" borderId="0"/>
    <xf numFmtId="0" fontId="34" fillId="5" borderId="0"/>
    <xf numFmtId="0" fontId="2" fillId="3" borderId="0"/>
    <xf numFmtId="0" fontId="34" fillId="5" borderId="0"/>
    <xf numFmtId="0" fontId="2" fillId="3" borderId="0"/>
    <xf numFmtId="0" fontId="35" fillId="0" borderId="0"/>
    <xf numFmtId="0" fontId="36" fillId="0" borderId="0"/>
    <xf numFmtId="0" fontId="35" fillId="0" borderId="0"/>
    <xf numFmtId="0" fontId="37" fillId="0" borderId="14"/>
    <xf numFmtId="0" fontId="37" fillId="0" borderId="14"/>
    <xf numFmtId="0" fontId="37" fillId="0" borderId="14"/>
    <xf numFmtId="0" fontId="37" fillId="0" borderId="14"/>
    <xf numFmtId="0" fontId="37" fillId="0" borderId="14"/>
    <xf numFmtId="0" fontId="37" fillId="0" borderId="14"/>
    <xf numFmtId="0" fontId="38" fillId="0" borderId="0"/>
    <xf numFmtId="0" fontId="39" fillId="0" borderId="0"/>
    <xf numFmtId="0" fontId="38" fillId="0" borderId="0"/>
    <xf numFmtId="0" fontId="40" fillId="0" borderId="15"/>
    <xf numFmtId="0" fontId="40" fillId="0" borderId="16"/>
    <xf numFmtId="0" fontId="40" fillId="0" borderId="15"/>
    <xf numFmtId="0" fontId="40" fillId="0" borderId="16"/>
    <xf numFmtId="0" fontId="40" fillId="0" borderId="15"/>
    <xf numFmtId="0" fontId="40" fillId="0" borderId="16"/>
    <xf numFmtId="0" fontId="41" fillId="0" borderId="0"/>
    <xf numFmtId="0" fontId="42" fillId="0" borderId="17"/>
    <xf numFmtId="0" fontId="42" fillId="0" borderId="12"/>
    <xf numFmtId="0" fontId="42" fillId="0" borderId="17"/>
    <xf numFmtId="0" fontId="42" fillId="0" borderId="12"/>
    <xf numFmtId="0" fontId="42" fillId="0" borderId="17"/>
    <xf numFmtId="0" fontId="42" fillId="0" borderId="12"/>
    <xf numFmtId="0" fontId="43" fillId="0" borderId="0"/>
    <xf numFmtId="0" fontId="42" fillId="0" borderId="0"/>
    <xf numFmtId="0" fontId="42" fillId="0" borderId="0"/>
    <xf numFmtId="0" fontId="42" fillId="0" borderId="0"/>
    <xf numFmtId="0" fontId="42" fillId="0" borderId="0"/>
    <xf numFmtId="0" fontId="42" fillId="0" borderId="0"/>
    <xf numFmtId="0" fontId="42" fillId="0" borderId="0"/>
    <xf numFmtId="0" fontId="44" fillId="0" borderId="0"/>
    <xf numFmtId="0" fontId="44" fillId="0" borderId="0"/>
    <xf numFmtId="0" fontId="45" fillId="0" borderId="0"/>
    <xf numFmtId="0" fontId="46" fillId="0" borderId="0"/>
    <xf numFmtId="0" fontId="47" fillId="0" borderId="0"/>
    <xf numFmtId="0" fontId="24" fillId="8" borderId="8"/>
    <xf numFmtId="0" fontId="24" fillId="8" borderId="8"/>
    <xf numFmtId="0" fontId="24" fillId="8" borderId="8"/>
    <xf numFmtId="0" fontId="24" fillId="3" borderId="1"/>
    <xf numFmtId="0" fontId="24" fillId="3" borderId="1"/>
    <xf numFmtId="0" fontId="24" fillId="8" borderId="8"/>
    <xf numFmtId="0" fontId="24" fillId="8" borderId="8"/>
    <xf numFmtId="0" fontId="24" fillId="3" borderId="1"/>
    <xf numFmtId="0" fontId="24" fillId="3" borderId="1"/>
    <xf numFmtId="0" fontId="24" fillId="8" borderId="8"/>
    <xf numFmtId="0" fontId="24" fillId="8" borderId="8"/>
    <xf numFmtId="0" fontId="24" fillId="3" borderId="1"/>
    <xf numFmtId="0" fontId="24" fillId="3" borderId="1"/>
    <xf numFmtId="0" fontId="24" fillId="8" borderId="8"/>
    <xf numFmtId="0" fontId="24" fillId="3" borderId="1"/>
    <xf numFmtId="0" fontId="24" fillId="3" borderId="1"/>
    <xf numFmtId="0" fontId="24" fillId="8" borderId="8"/>
    <xf numFmtId="0" fontId="24" fillId="8" borderId="8"/>
    <xf numFmtId="0" fontId="24" fillId="8" borderId="8"/>
    <xf numFmtId="0" fontId="24" fillId="3" borderId="1"/>
    <xf numFmtId="0" fontId="24" fillId="3" borderId="1"/>
    <xf numFmtId="0" fontId="24" fillId="8" borderId="8"/>
    <xf numFmtId="0" fontId="24" fillId="8" borderId="8"/>
    <xf numFmtId="0" fontId="24" fillId="3" borderId="1"/>
    <xf numFmtId="0" fontId="24" fillId="3" borderId="1"/>
    <xf numFmtId="0" fontId="24" fillId="8" borderId="8"/>
    <xf numFmtId="0" fontId="24" fillId="8" borderId="8"/>
    <xf numFmtId="0" fontId="24" fillId="3" borderId="1"/>
    <xf numFmtId="0" fontId="24" fillId="3" borderId="1"/>
    <xf numFmtId="0" fontId="24" fillId="8" borderId="8"/>
    <xf numFmtId="0" fontId="24" fillId="3" borderId="1"/>
    <xf numFmtId="0" fontId="24" fillId="3" borderId="1"/>
    <xf numFmtId="0" fontId="24" fillId="8" borderId="8"/>
    <xf numFmtId="0" fontId="24" fillId="3" borderId="1"/>
    <xf numFmtId="0" fontId="6" fillId="0" borderId="0">
      <alignment horizontal="right" vertical="center"/>
    </xf>
    <xf numFmtId="4" fontId="6" fillId="0" borderId="0">
      <alignment horizontal="right" vertical="center"/>
    </xf>
    <xf numFmtId="4" fontId="6" fillId="0" borderId="0">
      <alignment horizontal="right" vertical="center"/>
    </xf>
    <xf numFmtId="0" fontId="6" fillId="0" borderId="0">
      <alignment horizontal="right" vertical="center"/>
    </xf>
    <xf numFmtId="0" fontId="6" fillId="0" borderId="0">
      <alignment horizontal="right" vertical="center"/>
    </xf>
    <xf numFmtId="0" fontId="6" fillId="0" borderId="0">
      <alignment horizontal="right" vertical="center"/>
    </xf>
    <xf numFmtId="0" fontId="6" fillId="0" borderId="0">
      <alignment horizontal="right" vertical="center"/>
    </xf>
    <xf numFmtId="0" fontId="6" fillId="0" borderId="0">
      <alignment horizontal="right" vertical="center"/>
    </xf>
    <xf numFmtId="0" fontId="6" fillId="0" borderId="1">
      <alignment horizontal="right" vertical="center"/>
    </xf>
    <xf numFmtId="4" fontId="6" fillId="0" borderId="1">
      <alignment horizontal="right" vertical="center"/>
    </xf>
    <xf numFmtId="4" fontId="6" fillId="0" borderId="1">
      <alignment horizontal="right" vertical="center"/>
    </xf>
    <xf numFmtId="4" fontId="6" fillId="0" borderId="1">
      <alignment horizontal="right" vertical="center"/>
    </xf>
    <xf numFmtId="4" fontId="6" fillId="0" borderId="1">
      <alignment horizontal="right" vertical="center"/>
    </xf>
    <xf numFmtId="4" fontId="6" fillId="0" borderId="1">
      <alignment horizontal="right" vertical="center"/>
    </xf>
    <xf numFmtId="4" fontId="6" fillId="0" borderId="1">
      <alignment horizontal="right" vertical="center"/>
    </xf>
    <xf numFmtId="4" fontId="6" fillId="0" borderId="1">
      <alignment horizontal="right" vertical="center"/>
    </xf>
    <xf numFmtId="4" fontId="6" fillId="0" borderId="1">
      <alignment horizontal="right" vertical="center"/>
    </xf>
    <xf numFmtId="4" fontId="6" fillId="0" borderId="1">
      <alignment horizontal="right" vertical="center"/>
    </xf>
    <xf numFmtId="4" fontId="6" fillId="0" borderId="1">
      <alignment horizontal="right" vertical="center"/>
    </xf>
    <xf numFmtId="4" fontId="6" fillId="0" borderId="1">
      <alignment horizontal="right" vertical="center"/>
    </xf>
    <xf numFmtId="4" fontId="6" fillId="0" borderId="1">
      <alignment horizontal="right" vertical="center"/>
    </xf>
    <xf numFmtId="4" fontId="6" fillId="0" borderId="1">
      <alignment horizontal="right" vertical="center"/>
    </xf>
    <xf numFmtId="4" fontId="6" fillId="0" borderId="1">
      <alignment horizontal="right" vertical="center"/>
    </xf>
    <xf numFmtId="4" fontId="6" fillId="0" borderId="1">
      <alignment horizontal="right" vertical="center"/>
    </xf>
    <xf numFmtId="4" fontId="6" fillId="0" borderId="1">
      <alignment horizontal="right" vertical="center"/>
    </xf>
    <xf numFmtId="4" fontId="6" fillId="0" borderId="1">
      <alignment horizontal="right" vertical="center"/>
    </xf>
    <xf numFmtId="4" fontId="6" fillId="0" borderId="1">
      <alignment horizontal="right" vertical="center"/>
    </xf>
    <xf numFmtId="4" fontId="6" fillId="0" borderId="1">
      <alignment horizontal="right" vertical="center"/>
    </xf>
    <xf numFmtId="4" fontId="6" fillId="0" borderId="1">
      <alignment horizontal="right" vertical="center"/>
    </xf>
    <xf numFmtId="4" fontId="6" fillId="0" borderId="1">
      <alignment horizontal="right" vertical="center"/>
    </xf>
    <xf numFmtId="4" fontId="6" fillId="0" borderId="1">
      <alignment horizontal="right" vertical="center"/>
    </xf>
    <xf numFmtId="4" fontId="6" fillId="0" borderId="1">
      <alignment horizontal="right" vertical="center"/>
    </xf>
    <xf numFmtId="4" fontId="6" fillId="0" borderId="1">
      <alignment horizontal="right" vertical="center"/>
    </xf>
    <xf numFmtId="0" fontId="6" fillId="0" borderId="1">
      <alignment horizontal="right" vertical="center"/>
    </xf>
    <xf numFmtId="0" fontId="6" fillId="0" borderId="1">
      <alignment horizontal="right" vertical="center"/>
    </xf>
    <xf numFmtId="0" fontId="6" fillId="0" borderId="1">
      <alignment horizontal="right" vertical="center"/>
    </xf>
    <xf numFmtId="0" fontId="6" fillId="0" borderId="1">
      <alignment horizontal="right" vertical="center"/>
    </xf>
    <xf numFmtId="0" fontId="6" fillId="0" borderId="1">
      <alignment horizontal="right" vertical="center"/>
    </xf>
    <xf numFmtId="0" fontId="6" fillId="0" borderId="1">
      <alignment horizontal="right" vertical="center"/>
    </xf>
    <xf numFmtId="0" fontId="6" fillId="0" borderId="1">
      <alignment horizontal="right" vertical="center"/>
    </xf>
    <xf numFmtId="0" fontId="6" fillId="0" borderId="1">
      <alignment horizontal="right" vertical="center"/>
    </xf>
    <xf numFmtId="0" fontId="6" fillId="0" borderId="1">
      <alignment horizontal="right" vertical="center"/>
    </xf>
    <xf numFmtId="0" fontId="6" fillId="0" borderId="1">
      <alignment horizontal="right" vertical="center"/>
    </xf>
    <xf numFmtId="0" fontId="6" fillId="0" borderId="1">
      <alignment horizontal="right" vertical="center"/>
    </xf>
    <xf numFmtId="0" fontId="6" fillId="0" borderId="1">
      <alignment horizontal="right" vertical="center"/>
    </xf>
    <xf numFmtId="0" fontId="6" fillId="0" borderId="1">
      <alignment horizontal="right" vertical="center"/>
    </xf>
    <xf numFmtId="0" fontId="6" fillId="0" borderId="1">
      <alignment horizontal="right" vertical="center"/>
    </xf>
    <xf numFmtId="0" fontId="6" fillId="0" borderId="1">
      <alignment horizontal="right" vertical="center"/>
    </xf>
    <xf numFmtId="0" fontId="6" fillId="0" borderId="1">
      <alignment horizontal="right" vertical="center"/>
    </xf>
    <xf numFmtId="0" fontId="6" fillId="0" borderId="1">
      <alignment horizontal="right" vertical="center"/>
    </xf>
    <xf numFmtId="0" fontId="6" fillId="0" borderId="1">
      <alignment horizontal="right" vertical="center"/>
    </xf>
    <xf numFmtId="0" fontId="6" fillId="0" borderId="1">
      <alignment horizontal="right" vertical="center"/>
    </xf>
    <xf numFmtId="0" fontId="6" fillId="0" borderId="1">
      <alignment horizontal="right" vertical="center"/>
    </xf>
    <xf numFmtId="0" fontId="6" fillId="0" borderId="1">
      <alignment horizontal="right" vertical="center"/>
    </xf>
    <xf numFmtId="0" fontId="6" fillId="0" borderId="1">
      <alignment horizontal="right" vertical="center"/>
    </xf>
    <xf numFmtId="0" fontId="6" fillId="0" borderId="1">
      <alignment horizontal="right" vertical="center"/>
    </xf>
    <xf numFmtId="0" fontId="6" fillId="0" borderId="1">
      <alignment horizontal="right" vertical="center"/>
    </xf>
    <xf numFmtId="0" fontId="6" fillId="0" borderId="1">
      <alignment horizontal="right" vertical="center"/>
    </xf>
    <xf numFmtId="0" fontId="6" fillId="0" borderId="3">
      <alignment horizontal="right" vertical="center"/>
    </xf>
    <xf numFmtId="0" fontId="6" fillId="0" borderId="18">
      <alignment horizontal="right" vertical="center"/>
    </xf>
    <xf numFmtId="1" fontId="48" fillId="5" borderId="0">
      <alignment horizontal="right" vertical="center"/>
    </xf>
    <xf numFmtId="1" fontId="44" fillId="3" borderId="0">
      <alignment horizontal="right" vertical="center"/>
    </xf>
    <xf numFmtId="0" fontId="25" fillId="18" borderId="1"/>
    <xf numFmtId="0" fontId="49" fillId="0" borderId="19"/>
    <xf numFmtId="0" fontId="2" fillId="0" borderId="20"/>
    <xf numFmtId="0" fontId="49" fillId="0" borderId="19"/>
    <xf numFmtId="0" fontId="2" fillId="0" borderId="20"/>
    <xf numFmtId="0" fontId="49" fillId="0" borderId="19"/>
    <xf numFmtId="0" fontId="2" fillId="0" borderId="20"/>
    <xf numFmtId="164" fontId="90" fillId="0" borderId="0"/>
    <xf numFmtId="164" fontId="2" fillId="0" borderId="0"/>
    <xf numFmtId="164" fontId="2" fillId="0" borderId="0"/>
    <xf numFmtId="0" fontId="50" fillId="31" borderId="0"/>
    <xf numFmtId="0" fontId="51" fillId="3" borderId="0"/>
    <xf numFmtId="0" fontId="52" fillId="31" borderId="0"/>
    <xf numFmtId="0" fontId="53" fillId="31" borderId="0"/>
    <xf numFmtId="0" fontId="2" fillId="3" borderId="0"/>
    <xf numFmtId="0" fontId="53" fillId="31" borderId="0"/>
    <xf numFmtId="0" fontId="2" fillId="3" borderId="0"/>
    <xf numFmtId="0" fontId="25" fillId="0" borderId="0"/>
    <xf numFmtId="0" fontId="25" fillId="0" borderId="0"/>
    <xf numFmtId="0" fontId="25" fillId="0" borderId="0"/>
    <xf numFmtId="0" fontId="25" fillId="0" borderId="0"/>
    <xf numFmtId="0" fontId="90" fillId="0" borderId="0"/>
    <xf numFmtId="0" fontId="90" fillId="0" borderId="0"/>
    <xf numFmtId="0" fontId="2" fillId="0" borderId="0"/>
    <xf numFmtId="0" fontId="2" fillId="0" borderId="0"/>
    <xf numFmtId="0" fontId="90" fillId="0" borderId="0"/>
    <xf numFmtId="0" fontId="90" fillId="0" borderId="0"/>
    <xf numFmtId="0" fontId="2" fillId="0" borderId="0"/>
    <xf numFmtId="0" fontId="2" fillId="0" borderId="0"/>
    <xf numFmtId="0" fontId="25" fillId="0" borderId="0"/>
    <xf numFmtId="0" fontId="25" fillId="0" borderId="0"/>
    <xf numFmtId="0" fontId="25" fillId="0" borderId="0"/>
    <xf numFmtId="0" fontId="25" fillId="0" borderId="0"/>
    <xf numFmtId="0" fontId="54" fillId="0" borderId="0"/>
    <xf numFmtId="0" fontId="90" fillId="0" borderId="0"/>
    <xf numFmtId="0" fontId="25" fillId="0" borderId="0"/>
    <xf numFmtId="0" fontId="25" fillId="0" borderId="0"/>
    <xf numFmtId="0" fontId="25" fillId="0" borderId="0"/>
    <xf numFmtId="0" fontId="25" fillId="0" borderId="0"/>
    <xf numFmtId="0" fontId="55" fillId="0" borderId="0"/>
    <xf numFmtId="0" fontId="55" fillId="0" borderId="0"/>
    <xf numFmtId="0" fontId="55" fillId="0" borderId="0"/>
    <xf numFmtId="0" fontId="55" fillId="0" borderId="0"/>
    <xf numFmtId="4" fontId="25" fillId="0" borderId="0"/>
    <xf numFmtId="4" fontId="25" fillId="0" borderId="0"/>
    <xf numFmtId="0" fontId="2" fillId="0" borderId="0"/>
    <xf numFmtId="0" fontId="2" fillId="0" borderId="0"/>
    <xf numFmtId="4" fontId="25" fillId="0" borderId="0"/>
    <xf numFmtId="4" fontId="25" fillId="0" borderId="0"/>
    <xf numFmtId="4" fontId="25" fillId="0" borderId="0"/>
    <xf numFmtId="4" fontId="25" fillId="0" borderId="0"/>
    <xf numFmtId="4" fontId="25" fillId="0" borderId="0"/>
    <xf numFmtId="4" fontId="25" fillId="0" borderId="0"/>
    <xf numFmtId="4" fontId="25" fillId="0" borderId="0"/>
    <xf numFmtId="4" fontId="25" fillId="0" borderId="0"/>
    <xf numFmtId="0" fontId="2" fillId="0" borderId="0"/>
    <xf numFmtId="0" fontId="90"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 fillId="0" borderId="0"/>
    <xf numFmtId="0" fontId="25" fillId="0" borderId="0"/>
    <xf numFmtId="0" fontId="90" fillId="0" borderId="0"/>
    <xf numFmtId="0" fontId="90" fillId="0" borderId="0"/>
    <xf numFmtId="0" fontId="90" fillId="0" borderId="0"/>
    <xf numFmtId="0" fontId="90" fillId="0" borderId="0"/>
    <xf numFmtId="0" fontId="90" fillId="0" borderId="0"/>
    <xf numFmtId="0" fontId="2" fillId="0" borderId="0"/>
    <xf numFmtId="0" fontId="2" fillId="0" borderId="0"/>
    <xf numFmtId="0" fontId="90" fillId="0" borderId="0"/>
    <xf numFmtId="0" fontId="2" fillId="0" borderId="0"/>
    <xf numFmtId="0" fontId="2" fillId="0" borderId="0"/>
    <xf numFmtId="0" fontId="90" fillId="0" borderId="0"/>
    <xf numFmtId="0" fontId="90" fillId="0" borderId="0"/>
    <xf numFmtId="0" fontId="2" fillId="0" borderId="0"/>
    <xf numFmtId="0" fontId="2" fillId="0" borderId="0"/>
    <xf numFmtId="0" fontId="90" fillId="0" borderId="0"/>
    <xf numFmtId="0" fontId="2" fillId="0" borderId="0"/>
    <xf numFmtId="0" fontId="2" fillId="0" borderId="0"/>
    <xf numFmtId="0" fontId="90" fillId="0" borderId="0"/>
    <xf numFmtId="0" fontId="90" fillId="0" borderId="0"/>
    <xf numFmtId="0" fontId="90" fillId="0" borderId="0"/>
    <xf numFmtId="0" fontId="2" fillId="0" borderId="0"/>
    <xf numFmtId="0" fontId="2" fillId="0" borderId="0"/>
    <xf numFmtId="0" fontId="90" fillId="0" borderId="0"/>
    <xf numFmtId="0" fontId="2" fillId="0" borderId="0"/>
    <xf numFmtId="0" fontId="2" fillId="0" borderId="0"/>
    <xf numFmtId="0" fontId="90" fillId="0" borderId="0"/>
    <xf numFmtId="0" fontId="90" fillId="0" borderId="0"/>
    <xf numFmtId="0" fontId="2" fillId="0" borderId="0"/>
    <xf numFmtId="0" fontId="2" fillId="0" borderId="0"/>
    <xf numFmtId="0" fontId="90" fillId="0" borderId="0"/>
    <xf numFmtId="0" fontId="90" fillId="0" borderId="0"/>
    <xf numFmtId="0" fontId="2" fillId="0" borderId="0"/>
    <xf numFmtId="0" fontId="2" fillId="0" borderId="0"/>
    <xf numFmtId="0" fontId="90" fillId="0" borderId="0"/>
    <xf numFmtId="0" fontId="2" fillId="0" borderId="0"/>
    <xf numFmtId="0" fontId="2" fillId="0" borderId="0"/>
    <xf numFmtId="0" fontId="90" fillId="0" borderId="0"/>
    <xf numFmtId="0" fontId="90" fillId="0" borderId="0"/>
    <xf numFmtId="0" fontId="90" fillId="0" borderId="0"/>
    <xf numFmtId="0" fontId="90" fillId="0" borderId="0"/>
    <xf numFmtId="0" fontId="2" fillId="0" borderId="0"/>
    <xf numFmtId="0" fontId="2" fillId="0" borderId="0"/>
    <xf numFmtId="0" fontId="90" fillId="0" borderId="0"/>
    <xf numFmtId="0" fontId="2" fillId="0" borderId="0"/>
    <xf numFmtId="0" fontId="2" fillId="0" borderId="0"/>
    <xf numFmtId="0" fontId="90" fillId="0" borderId="0"/>
    <xf numFmtId="0" fontId="90" fillId="0" borderId="0"/>
    <xf numFmtId="0" fontId="2" fillId="0" borderId="0"/>
    <xf numFmtId="0" fontId="2" fillId="0" borderId="0"/>
    <xf numFmtId="0" fontId="90" fillId="0" borderId="0"/>
    <xf numFmtId="0" fontId="2" fillId="0" borderId="0"/>
    <xf numFmtId="0" fontId="2" fillId="0" borderId="0"/>
    <xf numFmtId="0" fontId="90" fillId="0" borderId="0"/>
    <xf numFmtId="0" fontId="90" fillId="0" borderId="0"/>
    <xf numFmtId="0" fontId="90" fillId="0" borderId="0"/>
    <xf numFmtId="0" fontId="2" fillId="0" borderId="0"/>
    <xf numFmtId="0" fontId="2" fillId="0" borderId="0"/>
    <xf numFmtId="0" fontId="90" fillId="0" borderId="0"/>
    <xf numFmtId="0" fontId="2" fillId="0" borderId="0"/>
    <xf numFmtId="0" fontId="2" fillId="0" borderId="0"/>
    <xf numFmtId="0" fontId="90" fillId="0" borderId="0"/>
    <xf numFmtId="0" fontId="90" fillId="0" borderId="0"/>
    <xf numFmtId="0" fontId="2" fillId="0" borderId="0"/>
    <xf numFmtId="0" fontId="2" fillId="0" borderId="0"/>
    <xf numFmtId="0" fontId="25" fillId="0" borderId="0"/>
    <xf numFmtId="0" fontId="25" fillId="0" borderId="0"/>
    <xf numFmtId="0" fontId="90" fillId="0" borderId="0"/>
    <xf numFmtId="0" fontId="2" fillId="0" borderId="0"/>
    <xf numFmtId="0" fontId="90" fillId="0" borderId="0"/>
    <xf numFmtId="0" fontId="2" fillId="0" borderId="0"/>
    <xf numFmtId="0" fontId="25" fillId="0" borderId="0"/>
    <xf numFmtId="0" fontId="90" fillId="0" borderId="0"/>
    <xf numFmtId="0" fontId="90" fillId="0" borderId="0"/>
    <xf numFmtId="0" fontId="90" fillId="0" borderId="0"/>
    <xf numFmtId="0" fontId="2" fillId="0" borderId="0"/>
    <xf numFmtId="0" fontId="2" fillId="0" borderId="0"/>
    <xf numFmtId="0" fontId="90" fillId="0" borderId="0"/>
    <xf numFmtId="0" fontId="2" fillId="0" borderId="0"/>
    <xf numFmtId="0" fontId="2" fillId="0" borderId="0"/>
    <xf numFmtId="0" fontId="90" fillId="0" borderId="0"/>
    <xf numFmtId="0" fontId="90" fillId="0" borderId="0"/>
    <xf numFmtId="0" fontId="90" fillId="0" borderId="0"/>
    <xf numFmtId="0" fontId="90" fillId="0" borderId="0"/>
    <xf numFmtId="0" fontId="90" fillId="0" borderId="0"/>
    <xf numFmtId="0" fontId="2" fillId="0" borderId="0"/>
    <xf numFmtId="0" fontId="2" fillId="0" borderId="0"/>
    <xf numFmtId="0" fontId="90" fillId="0" borderId="0"/>
    <xf numFmtId="0" fontId="2" fillId="0" borderId="0"/>
    <xf numFmtId="0" fontId="2" fillId="0" borderId="0"/>
    <xf numFmtId="0" fontId="90" fillId="0" borderId="0"/>
    <xf numFmtId="0" fontId="90" fillId="0" borderId="0"/>
    <xf numFmtId="0" fontId="2" fillId="0" borderId="0"/>
    <xf numFmtId="0" fontId="2" fillId="0" borderId="0"/>
    <xf numFmtId="0" fontId="90" fillId="0" borderId="0"/>
    <xf numFmtId="0" fontId="2" fillId="0" borderId="0"/>
    <xf numFmtId="0" fontId="2" fillId="0" borderId="0"/>
    <xf numFmtId="0" fontId="90" fillId="0" borderId="0"/>
    <xf numFmtId="0" fontId="90" fillId="0" borderId="0"/>
    <xf numFmtId="0" fontId="90" fillId="0" borderId="0"/>
    <xf numFmtId="0" fontId="2" fillId="0" borderId="0"/>
    <xf numFmtId="0" fontId="2" fillId="0" borderId="0"/>
    <xf numFmtId="0" fontId="90" fillId="0" borderId="0"/>
    <xf numFmtId="0" fontId="2" fillId="0" borderId="0"/>
    <xf numFmtId="0" fontId="2" fillId="0" borderId="0"/>
    <xf numFmtId="0" fontId="90" fillId="0" borderId="0"/>
    <xf numFmtId="0" fontId="90" fillId="0" borderId="0"/>
    <xf numFmtId="0" fontId="2" fillId="0" borderId="0"/>
    <xf numFmtId="0" fontId="2" fillId="0" borderId="0"/>
    <xf numFmtId="0" fontId="90" fillId="0" borderId="0"/>
    <xf numFmtId="0" fontId="90" fillId="0" borderId="0"/>
    <xf numFmtId="0" fontId="2" fillId="0" borderId="0"/>
    <xf numFmtId="0" fontId="2" fillId="0" borderId="0"/>
    <xf numFmtId="0" fontId="90" fillId="0" borderId="0"/>
    <xf numFmtId="0" fontId="2" fillId="0" borderId="0"/>
    <xf numFmtId="0" fontId="2" fillId="0" borderId="0"/>
    <xf numFmtId="0" fontId="90" fillId="0" borderId="0"/>
    <xf numFmtId="0" fontId="90" fillId="0" borderId="0"/>
    <xf numFmtId="0" fontId="90" fillId="0" borderId="0"/>
    <xf numFmtId="0" fontId="90" fillId="0" borderId="0"/>
    <xf numFmtId="0" fontId="90" fillId="0" borderId="0"/>
    <xf numFmtId="0" fontId="2" fillId="0" borderId="0"/>
    <xf numFmtId="0" fontId="2" fillId="0" borderId="0"/>
    <xf numFmtId="0" fontId="90" fillId="0" borderId="0"/>
    <xf numFmtId="0" fontId="2" fillId="0" borderId="0"/>
    <xf numFmtId="0" fontId="2" fillId="0" borderId="0"/>
    <xf numFmtId="0" fontId="90" fillId="0" borderId="0"/>
    <xf numFmtId="0" fontId="90" fillId="0" borderId="0"/>
    <xf numFmtId="0" fontId="2" fillId="0" borderId="0"/>
    <xf numFmtId="0" fontId="2" fillId="0" borderId="0"/>
    <xf numFmtId="0" fontId="90" fillId="0" borderId="0"/>
    <xf numFmtId="0" fontId="2" fillId="0" borderId="0"/>
    <xf numFmtId="0" fontId="2" fillId="0" borderId="0"/>
    <xf numFmtId="0" fontId="90" fillId="0" borderId="0"/>
    <xf numFmtId="0" fontId="90" fillId="0" borderId="0"/>
    <xf numFmtId="0" fontId="90" fillId="0" borderId="0"/>
    <xf numFmtId="0" fontId="2" fillId="0" borderId="0"/>
    <xf numFmtId="0" fontId="2" fillId="0" borderId="0"/>
    <xf numFmtId="0" fontId="90" fillId="0" borderId="0"/>
    <xf numFmtId="0" fontId="2" fillId="0" borderId="0"/>
    <xf numFmtId="0" fontId="2" fillId="0" borderId="0"/>
    <xf numFmtId="0" fontId="90" fillId="0" borderId="0"/>
    <xf numFmtId="0" fontId="90" fillId="0" borderId="0"/>
    <xf numFmtId="0" fontId="2" fillId="0" borderId="0"/>
    <xf numFmtId="0" fontId="2" fillId="0" borderId="0"/>
    <xf numFmtId="0" fontId="90" fillId="0" borderId="0"/>
    <xf numFmtId="0" fontId="2" fillId="0" borderId="0"/>
    <xf numFmtId="0" fontId="2" fillId="0" borderId="0"/>
    <xf numFmtId="0" fontId="90" fillId="0" borderId="0"/>
    <xf numFmtId="0" fontId="90" fillId="0" borderId="0"/>
    <xf numFmtId="0" fontId="90" fillId="0" borderId="0"/>
    <xf numFmtId="0" fontId="90" fillId="0" borderId="0"/>
    <xf numFmtId="0" fontId="2" fillId="0" borderId="0"/>
    <xf numFmtId="0" fontId="2" fillId="0" borderId="0"/>
    <xf numFmtId="0" fontId="90" fillId="0" borderId="0"/>
    <xf numFmtId="0" fontId="2" fillId="0" borderId="0"/>
    <xf numFmtId="0" fontId="2" fillId="0" borderId="0"/>
    <xf numFmtId="0" fontId="90" fillId="0" borderId="0"/>
    <xf numFmtId="0" fontId="90" fillId="0" borderId="0"/>
    <xf numFmtId="0" fontId="2" fillId="0" borderId="0"/>
    <xf numFmtId="0" fontId="2" fillId="0" borderId="0"/>
    <xf numFmtId="0" fontId="90" fillId="0" borderId="0"/>
    <xf numFmtId="0" fontId="2" fillId="0" borderId="0"/>
    <xf numFmtId="0" fontId="2" fillId="0" borderId="0"/>
    <xf numFmtId="0" fontId="90" fillId="0" borderId="0"/>
    <xf numFmtId="0" fontId="90" fillId="0" borderId="0"/>
    <xf numFmtId="0" fontId="90" fillId="0" borderId="0"/>
    <xf numFmtId="0" fontId="2" fillId="0" borderId="0"/>
    <xf numFmtId="0" fontId="2" fillId="0" borderId="0"/>
    <xf numFmtId="0" fontId="90" fillId="0" borderId="0"/>
    <xf numFmtId="0" fontId="2" fillId="0" borderId="0"/>
    <xf numFmtId="0" fontId="2" fillId="0" borderId="0"/>
    <xf numFmtId="0" fontId="90" fillId="0" borderId="0"/>
    <xf numFmtId="0" fontId="90" fillId="0" borderId="0"/>
    <xf numFmtId="0" fontId="2" fillId="0" borderId="0"/>
    <xf numFmtId="0" fontId="2" fillId="0" borderId="0"/>
    <xf numFmtId="0" fontId="90" fillId="0" borderId="0"/>
    <xf numFmtId="0" fontId="90" fillId="0" borderId="0"/>
    <xf numFmtId="0" fontId="2" fillId="0" borderId="0"/>
    <xf numFmtId="0" fontId="2" fillId="0" borderId="0"/>
    <xf numFmtId="0" fontId="90" fillId="0" borderId="0"/>
    <xf numFmtId="0" fontId="90" fillId="0" borderId="0"/>
    <xf numFmtId="0" fontId="2" fillId="0" borderId="0"/>
    <xf numFmtId="0" fontId="2" fillId="0" borderId="0"/>
    <xf numFmtId="0" fontId="90" fillId="0" borderId="0"/>
    <xf numFmtId="0" fontId="90" fillId="0" borderId="0"/>
    <xf numFmtId="0" fontId="2" fillId="0" borderId="0"/>
    <xf numFmtId="0" fontId="2" fillId="0" borderId="0"/>
    <xf numFmtId="0" fontId="25" fillId="0" borderId="0"/>
    <xf numFmtId="0" fontId="90" fillId="0" borderId="0"/>
    <xf numFmtId="0" fontId="90" fillId="0" borderId="0"/>
    <xf numFmtId="0" fontId="90" fillId="0" borderId="0"/>
    <xf numFmtId="0" fontId="90" fillId="0" borderId="0"/>
    <xf numFmtId="0" fontId="90" fillId="0" borderId="0"/>
    <xf numFmtId="0" fontId="2" fillId="0" borderId="0"/>
    <xf numFmtId="0" fontId="2" fillId="0" borderId="0"/>
    <xf numFmtId="0" fontId="90" fillId="0" borderId="0"/>
    <xf numFmtId="0" fontId="2" fillId="0" borderId="0"/>
    <xf numFmtId="0" fontId="2" fillId="0" borderId="0"/>
    <xf numFmtId="0" fontId="90" fillId="0" borderId="0"/>
    <xf numFmtId="0" fontId="90" fillId="0" borderId="0"/>
    <xf numFmtId="0" fontId="2" fillId="0" borderId="0"/>
    <xf numFmtId="0" fontId="2" fillId="0" borderId="0"/>
    <xf numFmtId="0" fontId="90" fillId="0" borderId="0"/>
    <xf numFmtId="0" fontId="2" fillId="0" borderId="0"/>
    <xf numFmtId="0" fontId="2" fillId="0" borderId="0"/>
    <xf numFmtId="0" fontId="90" fillId="0" borderId="0"/>
    <xf numFmtId="0" fontId="90" fillId="0" borderId="0"/>
    <xf numFmtId="0" fontId="90" fillId="0" borderId="0"/>
    <xf numFmtId="0" fontId="2" fillId="0" borderId="0"/>
    <xf numFmtId="0" fontId="2" fillId="0" borderId="0"/>
    <xf numFmtId="0" fontId="90" fillId="0" borderId="0"/>
    <xf numFmtId="0" fontId="2" fillId="0" borderId="0"/>
    <xf numFmtId="0" fontId="2" fillId="0" borderId="0"/>
    <xf numFmtId="0" fontId="90" fillId="0" borderId="0"/>
    <xf numFmtId="0" fontId="90" fillId="0" borderId="0"/>
    <xf numFmtId="0" fontId="2" fillId="0" borderId="0"/>
    <xf numFmtId="0" fontId="2" fillId="0" borderId="0"/>
    <xf numFmtId="0" fontId="90" fillId="0" borderId="0"/>
    <xf numFmtId="0" fontId="90" fillId="0" borderId="0"/>
    <xf numFmtId="0" fontId="2" fillId="0" borderId="0"/>
    <xf numFmtId="0" fontId="2" fillId="0" borderId="0"/>
    <xf numFmtId="0" fontId="90" fillId="0" borderId="0"/>
    <xf numFmtId="0" fontId="2" fillId="0" borderId="0"/>
    <xf numFmtId="0" fontId="2" fillId="0" borderId="0"/>
    <xf numFmtId="0" fontId="90" fillId="0" borderId="0"/>
    <xf numFmtId="0" fontId="90" fillId="0" borderId="0"/>
    <xf numFmtId="0" fontId="90" fillId="0" borderId="0"/>
    <xf numFmtId="0" fontId="90" fillId="0" borderId="0"/>
    <xf numFmtId="0" fontId="2" fillId="0" borderId="0"/>
    <xf numFmtId="0" fontId="2" fillId="0" borderId="0"/>
    <xf numFmtId="0" fontId="90" fillId="0" borderId="0"/>
    <xf numFmtId="0" fontId="2" fillId="0" borderId="0"/>
    <xf numFmtId="0" fontId="2" fillId="0" borderId="0"/>
    <xf numFmtId="0" fontId="90" fillId="0" borderId="0"/>
    <xf numFmtId="0" fontId="90" fillId="0" borderId="0"/>
    <xf numFmtId="0" fontId="2" fillId="0" borderId="0"/>
    <xf numFmtId="0" fontId="2" fillId="0" borderId="0"/>
    <xf numFmtId="0" fontId="90" fillId="0" borderId="0"/>
    <xf numFmtId="0" fontId="2" fillId="0" borderId="0"/>
    <xf numFmtId="0" fontId="2" fillId="0" borderId="0"/>
    <xf numFmtId="0" fontId="90" fillId="0" borderId="0"/>
    <xf numFmtId="0" fontId="90" fillId="0" borderId="0"/>
    <xf numFmtId="0" fontId="90" fillId="0" borderId="0"/>
    <xf numFmtId="0" fontId="2" fillId="0" borderId="0"/>
    <xf numFmtId="0" fontId="2" fillId="0" borderId="0"/>
    <xf numFmtId="0" fontId="90" fillId="0" borderId="0"/>
    <xf numFmtId="0" fontId="2" fillId="0" borderId="0"/>
    <xf numFmtId="0" fontId="2" fillId="0" borderId="0"/>
    <xf numFmtId="0" fontId="90" fillId="0" borderId="0"/>
    <xf numFmtId="0" fontId="90" fillId="0" borderId="0"/>
    <xf numFmtId="0" fontId="2" fillId="0" borderId="0"/>
    <xf numFmtId="0" fontId="2" fillId="0" borderId="0"/>
    <xf numFmtId="0" fontId="25" fillId="0" borderId="0"/>
    <xf numFmtId="0" fontId="25" fillId="0" borderId="0"/>
    <xf numFmtId="0" fontId="90" fillId="0" borderId="0"/>
    <xf numFmtId="0" fontId="2" fillId="0" borderId="0"/>
    <xf numFmtId="0" fontId="90" fillId="0" borderId="0"/>
    <xf numFmtId="0" fontId="2"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90" fillId="0" borderId="0"/>
    <xf numFmtId="0" fontId="90" fillId="0" borderId="0"/>
    <xf numFmtId="0" fontId="2" fillId="0" borderId="0"/>
    <xf numFmtId="0" fontId="2" fillId="0" borderId="0"/>
    <xf numFmtId="4" fontId="6" fillId="0" borderId="0">
      <alignment horizontal="right" vertical="center"/>
    </xf>
    <xf numFmtId="4" fontId="6" fillId="0" borderId="0">
      <alignment horizontal="right" vertical="center"/>
    </xf>
    <xf numFmtId="4" fontId="6" fillId="0" borderId="0">
      <alignment horizontal="right" vertical="center"/>
    </xf>
    <xf numFmtId="4" fontId="6" fillId="0" borderId="0">
      <alignment horizontal="right" vertical="center"/>
    </xf>
    <xf numFmtId="4" fontId="6" fillId="0" borderId="0">
      <alignment horizontal="right" vertical="center"/>
    </xf>
    <xf numFmtId="4" fontId="6" fillId="0" borderId="0">
      <alignment horizontal="right" vertical="center"/>
    </xf>
    <xf numFmtId="4" fontId="6" fillId="0" borderId="0">
      <alignment horizontal="right" vertical="center"/>
    </xf>
    <xf numFmtId="4" fontId="6" fillId="0" borderId="0">
      <alignment horizontal="right" vertical="center"/>
    </xf>
    <xf numFmtId="4" fontId="6" fillId="0" borderId="0">
      <alignment horizontal="right" vertical="center"/>
    </xf>
    <xf numFmtId="4" fontId="6" fillId="0" borderId="0">
      <alignment horizontal="right" vertical="center"/>
    </xf>
    <xf numFmtId="4" fontId="6" fillId="0" borderId="0">
      <alignment horizontal="right" vertical="center"/>
    </xf>
    <xf numFmtId="4" fontId="6" fillId="0" borderId="0">
      <alignment horizontal="right" vertical="center"/>
    </xf>
    <xf numFmtId="4" fontId="6" fillId="0" borderId="0">
      <alignment horizontal="right" vertical="center"/>
    </xf>
    <xf numFmtId="4" fontId="6" fillId="0" borderId="0">
      <alignment horizontal="right" vertical="center"/>
    </xf>
    <xf numFmtId="4" fontId="6" fillId="0" borderId="0">
      <alignment horizontal="right" vertical="center"/>
    </xf>
    <xf numFmtId="4" fontId="6" fillId="0" borderId="0">
      <alignment horizontal="right" vertical="center"/>
    </xf>
    <xf numFmtId="4" fontId="6" fillId="0" borderId="0">
      <alignment horizontal="right" vertical="center"/>
    </xf>
    <xf numFmtId="4" fontId="6" fillId="0" borderId="0">
      <alignment horizontal="right" vertical="center"/>
    </xf>
    <xf numFmtId="4" fontId="6" fillId="0" borderId="0">
      <alignment horizontal="right" vertical="center"/>
    </xf>
    <xf numFmtId="4" fontId="6" fillId="0" borderId="0">
      <alignment horizontal="right" vertical="center"/>
    </xf>
    <xf numFmtId="4" fontId="6" fillId="0" borderId="0">
      <alignment horizontal="right" vertical="center"/>
    </xf>
    <xf numFmtId="4" fontId="6" fillId="0" borderId="0">
      <alignment horizontal="right" vertical="center"/>
    </xf>
    <xf numFmtId="4" fontId="6" fillId="0" borderId="0">
      <alignment horizontal="right" vertical="center"/>
    </xf>
    <xf numFmtId="4" fontId="6" fillId="0" borderId="0">
      <alignment horizontal="right" vertical="center"/>
    </xf>
    <xf numFmtId="4" fontId="6" fillId="0" borderId="0">
      <alignment horizontal="right" vertical="center"/>
    </xf>
    <xf numFmtId="4" fontId="6" fillId="0" borderId="0">
      <alignment horizontal="right" vertical="center"/>
    </xf>
    <xf numFmtId="4" fontId="6" fillId="0" borderId="0">
      <alignment horizontal="right" vertical="center"/>
    </xf>
    <xf numFmtId="4" fontId="6" fillId="0" borderId="0">
      <alignment horizontal="right" vertical="center"/>
    </xf>
    <xf numFmtId="4" fontId="6" fillId="0" borderId="0">
      <alignment horizontal="right" vertical="center"/>
    </xf>
    <xf numFmtId="4" fontId="6" fillId="0" borderId="0">
      <alignment horizontal="right" vertical="center"/>
    </xf>
    <xf numFmtId="0" fontId="11" fillId="0" borderId="0">
      <alignment horizontal="left" vertical="center"/>
    </xf>
    <xf numFmtId="0" fontId="11" fillId="0" borderId="0">
      <alignment horizontal="left" vertical="center"/>
    </xf>
    <xf numFmtId="0" fontId="11" fillId="0" borderId="0">
      <alignment horizontal="left" vertical="center"/>
    </xf>
    <xf numFmtId="0" fontId="11" fillId="0" borderId="0">
      <alignment horizontal="left" vertical="center"/>
    </xf>
    <xf numFmtId="0" fontId="11" fillId="0" borderId="0">
      <alignment horizontal="left" vertical="center"/>
    </xf>
    <xf numFmtId="0" fontId="11" fillId="0" borderId="0">
      <alignment horizontal="left" vertical="center"/>
    </xf>
    <xf numFmtId="0" fontId="11" fillId="0" borderId="0">
      <alignment horizontal="left" vertical="center"/>
    </xf>
    <xf numFmtId="0" fontId="11" fillId="0" borderId="0">
      <alignment horizontal="left" vertical="center"/>
    </xf>
    <xf numFmtId="0" fontId="11" fillId="0" borderId="0">
      <alignment horizontal="left" vertical="center"/>
    </xf>
    <xf numFmtId="0" fontId="11" fillId="0" borderId="0">
      <alignment horizontal="left" vertical="center"/>
    </xf>
    <xf numFmtId="0" fontId="11" fillId="0" borderId="0">
      <alignment horizontal="left" vertical="center"/>
    </xf>
    <xf numFmtId="0" fontId="11" fillId="0" borderId="0">
      <alignment horizontal="left" vertical="center"/>
    </xf>
    <xf numFmtId="0" fontId="11" fillId="0" borderId="0">
      <alignment horizontal="left" vertical="center"/>
    </xf>
    <xf numFmtId="0" fontId="11" fillId="0" borderId="0">
      <alignment horizontal="left" vertical="center"/>
    </xf>
    <xf numFmtId="0" fontId="11" fillId="0" borderId="0">
      <alignment horizontal="left" vertical="center"/>
    </xf>
    <xf numFmtId="0" fontId="11" fillId="0" borderId="0">
      <alignment horizontal="left" vertical="center"/>
    </xf>
    <xf numFmtId="0" fontId="11" fillId="0" borderId="0">
      <alignment horizontal="left" vertical="center"/>
    </xf>
    <xf numFmtId="0" fontId="11" fillId="0" borderId="0">
      <alignment horizontal="left" vertical="center"/>
    </xf>
    <xf numFmtId="0" fontId="11" fillId="0" borderId="0">
      <alignment horizontal="left" vertical="center"/>
    </xf>
    <xf numFmtId="0" fontId="11" fillId="0" borderId="0">
      <alignment horizontal="left" vertical="center"/>
    </xf>
    <xf numFmtId="0" fontId="11" fillId="0" borderId="0">
      <alignment horizontal="left" vertical="center"/>
    </xf>
    <xf numFmtId="0" fontId="11" fillId="0" borderId="0">
      <alignment horizontal="left" vertical="center"/>
    </xf>
    <xf numFmtId="0" fontId="11" fillId="0" borderId="0">
      <alignment horizontal="left" vertical="center"/>
    </xf>
    <xf numFmtId="0" fontId="11" fillId="0" borderId="0">
      <alignment horizontal="left" vertical="center"/>
    </xf>
    <xf numFmtId="0" fontId="11" fillId="0" borderId="0">
      <alignment horizontal="left" vertical="center"/>
    </xf>
    <xf numFmtId="0" fontId="11" fillId="0" borderId="0">
      <alignment horizontal="left" vertical="center"/>
    </xf>
    <xf numFmtId="0" fontId="11" fillId="0" borderId="0">
      <alignment horizontal="left" vertical="center"/>
    </xf>
    <xf numFmtId="0" fontId="11" fillId="0" borderId="0">
      <alignment horizontal="left" vertical="center"/>
    </xf>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90" fillId="28" borderId="0"/>
    <xf numFmtId="0" fontId="90" fillId="28" borderId="0"/>
    <xf numFmtId="0" fontId="90" fillId="28" borderId="0"/>
    <xf numFmtId="0" fontId="2" fillId="3" borderId="0"/>
    <xf numFmtId="0" fontId="90" fillId="28" borderId="0"/>
    <xf numFmtId="0" fontId="2" fillId="3" borderId="0"/>
    <xf numFmtId="0" fontId="90" fillId="28" borderId="0"/>
    <xf numFmtId="0" fontId="2" fillId="3" borderId="0"/>
    <xf numFmtId="0" fontId="90" fillId="28" borderId="0"/>
    <xf numFmtId="0" fontId="2" fillId="3" borderId="0"/>
    <xf numFmtId="0" fontId="2" fillId="3" borderId="0"/>
    <xf numFmtId="0" fontId="90" fillId="28" borderId="0"/>
    <xf numFmtId="0" fontId="90" fillId="28" borderId="0"/>
    <xf numFmtId="0" fontId="2" fillId="3" borderId="0"/>
    <xf numFmtId="0" fontId="2" fillId="3" borderId="0"/>
    <xf numFmtId="0" fontId="90" fillId="26" borderId="0"/>
    <xf numFmtId="0" fontId="90" fillId="26" borderId="0"/>
    <xf numFmtId="0" fontId="2" fillId="3" borderId="0"/>
    <xf numFmtId="0" fontId="2" fillId="3" borderId="0"/>
    <xf numFmtId="0" fontId="2" fillId="3" borderId="0"/>
    <xf numFmtId="0" fontId="14" fillId="0" borderId="0"/>
    <xf numFmtId="4" fontId="25" fillId="0" borderId="0"/>
    <xf numFmtId="0" fontId="90" fillId="0" borderId="0"/>
    <xf numFmtId="0" fontId="90" fillId="0" borderId="0"/>
    <xf numFmtId="0" fontId="56" fillId="31" borderId="8"/>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1" fillId="0" borderId="0"/>
    <xf numFmtId="9" fontId="1" fillId="0" borderId="0" applyFont="0" applyFill="0" applyBorder="0" applyAlignment="0" applyProtection="0"/>
  </cellStyleXfs>
  <cellXfs count="730">
    <xf numFmtId="0" fontId="0" fillId="0" borderId="0" xfId="0"/>
    <xf numFmtId="0" fontId="0" fillId="0" borderId="0" xfId="1535" applyFont="1"/>
    <xf numFmtId="0" fontId="26" fillId="33" borderId="0" xfId="1125" applyFont="1" applyFill="1" applyAlignment="1">
      <alignment horizontal="center"/>
    </xf>
    <xf numFmtId="166" fontId="0" fillId="0" borderId="0" xfId="1535" applyNumberFormat="1" applyFont="1"/>
    <xf numFmtId="0" fontId="0" fillId="0" borderId="23" xfId="1535" applyFont="1" applyBorder="1"/>
    <xf numFmtId="0" fontId="0" fillId="0" borderId="24" xfId="1535" applyFont="1" applyBorder="1"/>
    <xf numFmtId="0" fontId="0" fillId="0" borderId="25" xfId="1535" applyFont="1" applyBorder="1"/>
    <xf numFmtId="0" fontId="57" fillId="0" borderId="26" xfId="1125" applyFont="1" applyBorder="1"/>
    <xf numFmtId="167" fontId="0" fillId="0" borderId="24" xfId="1535" applyNumberFormat="1" applyFont="1" applyBorder="1"/>
    <xf numFmtId="167" fontId="0" fillId="0" borderId="25" xfId="1535" applyNumberFormat="1" applyFont="1" applyBorder="1"/>
    <xf numFmtId="0" fontId="25" fillId="3" borderId="26" xfId="1136" applyFont="1" applyFill="1" applyBorder="1"/>
    <xf numFmtId="0" fontId="2" fillId="3" borderId="23" xfId="1124" applyFont="1" applyFill="1" applyBorder="1"/>
    <xf numFmtId="0" fontId="2" fillId="3" borderId="24" xfId="1124" applyFont="1" applyFill="1" applyBorder="1"/>
    <xf numFmtId="167" fontId="2" fillId="0" borderId="24" xfId="1535" applyNumberFormat="1" applyFont="1" applyBorder="1"/>
    <xf numFmtId="167" fontId="2" fillId="0" borderId="25" xfId="1535" applyNumberFormat="1" applyFont="1" applyBorder="1"/>
    <xf numFmtId="2" fontId="0" fillId="0" borderId="23" xfId="1535" applyNumberFormat="1" applyFont="1" applyBorder="1"/>
    <xf numFmtId="2" fontId="0" fillId="0" borderId="24" xfId="1535" applyNumberFormat="1" applyFont="1" applyBorder="1"/>
    <xf numFmtId="0" fontId="0" fillId="0" borderId="27" xfId="1535" applyFont="1" applyBorder="1"/>
    <xf numFmtId="167" fontId="0" fillId="0" borderId="28" xfId="1535" applyNumberFormat="1" applyFont="1" applyBorder="1"/>
    <xf numFmtId="167" fontId="0" fillId="0" borderId="29" xfId="1535" applyNumberFormat="1" applyFont="1" applyBorder="1"/>
    <xf numFmtId="168" fontId="0" fillId="0" borderId="0" xfId="1535" applyNumberFormat="1" applyFont="1"/>
    <xf numFmtId="169" fontId="0" fillId="0" borderId="0" xfId="1535" applyNumberFormat="1" applyFont="1"/>
    <xf numFmtId="170" fontId="0" fillId="0" borderId="0" xfId="1535" applyNumberFormat="1" applyFont="1"/>
    <xf numFmtId="0" fontId="0" fillId="0" borderId="26" xfId="1125" applyFont="1" applyBorder="1"/>
    <xf numFmtId="171" fontId="0" fillId="0" borderId="23" xfId="1535" applyNumberFormat="1" applyFont="1" applyBorder="1"/>
    <xf numFmtId="171" fontId="0" fillId="0" borderId="24" xfId="1535" applyNumberFormat="1" applyFont="1" applyBorder="1"/>
    <xf numFmtId="0" fontId="0" fillId="0" borderId="30" xfId="1535" applyFont="1" applyBorder="1"/>
    <xf numFmtId="167" fontId="0" fillId="0" borderId="23" xfId="1535" applyNumberFormat="1" applyFont="1" applyBorder="1"/>
    <xf numFmtId="0" fontId="2" fillId="0" borderId="26" xfId="1125" applyFont="1" applyBorder="1"/>
    <xf numFmtId="171" fontId="0" fillId="0" borderId="27" xfId="1535" applyNumberFormat="1" applyFont="1" applyBorder="1"/>
    <xf numFmtId="171" fontId="0" fillId="0" borderId="28" xfId="1535" applyNumberFormat="1" applyFont="1" applyBorder="1"/>
    <xf numFmtId="0" fontId="58" fillId="0" borderId="0" xfId="1535" applyFont="1"/>
    <xf numFmtId="167" fontId="58" fillId="0" borderId="0" xfId="1535" applyNumberFormat="1" applyFont="1"/>
    <xf numFmtId="0" fontId="0" fillId="0" borderId="31" xfId="1535" applyFont="1" applyBorder="1" applyAlignment="1">
      <alignment horizontal="center" vertical="center"/>
    </xf>
    <xf numFmtId="0" fontId="0" fillId="0" borderId="30" xfId="1535" applyFont="1" applyBorder="1" applyAlignment="1">
      <alignment horizontal="center" vertical="center"/>
    </xf>
    <xf numFmtId="0" fontId="0" fillId="0" borderId="32" xfId="1535" applyFont="1" applyBorder="1" applyAlignment="1">
      <alignment horizontal="center" vertical="center"/>
    </xf>
    <xf numFmtId="0" fontId="0" fillId="0" borderId="24" xfId="1125" applyFont="1" applyBorder="1"/>
    <xf numFmtId="0" fontId="2" fillId="0" borderId="24" xfId="1125" applyFont="1" applyBorder="1"/>
    <xf numFmtId="0" fontId="0" fillId="0" borderId="0" xfId="1540" applyFont="1"/>
    <xf numFmtId="0" fontId="57" fillId="0" borderId="1" xfId="1125" applyFont="1" applyBorder="1"/>
    <xf numFmtId="0" fontId="2" fillId="0" borderId="24" xfId="1535" applyFont="1" applyBorder="1"/>
    <xf numFmtId="0" fontId="0" fillId="0" borderId="33" xfId="1535" applyFont="1" applyBorder="1"/>
    <xf numFmtId="168" fontId="0" fillId="0" borderId="24" xfId="1535" applyNumberFormat="1" applyFont="1" applyBorder="1"/>
    <xf numFmtId="0" fontId="53" fillId="0" borderId="0" xfId="1535" applyFont="1"/>
    <xf numFmtId="0" fontId="25" fillId="3" borderId="1" xfId="1136" applyFont="1" applyFill="1" applyBorder="1"/>
    <xf numFmtId="0" fontId="59" fillId="3" borderId="1" xfId="1136" applyFont="1" applyFill="1" applyBorder="1"/>
    <xf numFmtId="2" fontId="60" fillId="3" borderId="24" xfId="1124" applyNumberFormat="1" applyFont="1" applyFill="1" applyBorder="1"/>
    <xf numFmtId="0" fontId="61" fillId="0" borderId="0" xfId="1535" applyFont="1"/>
    <xf numFmtId="0" fontId="60" fillId="3" borderId="24" xfId="1124" applyFont="1" applyFill="1" applyBorder="1"/>
    <xf numFmtId="0" fontId="2" fillId="0" borderId="0" xfId="1535" applyFont="1"/>
    <xf numFmtId="0" fontId="59" fillId="0" borderId="34" xfId="1125" applyFont="1" applyBorder="1"/>
    <xf numFmtId="2" fontId="60" fillId="0" borderId="35" xfId="1535" applyNumberFormat="1" applyFont="1" applyBorder="1"/>
    <xf numFmtId="0" fontId="62" fillId="0" borderId="0" xfId="1540" applyFont="1"/>
    <xf numFmtId="0" fontId="26" fillId="0" borderId="0" xfId="1125" applyFont="1" applyAlignment="1">
      <alignment horizontal="center"/>
    </xf>
    <xf numFmtId="0" fontId="63" fillId="0" borderId="0" xfId="1540" applyFont="1"/>
    <xf numFmtId="0" fontId="0" fillId="0" borderId="1" xfId="1540" applyFont="1" applyBorder="1"/>
    <xf numFmtId="0" fontId="26" fillId="3" borderId="36" xfId="1540" applyFont="1" applyFill="1" applyBorder="1"/>
    <xf numFmtId="0" fontId="26" fillId="3" borderId="37" xfId="1540" applyFont="1" applyFill="1" applyBorder="1"/>
    <xf numFmtId="0" fontId="26" fillId="3" borderId="38" xfId="1540" applyFont="1" applyFill="1" applyBorder="1" applyAlignment="1">
      <alignment horizontal="center"/>
    </xf>
    <xf numFmtId="0" fontId="26" fillId="3" borderId="39" xfId="1540" applyFont="1" applyFill="1" applyBorder="1" applyAlignment="1">
      <alignment horizontal="center"/>
    </xf>
    <xf numFmtId="0" fontId="26" fillId="3" borderId="40" xfId="1540" applyFont="1" applyFill="1" applyBorder="1" applyAlignment="1">
      <alignment horizontal="center"/>
    </xf>
    <xf numFmtId="0" fontId="26" fillId="3" borderId="0" xfId="1540" applyFont="1" applyFill="1" applyAlignment="1">
      <alignment horizontal="center"/>
    </xf>
    <xf numFmtId="2" fontId="26" fillId="3" borderId="10" xfId="1540" applyNumberFormat="1" applyFont="1" applyFill="1" applyBorder="1"/>
    <xf numFmtId="2" fontId="26" fillId="3" borderId="41" xfId="1540" applyNumberFormat="1" applyFont="1" applyFill="1" applyBorder="1"/>
    <xf numFmtId="2" fontId="0" fillId="3" borderId="42" xfId="1540" applyNumberFormat="1" applyFont="1" applyFill="1" applyBorder="1" applyAlignment="1">
      <alignment horizontal="center"/>
    </xf>
    <xf numFmtId="2" fontId="0" fillId="3" borderId="1" xfId="1540" applyNumberFormat="1" applyFont="1" applyFill="1" applyBorder="1" applyAlignment="1">
      <alignment horizontal="center"/>
    </xf>
    <xf numFmtId="2" fontId="0" fillId="3" borderId="6" xfId="1540" applyNumberFormat="1" applyFont="1" applyFill="1" applyBorder="1" applyAlignment="1">
      <alignment horizontal="center"/>
    </xf>
    <xf numFmtId="2" fontId="26" fillId="3" borderId="43" xfId="1540" applyNumberFormat="1" applyFont="1" applyFill="1" applyBorder="1"/>
    <xf numFmtId="2" fontId="26" fillId="3" borderId="44" xfId="1540" applyNumberFormat="1" applyFont="1" applyFill="1" applyBorder="1"/>
    <xf numFmtId="2" fontId="0" fillId="3" borderId="45" xfId="1540" applyNumberFormat="1" applyFont="1" applyFill="1" applyBorder="1" applyAlignment="1">
      <alignment horizontal="center"/>
    </xf>
    <xf numFmtId="2" fontId="0" fillId="0" borderId="0" xfId="1540" applyNumberFormat="1" applyFont="1"/>
    <xf numFmtId="0" fontId="2" fillId="0" borderId="0" xfId="1540" applyFont="1"/>
    <xf numFmtId="0" fontId="0" fillId="3" borderId="46" xfId="1540" applyFont="1" applyFill="1" applyBorder="1"/>
    <xf numFmtId="0" fontId="0" fillId="3" borderId="47" xfId="1540" applyFont="1" applyFill="1" applyBorder="1"/>
    <xf numFmtId="0" fontId="0" fillId="3" borderId="48" xfId="1540" applyFont="1" applyFill="1" applyBorder="1"/>
    <xf numFmtId="0" fontId="0" fillId="3" borderId="21" xfId="1540" applyFont="1" applyFill="1" applyBorder="1"/>
    <xf numFmtId="0" fontId="0" fillId="3" borderId="0" xfId="1540" applyFont="1" applyFill="1"/>
    <xf numFmtId="0" fontId="0" fillId="3" borderId="49" xfId="1540" applyFont="1" applyFill="1" applyBorder="1"/>
    <xf numFmtId="0" fontId="0" fillId="3" borderId="1" xfId="1540" applyFont="1" applyFill="1" applyBorder="1"/>
    <xf numFmtId="0" fontId="0" fillId="0" borderId="26" xfId="1540" applyFont="1" applyBorder="1"/>
    <xf numFmtId="0" fontId="0" fillId="34" borderId="5" xfId="1540" applyFont="1" applyFill="1" applyBorder="1"/>
    <xf numFmtId="0" fontId="0" fillId="34" borderId="6" xfId="1540" applyFont="1" applyFill="1" applyBorder="1"/>
    <xf numFmtId="0" fontId="0" fillId="0" borderId="5" xfId="1540" applyFont="1" applyBorder="1"/>
    <xf numFmtId="0" fontId="0" fillId="0" borderId="6" xfId="1540" applyFont="1" applyBorder="1"/>
    <xf numFmtId="2" fontId="0" fillId="0" borderId="5" xfId="1540" applyNumberFormat="1" applyFont="1" applyBorder="1"/>
    <xf numFmtId="2" fontId="0" fillId="0" borderId="1" xfId="1540" applyNumberFormat="1" applyFont="1" applyBorder="1"/>
    <xf numFmtId="2" fontId="0" fillId="0" borderId="6" xfId="1540" applyNumberFormat="1" applyFont="1" applyBorder="1"/>
    <xf numFmtId="0" fontId="0" fillId="0" borderId="0" xfId="1540" applyFont="1" applyAlignment="1">
      <alignment vertical="center" wrapText="1"/>
    </xf>
    <xf numFmtId="172" fontId="54" fillId="3" borderId="1" xfId="2" applyNumberFormat="1" applyFill="1" applyBorder="1"/>
    <xf numFmtId="2" fontId="0" fillId="3" borderId="1" xfId="1540" applyNumberFormat="1" applyFont="1" applyFill="1" applyBorder="1"/>
    <xf numFmtId="166" fontId="54" fillId="3" borderId="1" xfId="2" applyFill="1" applyBorder="1"/>
    <xf numFmtId="0" fontId="0" fillId="34" borderId="4" xfId="1540" applyFont="1" applyFill="1" applyBorder="1"/>
    <xf numFmtId="0" fontId="0" fillId="34" borderId="51" xfId="1540" applyFont="1" applyFill="1" applyBorder="1"/>
    <xf numFmtId="2" fontId="0" fillId="0" borderId="4" xfId="1540" applyNumberFormat="1" applyFont="1" applyBorder="1"/>
    <xf numFmtId="2" fontId="0" fillId="0" borderId="3" xfId="1540" applyNumberFormat="1" applyFont="1" applyBorder="1"/>
    <xf numFmtId="2" fontId="0" fillId="0" borderId="51" xfId="1540" applyNumberFormat="1" applyFont="1" applyBorder="1"/>
    <xf numFmtId="0" fontId="0" fillId="0" borderId="52" xfId="1540" applyFont="1" applyBorder="1"/>
    <xf numFmtId="0" fontId="0" fillId="0" borderId="2" xfId="1540" applyFont="1" applyBorder="1"/>
    <xf numFmtId="0" fontId="0" fillId="0" borderId="53" xfId="1540" applyFont="1" applyBorder="1"/>
    <xf numFmtId="0" fontId="64" fillId="0" borderId="0" xfId="1540" applyFont="1"/>
    <xf numFmtId="0" fontId="0" fillId="3" borderId="54" xfId="1540" applyFont="1" applyFill="1" applyBorder="1"/>
    <xf numFmtId="0" fontId="0" fillId="3" borderId="12" xfId="1540" applyFont="1" applyFill="1" applyBorder="1"/>
    <xf numFmtId="0" fontId="0" fillId="3" borderId="55" xfId="1540" applyFont="1" applyFill="1" applyBorder="1"/>
    <xf numFmtId="0" fontId="0" fillId="0" borderId="24" xfId="1540" applyFont="1" applyBorder="1"/>
    <xf numFmtId="167" fontId="0" fillId="0" borderId="24" xfId="1540" applyNumberFormat="1" applyFont="1" applyBorder="1"/>
    <xf numFmtId="2" fontId="0" fillId="0" borderId="24" xfId="1540" applyNumberFormat="1" applyFont="1" applyBorder="1"/>
    <xf numFmtId="0" fontId="57" fillId="0" borderId="0" xfId="1125" applyFont="1"/>
    <xf numFmtId="167" fontId="0" fillId="0" borderId="0" xfId="1540" applyNumberFormat="1" applyFont="1"/>
    <xf numFmtId="0" fontId="25" fillId="0" borderId="1" xfId="1125" applyFont="1" applyBorder="1"/>
    <xf numFmtId="0" fontId="2" fillId="0" borderId="24" xfId="1540" applyFont="1" applyBorder="1"/>
    <xf numFmtId="167" fontId="2" fillId="0" borderId="24" xfId="1540" applyNumberFormat="1" applyFont="1" applyBorder="1"/>
    <xf numFmtId="0" fontId="0" fillId="0" borderId="1" xfId="1125" applyFont="1" applyBorder="1"/>
    <xf numFmtId="0" fontId="53" fillId="0" borderId="1" xfId="1125" applyFont="1" applyBorder="1"/>
    <xf numFmtId="0" fontId="65" fillId="0" borderId="56" xfId="1535" applyFont="1" applyBorder="1" applyAlignment="1">
      <alignment horizontal="center"/>
    </xf>
    <xf numFmtId="0" fontId="65" fillId="0" borderId="57" xfId="1535" applyFont="1" applyBorder="1" applyAlignment="1">
      <alignment horizontal="center"/>
    </xf>
    <xf numFmtId="167" fontId="0" fillId="0" borderId="0" xfId="1535" applyNumberFormat="1" applyFont="1"/>
    <xf numFmtId="2" fontId="58" fillId="0" borderId="0" xfId="1535" applyNumberFormat="1" applyFont="1"/>
    <xf numFmtId="2" fontId="63" fillId="0" borderId="0" xfId="1540" applyNumberFormat="1" applyFont="1"/>
    <xf numFmtId="2" fontId="0" fillId="0" borderId="0" xfId="1535" applyNumberFormat="1" applyFont="1"/>
    <xf numFmtId="2" fontId="63" fillId="0" borderId="0" xfId="1535" applyNumberFormat="1" applyFont="1"/>
    <xf numFmtId="0" fontId="53" fillId="0" borderId="24" xfId="1125" applyFont="1" applyBorder="1"/>
    <xf numFmtId="0" fontId="66" fillId="3" borderId="0" xfId="1535" applyFont="1" applyFill="1" applyAlignment="1">
      <alignment horizontal="left" vertical="center"/>
    </xf>
    <xf numFmtId="0" fontId="26" fillId="0" borderId="1" xfId="1535" applyFont="1" applyBorder="1"/>
    <xf numFmtId="3" fontId="26" fillId="34" borderId="31" xfId="1535" applyNumberFormat="1" applyFont="1" applyFill="1" applyBorder="1"/>
    <xf numFmtId="0" fontId="0" fillId="35" borderId="1" xfId="1535" applyFont="1" applyFill="1" applyBorder="1"/>
    <xf numFmtId="0" fontId="67" fillId="3" borderId="1" xfId="1535" applyFont="1" applyFill="1" applyBorder="1" applyAlignment="1">
      <alignment horizontal="center" vertical="center"/>
    </xf>
    <xf numFmtId="171" fontId="0" fillId="0" borderId="1" xfId="1535" applyNumberFormat="1" applyFont="1" applyBorder="1"/>
    <xf numFmtId="0" fontId="0" fillId="36" borderId="1" xfId="1535" applyFont="1" applyFill="1" applyBorder="1"/>
    <xf numFmtId="0" fontId="0" fillId="37" borderId="1" xfId="1535" applyFont="1" applyFill="1" applyBorder="1"/>
    <xf numFmtId="0" fontId="0" fillId="38" borderId="1" xfId="1535" applyFont="1" applyFill="1" applyBorder="1"/>
    <xf numFmtId="0" fontId="0" fillId="39" borderId="1" xfId="1535" applyFont="1" applyFill="1" applyBorder="1"/>
    <xf numFmtId="0" fontId="0" fillId="40" borderId="1" xfId="1535" applyFont="1" applyFill="1" applyBorder="1"/>
    <xf numFmtId="0" fontId="0" fillId="41" borderId="1" xfId="1535" applyFont="1" applyFill="1" applyBorder="1"/>
    <xf numFmtId="171" fontId="0" fillId="0" borderId="0" xfId="1535" applyNumberFormat="1" applyFont="1"/>
    <xf numFmtId="0" fontId="68" fillId="0" borderId="0" xfId="1535" applyFont="1"/>
    <xf numFmtId="0" fontId="26" fillId="0" borderId="0" xfId="1535" applyFont="1"/>
    <xf numFmtId="171" fontId="0" fillId="0" borderId="0" xfId="1535" applyNumberFormat="1" applyFont="1" applyAlignment="1">
      <alignment horizontal="right"/>
    </xf>
    <xf numFmtId="0" fontId="0" fillId="38" borderId="0" xfId="1535" applyFont="1" applyFill="1"/>
    <xf numFmtId="0" fontId="0" fillId="41" borderId="0" xfId="1535" applyFont="1" applyFill="1"/>
    <xf numFmtId="0" fontId="0" fillId="36" borderId="0" xfId="1535" applyFont="1" applyFill="1"/>
    <xf numFmtId="0" fontId="0" fillId="35" borderId="0" xfId="1535" applyFont="1" applyFill="1"/>
    <xf numFmtId="0" fontId="0" fillId="40" borderId="0" xfId="1535" applyFont="1" applyFill="1"/>
    <xf numFmtId="171" fontId="0" fillId="40" borderId="0" xfId="1535" applyNumberFormat="1" applyFont="1" applyFill="1"/>
    <xf numFmtId="0" fontId="0" fillId="37" borderId="0" xfId="1535" applyFont="1" applyFill="1"/>
    <xf numFmtId="0" fontId="0" fillId="39" borderId="0" xfId="1535" applyFont="1" applyFill="1"/>
    <xf numFmtId="0" fontId="26" fillId="0" borderId="24" xfId="1535" applyFont="1" applyBorder="1"/>
    <xf numFmtId="167" fontId="26" fillId="0" borderId="24" xfId="1535" applyNumberFormat="1" applyFont="1" applyBorder="1"/>
    <xf numFmtId="169" fontId="20" fillId="42" borderId="24" xfId="1535" applyNumberFormat="1" applyFont="1" applyFill="1" applyBorder="1"/>
    <xf numFmtId="0" fontId="63" fillId="0" borderId="0" xfId="1535" applyFont="1"/>
    <xf numFmtId="0" fontId="65" fillId="0" borderId="24" xfId="1535" applyFont="1" applyBorder="1" applyAlignment="1">
      <alignment horizontal="center"/>
    </xf>
    <xf numFmtId="0" fontId="62" fillId="0" borderId="0" xfId="1535" applyFont="1"/>
    <xf numFmtId="0" fontId="21" fillId="43" borderId="0" xfId="1535" applyFont="1" applyFill="1"/>
    <xf numFmtId="0" fontId="20" fillId="44" borderId="1" xfId="1535" applyFont="1" applyFill="1" applyBorder="1" applyAlignment="1">
      <alignment horizontal="center" wrapText="1"/>
    </xf>
    <xf numFmtId="0" fontId="20" fillId="44" borderId="1" xfId="1535" applyFont="1" applyFill="1" applyBorder="1" applyAlignment="1">
      <alignment wrapText="1"/>
    </xf>
    <xf numFmtId="0" fontId="20" fillId="44" borderId="59" xfId="1535" applyFont="1" applyFill="1" applyBorder="1" applyAlignment="1">
      <alignment horizontal="center" wrapText="1"/>
    </xf>
    <xf numFmtId="0" fontId="69" fillId="26" borderId="1" xfId="1535" applyFont="1" applyFill="1" applyBorder="1" applyAlignment="1">
      <alignment wrapText="1"/>
    </xf>
    <xf numFmtId="1" fontId="0" fillId="44" borderId="1" xfId="1535" applyNumberFormat="1" applyFont="1" applyFill="1" applyBorder="1"/>
    <xf numFmtId="1" fontId="0" fillId="0" borderId="0" xfId="1535" applyNumberFormat="1" applyFont="1"/>
    <xf numFmtId="0" fontId="26" fillId="16" borderId="1" xfId="1535" applyFont="1" applyFill="1" applyBorder="1"/>
    <xf numFmtId="1" fontId="0" fillId="0" borderId="1" xfId="1535" applyNumberFormat="1" applyFont="1" applyBorder="1"/>
    <xf numFmtId="1" fontId="70" fillId="0" borderId="1" xfId="1535" applyNumberFormat="1" applyFont="1" applyBorder="1"/>
    <xf numFmtId="172" fontId="54" fillId="0" borderId="0" xfId="2" applyNumberFormat="1"/>
    <xf numFmtId="1" fontId="71" fillId="0" borderId="1" xfId="1535" applyNumberFormat="1" applyFont="1" applyBorder="1"/>
    <xf numFmtId="0" fontId="72" fillId="0" borderId="0" xfId="3"/>
    <xf numFmtId="0" fontId="26" fillId="16" borderId="1" xfId="1535" applyFont="1" applyFill="1" applyBorder="1" applyAlignment="1">
      <alignment horizontal="left" indent="1"/>
    </xf>
    <xf numFmtId="1" fontId="62" fillId="0" borderId="1" xfId="1535" applyNumberFormat="1" applyFont="1" applyBorder="1"/>
    <xf numFmtId="166" fontId="54" fillId="0" borderId="0" xfId="2"/>
    <xf numFmtId="0" fontId="73" fillId="26" borderId="1" xfId="1535" applyFont="1" applyFill="1" applyBorder="1" applyAlignment="1">
      <alignment wrapText="1"/>
    </xf>
    <xf numFmtId="0" fontId="73" fillId="26" borderId="1" xfId="1535" applyFont="1" applyFill="1" applyBorder="1" applyAlignment="1">
      <alignment horizontal="center" wrapText="1"/>
    </xf>
    <xf numFmtId="0" fontId="73" fillId="26" borderId="1" xfId="1535" applyFont="1" applyFill="1" applyBorder="1" applyAlignment="1">
      <alignment horizontal="center" vertical="center" wrapText="1"/>
    </xf>
    <xf numFmtId="0" fontId="73" fillId="39" borderId="1" xfId="1535" applyFont="1" applyFill="1" applyBorder="1"/>
    <xf numFmtId="172" fontId="2" fillId="46" borderId="1" xfId="2" applyNumberFormat="1" applyFont="1" applyFill="1" applyBorder="1"/>
    <xf numFmtId="172" fontId="0" fillId="44" borderId="1" xfId="1535" applyNumberFormat="1" applyFont="1" applyFill="1" applyBorder="1"/>
    <xf numFmtId="0" fontId="73" fillId="39" borderId="1" xfId="1535" applyFont="1" applyFill="1" applyBorder="1" applyAlignment="1">
      <alignment horizontal="center"/>
    </xf>
    <xf numFmtId="0" fontId="20" fillId="0" borderId="0" xfId="1535" applyFont="1"/>
    <xf numFmtId="0" fontId="0" fillId="42" borderId="1" xfId="1535" applyFont="1" applyFill="1" applyBorder="1"/>
    <xf numFmtId="0" fontId="74" fillId="42" borderId="1" xfId="1535" applyFont="1" applyFill="1" applyBorder="1" applyAlignment="1">
      <alignment horizontal="center"/>
    </xf>
    <xf numFmtId="166" fontId="2" fillId="0" borderId="1" xfId="2" applyFont="1" applyBorder="1"/>
    <xf numFmtId="166" fontId="0" fillId="44" borderId="1" xfId="1535" applyNumberFormat="1" applyFont="1" applyFill="1" applyBorder="1"/>
    <xf numFmtId="0" fontId="71" fillId="0" borderId="0" xfId="1535" applyFont="1"/>
    <xf numFmtId="0" fontId="0" fillId="47" borderId="1" xfId="1535" applyFont="1" applyFill="1" applyBorder="1"/>
    <xf numFmtId="0" fontId="74" fillId="47" borderId="1" xfId="1535" applyFont="1" applyFill="1" applyBorder="1" applyAlignment="1">
      <alignment horizontal="center"/>
    </xf>
    <xf numFmtId="166" fontId="2" fillId="47" borderId="1" xfId="2" applyFont="1" applyFill="1" applyBorder="1"/>
    <xf numFmtId="166" fontId="0" fillId="47" borderId="1" xfId="1535" applyNumberFormat="1" applyFont="1" applyFill="1" applyBorder="1"/>
    <xf numFmtId="172" fontId="2" fillId="47" borderId="1" xfId="2" applyNumberFormat="1" applyFont="1" applyFill="1" applyBorder="1"/>
    <xf numFmtId="172" fontId="0" fillId="47" borderId="1" xfId="1535" applyNumberFormat="1" applyFont="1" applyFill="1" applyBorder="1"/>
    <xf numFmtId="172" fontId="2" fillId="0" borderId="1" xfId="2" applyNumberFormat="1" applyFont="1" applyBorder="1"/>
    <xf numFmtId="166" fontId="62" fillId="0" borderId="1" xfId="2" applyFont="1" applyBorder="1"/>
    <xf numFmtId="166" fontId="2" fillId="46" borderId="1" xfId="2" applyFont="1" applyFill="1" applyBorder="1"/>
    <xf numFmtId="172" fontId="62" fillId="0" borderId="1" xfId="2" applyNumberFormat="1" applyFont="1" applyBorder="1"/>
    <xf numFmtId="0" fontId="75" fillId="39" borderId="1" xfId="1535" applyFont="1" applyFill="1" applyBorder="1"/>
    <xf numFmtId="0" fontId="73" fillId="39" borderId="1" xfId="1535" applyFont="1" applyFill="1" applyBorder="1" applyAlignment="1">
      <alignment vertical="center"/>
    </xf>
    <xf numFmtId="172" fontId="70" fillId="46" borderId="1" xfId="2" applyNumberFormat="1" applyFont="1" applyFill="1" applyBorder="1"/>
    <xf numFmtId="0" fontId="57" fillId="39" borderId="1" xfId="1535" applyFont="1" applyFill="1" applyBorder="1"/>
    <xf numFmtId="0" fontId="76" fillId="47" borderId="1" xfId="1535" applyFont="1" applyFill="1" applyBorder="1"/>
    <xf numFmtId="0" fontId="26" fillId="0" borderId="0" xfId="1535" applyFont="1" applyAlignment="1">
      <alignment horizontal="center"/>
    </xf>
    <xf numFmtId="0" fontId="73" fillId="0" borderId="0" xfId="1535" applyFont="1" applyAlignment="1">
      <alignment horizontal="center" wrapText="1"/>
    </xf>
    <xf numFmtId="170" fontId="0" fillId="0" borderId="1" xfId="1535" applyNumberFormat="1" applyFont="1" applyBorder="1" applyAlignment="1">
      <alignment horizontal="center"/>
    </xf>
    <xf numFmtId="166" fontId="0" fillId="0" borderId="1" xfId="1535" applyNumberFormat="1" applyFont="1" applyBorder="1" applyAlignment="1">
      <alignment horizontal="center"/>
    </xf>
    <xf numFmtId="166" fontId="0" fillId="0" borderId="0" xfId="1535" applyNumberFormat="1" applyFont="1" applyAlignment="1">
      <alignment horizontal="center"/>
    </xf>
    <xf numFmtId="172" fontId="2" fillId="0" borderId="1" xfId="2" applyNumberFormat="1" applyFont="1" applyBorder="1" applyAlignment="1">
      <alignment horizontal="center"/>
    </xf>
    <xf numFmtId="166" fontId="0" fillId="0" borderId="1" xfId="1535" applyNumberFormat="1" applyFont="1" applyBorder="1"/>
    <xf numFmtId="166" fontId="0" fillId="26" borderId="0" xfId="1535" applyNumberFormat="1" applyFont="1" applyFill="1" applyAlignment="1">
      <alignment horizontal="center"/>
    </xf>
    <xf numFmtId="166" fontId="0" fillId="44" borderId="1" xfId="1535" applyNumberFormat="1" applyFont="1" applyFill="1" applyBorder="1" applyAlignment="1">
      <alignment horizontal="center"/>
    </xf>
    <xf numFmtId="166" fontId="54" fillId="0" borderId="1" xfId="2" applyBorder="1"/>
    <xf numFmtId="166" fontId="54" fillId="0" borderId="1" xfId="2" applyBorder="1" applyAlignment="1">
      <alignment horizontal="center"/>
    </xf>
    <xf numFmtId="166" fontId="0" fillId="3" borderId="1" xfId="1535" applyNumberFormat="1" applyFont="1" applyFill="1" applyBorder="1" applyAlignment="1">
      <alignment horizontal="center"/>
    </xf>
    <xf numFmtId="166" fontId="0" fillId="26" borderId="1" xfId="1535" applyNumberFormat="1" applyFont="1" applyFill="1" applyBorder="1" applyAlignment="1">
      <alignment horizontal="center"/>
    </xf>
    <xf numFmtId="166" fontId="0" fillId="0" borderId="60" xfId="1535" applyNumberFormat="1" applyFont="1" applyBorder="1" applyAlignment="1">
      <alignment horizontal="center"/>
    </xf>
    <xf numFmtId="0" fontId="21" fillId="43" borderId="0" xfId="1535" applyFont="1" applyFill="1" applyAlignment="1">
      <alignment horizontal="left"/>
    </xf>
    <xf numFmtId="0" fontId="26" fillId="19" borderId="38" xfId="1535" applyFont="1" applyFill="1" applyBorder="1" applyAlignment="1">
      <alignment horizontal="center" vertical="center"/>
    </xf>
    <xf numFmtId="166" fontId="78" fillId="20" borderId="1" xfId="1535" applyNumberFormat="1" applyFont="1" applyFill="1" applyBorder="1" applyAlignment="1">
      <alignment vertical="center"/>
    </xf>
    <xf numFmtId="166" fontId="74" fillId="0" borderId="1" xfId="1535" applyNumberFormat="1" applyFont="1" applyBorder="1" applyAlignment="1">
      <alignment horizontal="center"/>
    </xf>
    <xf numFmtId="166" fontId="79" fillId="20" borderId="1" xfId="1535" applyNumberFormat="1" applyFont="1" applyFill="1" applyBorder="1" applyAlignment="1">
      <alignment vertical="center"/>
    </xf>
    <xf numFmtId="0" fontId="54" fillId="0" borderId="0" xfId="1535" applyFont="1"/>
    <xf numFmtId="167" fontId="0" fillId="0" borderId="1" xfId="1535" applyNumberFormat="1" applyFont="1" applyBorder="1" applyAlignment="1">
      <alignment horizontal="center"/>
    </xf>
    <xf numFmtId="166" fontId="78" fillId="20" borderId="1" xfId="1535" applyNumberFormat="1" applyFont="1" applyFill="1" applyBorder="1" applyAlignment="1">
      <alignment horizontal="center"/>
    </xf>
    <xf numFmtId="0" fontId="80" fillId="0" borderId="0" xfId="1533" applyFont="1" applyAlignment="1">
      <alignment horizontal="center" vertical="center"/>
    </xf>
    <xf numFmtId="0" fontId="81" fillId="0" borderId="59" xfId="1535" applyFont="1" applyBorder="1" applyAlignment="1">
      <alignment horizontal="center" vertical="center" wrapText="1"/>
    </xf>
    <xf numFmtId="0" fontId="82" fillId="0" borderId="1" xfId="1535" applyFont="1" applyBorder="1" applyAlignment="1">
      <alignment vertical="center"/>
    </xf>
    <xf numFmtId="166" fontId="82" fillId="0" borderId="1" xfId="2" applyFont="1" applyBorder="1" applyAlignment="1">
      <alignment horizontal="right" vertical="center"/>
    </xf>
    <xf numFmtId="166" fontId="83" fillId="0" borderId="1" xfId="1535" applyNumberFormat="1" applyFont="1" applyBorder="1" applyAlignment="1">
      <alignment horizontal="center"/>
    </xf>
    <xf numFmtId="0" fontId="81" fillId="0" borderId="1" xfId="1535" applyFont="1" applyBorder="1" applyAlignment="1">
      <alignment vertical="center"/>
    </xf>
    <xf numFmtId="166" fontId="81" fillId="0" borderId="1" xfId="2" applyFont="1" applyBorder="1" applyAlignment="1">
      <alignment horizontal="right" vertical="center"/>
    </xf>
    <xf numFmtId="0" fontId="77" fillId="0" borderId="0" xfId="1535" applyFont="1" applyAlignment="1">
      <alignment horizontal="center"/>
    </xf>
    <xf numFmtId="0" fontId="77" fillId="0" borderId="0" xfId="1535" applyFont="1" applyAlignment="1">
      <alignment horizontal="left" vertical="center"/>
    </xf>
    <xf numFmtId="0" fontId="26" fillId="19" borderId="1" xfId="1535" applyFont="1" applyFill="1" applyBorder="1" applyAlignment="1">
      <alignment horizontal="center" vertical="center"/>
    </xf>
    <xf numFmtId="0" fontId="0" fillId="42" borderId="1" xfId="1535" applyFont="1" applyFill="1" applyBorder="1" applyAlignment="1">
      <alignment vertical="center"/>
    </xf>
    <xf numFmtId="166" fontId="84" fillId="0" borderId="1" xfId="1535" applyNumberFormat="1" applyFont="1" applyBorder="1" applyAlignment="1">
      <alignment horizontal="center"/>
    </xf>
    <xf numFmtId="0" fontId="0" fillId="42" borderId="1" xfId="1535" applyFont="1" applyFill="1" applyBorder="1" applyAlignment="1">
      <alignment horizontal="left" vertical="center" indent="12"/>
    </xf>
    <xf numFmtId="0" fontId="85" fillId="0" borderId="0" xfId="1535" applyFont="1"/>
    <xf numFmtId="0" fontId="77" fillId="0" borderId="0" xfId="1535" applyFont="1"/>
    <xf numFmtId="0" fontId="77" fillId="0" borderId="0" xfId="1535" applyFont="1" applyAlignment="1">
      <alignment horizontal="left"/>
    </xf>
    <xf numFmtId="0" fontId="0" fillId="0" borderId="62" xfId="1535" applyFont="1" applyBorder="1"/>
    <xf numFmtId="0" fontId="0" fillId="0" borderId="56" xfId="1535" applyFont="1" applyBorder="1"/>
    <xf numFmtId="0" fontId="0" fillId="0" borderId="57" xfId="1535" applyFont="1" applyBorder="1"/>
    <xf numFmtId="2" fontId="26" fillId="0" borderId="58" xfId="1535" applyNumberFormat="1" applyFont="1" applyBorder="1" applyAlignment="1">
      <alignment horizontal="center"/>
    </xf>
    <xf numFmtId="2" fontId="26" fillId="0" borderId="0" xfId="1535" applyNumberFormat="1" applyFont="1" applyAlignment="1">
      <alignment horizontal="center"/>
    </xf>
    <xf numFmtId="2" fontId="0" fillId="0" borderId="60" xfId="1535" applyNumberFormat="1" applyFont="1" applyBorder="1"/>
    <xf numFmtId="2" fontId="0" fillId="0" borderId="58" xfId="1535" applyNumberFormat="1" applyFont="1" applyBorder="1"/>
    <xf numFmtId="0" fontId="0" fillId="0" borderId="58" xfId="1535" applyFont="1" applyBorder="1"/>
    <xf numFmtId="0" fontId="0" fillId="0" borderId="60" xfId="1535" applyFont="1" applyBorder="1"/>
    <xf numFmtId="0" fontId="0" fillId="0" borderId="58" xfId="1535" applyFont="1" applyBorder="1" applyAlignment="1">
      <alignment horizontal="left" vertical="center"/>
    </xf>
    <xf numFmtId="0" fontId="0" fillId="0" borderId="58" xfId="1535" applyFont="1" applyBorder="1" applyAlignment="1">
      <alignment horizontal="left" vertical="center" wrapText="1"/>
    </xf>
    <xf numFmtId="2" fontId="0" fillId="0" borderId="63" xfId="1535" applyNumberFormat="1" applyFont="1" applyBorder="1"/>
    <xf numFmtId="2" fontId="0" fillId="0" borderId="18" xfId="1535" applyNumberFormat="1" applyFont="1" applyBorder="1"/>
    <xf numFmtId="2" fontId="0" fillId="0" borderId="38" xfId="1535" applyNumberFormat="1" applyFont="1" applyBorder="1"/>
    <xf numFmtId="0" fontId="73" fillId="36" borderId="0" xfId="1535" applyFont="1" applyFill="1" applyAlignment="1">
      <alignment horizontal="center" vertical="center" wrapText="1"/>
    </xf>
    <xf numFmtId="0" fontId="0" fillId="19" borderId="39" xfId="1535" applyFont="1" applyFill="1" applyBorder="1" applyAlignment="1">
      <alignment horizontal="center"/>
    </xf>
    <xf numFmtId="0" fontId="0" fillId="0" borderId="39" xfId="1535" applyFont="1" applyBorder="1" applyAlignment="1">
      <alignment horizontal="center"/>
    </xf>
    <xf numFmtId="0" fontId="75" fillId="26" borderId="1" xfId="1" applyNumberFormat="1" applyFont="1" applyFill="1" applyBorder="1" applyAlignment="1">
      <alignment horizontal="center"/>
    </xf>
    <xf numFmtId="0" fontId="26" fillId="47" borderId="1" xfId="1535" applyFont="1" applyFill="1" applyBorder="1" applyAlignment="1">
      <alignment horizontal="center" vertical="center"/>
    </xf>
    <xf numFmtId="0" fontId="21" fillId="38" borderId="1" xfId="1535" applyFont="1" applyFill="1" applyBorder="1" applyAlignment="1">
      <alignment horizontal="center" vertical="center"/>
    </xf>
    <xf numFmtId="0" fontId="21" fillId="48" borderId="1" xfId="1535" applyFont="1" applyFill="1" applyBorder="1" applyAlignment="1">
      <alignment horizontal="center" vertical="center"/>
    </xf>
    <xf numFmtId="0" fontId="21" fillId="41" borderId="1" xfId="1535" applyFont="1" applyFill="1" applyBorder="1" applyAlignment="1">
      <alignment horizontal="center" vertical="center"/>
    </xf>
    <xf numFmtId="0" fontId="21" fillId="49" borderId="42" xfId="1535" applyFont="1" applyFill="1" applyBorder="1" applyAlignment="1">
      <alignment horizontal="center" vertical="center"/>
    </xf>
    <xf numFmtId="0" fontId="54" fillId="0" borderId="1" xfId="1535" applyFont="1" applyBorder="1"/>
    <xf numFmtId="0" fontId="0" fillId="3" borderId="34" xfId="1535" applyFont="1" applyFill="1" applyBorder="1" applyAlignment="1">
      <alignment vertical="center"/>
    </xf>
    <xf numFmtId="166" fontId="0" fillId="47" borderId="34" xfId="1535" applyNumberFormat="1" applyFont="1" applyFill="1" applyBorder="1" applyAlignment="1">
      <alignment horizontal="center" vertical="center"/>
    </xf>
    <xf numFmtId="166" fontId="3" fillId="38" borderId="34" xfId="1535" applyNumberFormat="1" applyFont="1" applyFill="1" applyBorder="1" applyAlignment="1">
      <alignment horizontal="center" vertical="center"/>
    </xf>
    <xf numFmtId="166" fontId="3" fillId="48" borderId="34" xfId="1535" applyNumberFormat="1" applyFont="1" applyFill="1" applyBorder="1" applyAlignment="1">
      <alignment horizontal="center" vertical="center"/>
    </xf>
    <xf numFmtId="166" fontId="3" fillId="41" borderId="34" xfId="1535" applyNumberFormat="1" applyFont="1" applyFill="1" applyBorder="1" applyAlignment="1">
      <alignment horizontal="center" vertical="center"/>
    </xf>
    <xf numFmtId="166" fontId="3" fillId="49" borderId="60" xfId="1535" applyNumberFormat="1" applyFont="1" applyFill="1" applyBorder="1" applyAlignment="1">
      <alignment horizontal="center" vertical="center"/>
    </xf>
    <xf numFmtId="0" fontId="54" fillId="0" borderId="59" xfId="1535" applyFont="1" applyBorder="1" applyAlignment="1">
      <alignment vertical="center"/>
    </xf>
    <xf numFmtId="166" fontId="0" fillId="0" borderId="59" xfId="1535" applyNumberFormat="1" applyFont="1" applyBorder="1"/>
    <xf numFmtId="166" fontId="74" fillId="19" borderId="1" xfId="1535" applyNumberFormat="1" applyFont="1" applyFill="1" applyBorder="1" applyAlignment="1">
      <alignment horizontal="center"/>
    </xf>
    <xf numFmtId="166" fontId="74" fillId="26" borderId="1" xfId="1535" applyNumberFormat="1" applyFont="1" applyFill="1" applyBorder="1" applyAlignment="1">
      <alignment horizontal="center"/>
    </xf>
    <xf numFmtId="0" fontId="54" fillId="0" borderId="34" xfId="1535" applyFont="1" applyBorder="1" applyAlignment="1">
      <alignment vertical="center"/>
    </xf>
    <xf numFmtId="166" fontId="0" fillId="0" borderId="34" xfId="1535" applyNumberFormat="1" applyFont="1" applyBorder="1"/>
    <xf numFmtId="0" fontId="0" fillId="3" borderId="39" xfId="1535" applyFont="1" applyFill="1" applyBorder="1"/>
    <xf numFmtId="166" fontId="0" fillId="47" borderId="39" xfId="2" applyFont="1" applyFill="1" applyBorder="1" applyAlignment="1">
      <alignment horizontal="center" vertical="center"/>
    </xf>
    <xf numFmtId="166" fontId="3" fillId="38" borderId="39" xfId="2" applyFont="1" applyFill="1" applyBorder="1" applyAlignment="1">
      <alignment horizontal="center" vertical="center"/>
    </xf>
    <xf numFmtId="166" fontId="3" fillId="48" borderId="39" xfId="2" applyFont="1" applyFill="1" applyBorder="1" applyAlignment="1">
      <alignment horizontal="center" vertical="center"/>
    </xf>
    <xf numFmtId="166" fontId="3" fillId="41" borderId="39" xfId="2" applyFont="1" applyFill="1" applyBorder="1" applyAlignment="1">
      <alignment horizontal="center" vertical="center"/>
    </xf>
    <xf numFmtId="166" fontId="3" fillId="49" borderId="38" xfId="2" applyFont="1" applyFill="1" applyBorder="1" applyAlignment="1">
      <alignment horizontal="center" vertical="center"/>
    </xf>
    <xf numFmtId="0" fontId="54" fillId="0" borderId="39" xfId="1535" applyFont="1" applyBorder="1"/>
    <xf numFmtId="166" fontId="0" fillId="0" borderId="39" xfId="1535" applyNumberFormat="1" applyFont="1" applyBorder="1"/>
    <xf numFmtId="0" fontId="26" fillId="0" borderId="1" xfId="1535" applyFont="1" applyBorder="1" applyAlignment="1">
      <alignment horizontal="center" vertical="center"/>
    </xf>
    <xf numFmtId="0" fontId="0" fillId="0" borderId="1" xfId="1535" applyFont="1" applyBorder="1"/>
    <xf numFmtId="170" fontId="0" fillId="0" borderId="1" xfId="2" applyNumberFormat="1" applyFont="1" applyBorder="1"/>
    <xf numFmtId="166" fontId="83" fillId="19" borderId="1" xfId="1535" applyNumberFormat="1" applyFont="1" applyFill="1" applyBorder="1" applyAlignment="1">
      <alignment horizontal="center"/>
    </xf>
    <xf numFmtId="0" fontId="0" fillId="0" borderId="0" xfId="1535" applyFont="1" applyAlignment="1">
      <alignment horizontal="center"/>
    </xf>
    <xf numFmtId="0" fontId="0" fillId="0" borderId="0" xfId="1535" applyFont="1" applyAlignment="1">
      <alignment horizontal="right"/>
    </xf>
    <xf numFmtId="0" fontId="90" fillId="3" borderId="0" xfId="1125" applyFill="1"/>
    <xf numFmtId="0" fontId="90" fillId="0" borderId="0" xfId="1125"/>
    <xf numFmtId="2" fontId="90" fillId="0" borderId="24" xfId="1125" applyNumberFormat="1" applyBorder="1"/>
    <xf numFmtId="0" fontId="21" fillId="28" borderId="0" xfId="1535" applyFont="1" applyFill="1" applyAlignment="1">
      <alignment horizontal="center"/>
    </xf>
    <xf numFmtId="0" fontId="86" fillId="0" borderId="0" xfId="1535" applyFont="1"/>
    <xf numFmtId="0" fontId="0" fillId="47" borderId="24" xfId="1535" applyFont="1" applyFill="1" applyBorder="1"/>
    <xf numFmtId="0" fontId="0" fillId="47" borderId="0" xfId="1535" applyFont="1" applyFill="1"/>
    <xf numFmtId="0" fontId="87" fillId="0" borderId="24" xfId="1535" applyFont="1" applyBorder="1" applyAlignment="1">
      <alignment horizontal="left" indent="1"/>
    </xf>
    <xf numFmtId="166" fontId="88" fillId="0" borderId="0" xfId="2" applyFont="1"/>
    <xf numFmtId="0" fontId="0" fillId="0" borderId="65" xfId="1535" applyFont="1" applyBorder="1"/>
    <xf numFmtId="0" fontId="86" fillId="0" borderId="56" xfId="1535" applyFont="1" applyBorder="1"/>
    <xf numFmtId="0" fontId="0" fillId="47" borderId="66" xfId="1535" applyFont="1" applyFill="1" applyBorder="1"/>
    <xf numFmtId="0" fontId="0" fillId="47" borderId="60" xfId="1535" applyFont="1" applyFill="1" applyBorder="1"/>
    <xf numFmtId="0" fontId="87" fillId="0" borderId="66" xfId="1535" applyFont="1" applyBorder="1" applyAlignment="1">
      <alignment horizontal="left" indent="1"/>
    </xf>
    <xf numFmtId="0" fontId="87" fillId="0" borderId="67" xfId="1535" applyFont="1" applyBorder="1" applyAlignment="1">
      <alignment horizontal="left" indent="1"/>
    </xf>
    <xf numFmtId="166" fontId="0" fillId="0" borderId="0" xfId="1540" applyNumberFormat="1" applyFont="1"/>
    <xf numFmtId="1" fontId="0" fillId="0" borderId="68" xfId="1535" applyNumberFormat="1" applyFont="1" applyBorder="1" applyAlignment="1">
      <alignment horizontal="center"/>
    </xf>
    <xf numFmtId="1" fontId="0" fillId="0" borderId="1" xfId="1535" applyNumberFormat="1" applyFont="1" applyBorder="1" applyAlignment="1">
      <alignment horizontal="center"/>
    </xf>
    <xf numFmtId="1" fontId="0" fillId="0" borderId="69" xfId="1535" applyNumberFormat="1" applyFont="1" applyBorder="1" applyAlignment="1">
      <alignment horizontal="center"/>
    </xf>
    <xf numFmtId="171" fontId="89" fillId="20" borderId="68" xfId="1535" applyNumberFormat="1" applyFont="1" applyFill="1" applyBorder="1" applyAlignment="1">
      <alignment horizontal="center"/>
    </xf>
    <xf numFmtId="171" fontId="89" fillId="20" borderId="1" xfId="1535" applyNumberFormat="1" applyFont="1" applyFill="1" applyBorder="1" applyAlignment="1">
      <alignment horizontal="center"/>
    </xf>
    <xf numFmtId="171" fontId="89" fillId="20" borderId="69" xfId="1535" applyNumberFormat="1" applyFont="1" applyFill="1" applyBorder="1" applyAlignment="1">
      <alignment horizontal="center"/>
    </xf>
    <xf numFmtId="0" fontId="21" fillId="51" borderId="1" xfId="1535" applyFont="1" applyFill="1" applyBorder="1" applyAlignment="1">
      <alignment horizontal="center"/>
    </xf>
    <xf numFmtId="3" fontId="79" fillId="51" borderId="70" xfId="1535" applyNumberFormat="1" applyFont="1" applyFill="1" applyBorder="1" applyAlignment="1">
      <alignment horizontal="center"/>
    </xf>
    <xf numFmtId="171" fontId="79" fillId="51" borderId="70" xfId="1535" applyNumberFormat="1" applyFont="1" applyFill="1" applyBorder="1" applyAlignment="1">
      <alignment horizontal="center"/>
    </xf>
    <xf numFmtId="0" fontId="73" fillId="39" borderId="1" xfId="1535" applyFont="1" applyFill="1" applyBorder="1" applyAlignment="1">
      <alignment horizontal="left"/>
    </xf>
    <xf numFmtId="170" fontId="0" fillId="0" borderId="24" xfId="1535" applyNumberFormat="1" applyFont="1" applyBorder="1"/>
    <xf numFmtId="169" fontId="0" fillId="0" borderId="24" xfId="1535" applyNumberFormat="1" applyFont="1" applyBorder="1"/>
    <xf numFmtId="166" fontId="0" fillId="0" borderId="24" xfId="1535" applyNumberFormat="1" applyFont="1" applyBorder="1"/>
    <xf numFmtId="0" fontId="0" fillId="0" borderId="71" xfId="1535" applyFont="1" applyBorder="1"/>
    <xf numFmtId="3" fontId="89" fillId="51" borderId="70" xfId="1535" applyNumberFormat="1" applyFont="1" applyFill="1" applyBorder="1" applyAlignment="1">
      <alignment horizontal="center"/>
    </xf>
    <xf numFmtId="171" fontId="89" fillId="51" borderId="70" xfId="1535" applyNumberFormat="1" applyFont="1" applyFill="1" applyBorder="1" applyAlignment="1">
      <alignment horizontal="center"/>
    </xf>
    <xf numFmtId="0" fontId="77" fillId="0" borderId="1" xfId="1540" applyFont="1" applyBorder="1" applyAlignment="1" applyProtection="1">
      <alignment horizontal="center" vertical="center"/>
      <protection hidden="1"/>
    </xf>
    <xf numFmtId="0" fontId="77" fillId="0" borderId="1" xfId="1540" applyFont="1" applyBorder="1" applyAlignment="1" applyProtection="1">
      <alignment horizontal="center" vertical="center" wrapText="1"/>
      <protection hidden="1"/>
    </xf>
    <xf numFmtId="0" fontId="26" fillId="52" borderId="1" xfId="1160" applyFont="1" applyFill="1" applyBorder="1" applyAlignment="1" applyProtection="1">
      <alignment horizontal="left"/>
      <protection hidden="1"/>
    </xf>
    <xf numFmtId="0" fontId="0" fillId="0" borderId="1" xfId="1540" applyFont="1" applyBorder="1" applyAlignment="1">
      <alignment horizontal="center"/>
    </xf>
    <xf numFmtId="2" fontId="26" fillId="52" borderId="1" xfId="1540" applyNumberFormat="1" applyFont="1" applyFill="1" applyBorder="1" applyAlignment="1" applyProtection="1">
      <alignment horizontal="center"/>
      <protection hidden="1"/>
    </xf>
    <xf numFmtId="0" fontId="0" fillId="52" borderId="1" xfId="1160" applyFont="1" applyFill="1" applyBorder="1" applyProtection="1">
      <protection hidden="1"/>
    </xf>
    <xf numFmtId="2" fontId="0" fillId="52" borderId="1" xfId="1540" applyNumberFormat="1" applyFont="1" applyFill="1" applyBorder="1" applyAlignment="1" applyProtection="1">
      <alignment horizontal="center"/>
      <protection hidden="1"/>
    </xf>
    <xf numFmtId="2" fontId="0" fillId="52" borderId="1" xfId="1540" applyNumberFormat="1" applyFont="1" applyFill="1" applyBorder="1" applyAlignment="1" applyProtection="1">
      <alignment horizontal="center" vertical="center"/>
      <protection hidden="1"/>
    </xf>
    <xf numFmtId="0" fontId="2" fillId="52" borderId="1" xfId="1160" applyFont="1" applyFill="1" applyBorder="1" applyProtection="1">
      <protection hidden="1"/>
    </xf>
    <xf numFmtId="0" fontId="20" fillId="7" borderId="1" xfId="1160" applyFont="1" applyFill="1" applyBorder="1" applyProtection="1">
      <protection hidden="1"/>
    </xf>
    <xf numFmtId="2" fontId="26" fillId="7" borderId="1" xfId="1540" applyNumberFormat="1" applyFont="1" applyFill="1" applyBorder="1" applyAlignment="1" applyProtection="1">
      <alignment horizontal="center"/>
      <protection hidden="1"/>
    </xf>
    <xf numFmtId="168" fontId="26" fillId="7" borderId="1" xfId="1540" applyNumberFormat="1" applyFont="1" applyFill="1" applyBorder="1" applyAlignment="1" applyProtection="1">
      <alignment horizontal="center"/>
      <protection hidden="1"/>
    </xf>
    <xf numFmtId="2" fontId="77" fillId="7" borderId="1" xfId="1540" applyNumberFormat="1" applyFont="1" applyFill="1" applyBorder="1" applyAlignment="1" applyProtection="1">
      <alignment horizontal="center"/>
      <protection hidden="1"/>
    </xf>
    <xf numFmtId="0" fontId="77" fillId="7" borderId="1" xfId="1160" applyFont="1" applyFill="1" applyBorder="1" applyProtection="1">
      <protection hidden="1"/>
    </xf>
    <xf numFmtId="2" fontId="0" fillId="7" borderId="1" xfId="1540" applyNumberFormat="1" applyFont="1" applyFill="1" applyBorder="1" applyAlignment="1" applyProtection="1">
      <alignment horizontal="center"/>
      <protection hidden="1"/>
    </xf>
    <xf numFmtId="2" fontId="0" fillId="7" borderId="1" xfId="1540" applyNumberFormat="1" applyFont="1" applyFill="1" applyBorder="1" applyAlignment="1" applyProtection="1">
      <alignment horizontal="center" vertical="center"/>
      <protection hidden="1"/>
    </xf>
    <xf numFmtId="2" fontId="62" fillId="7" borderId="1" xfId="1540" applyNumberFormat="1" applyFont="1" applyFill="1" applyBorder="1" applyAlignment="1" applyProtection="1">
      <alignment horizontal="center"/>
      <protection hidden="1"/>
    </xf>
    <xf numFmtId="2" fontId="62" fillId="7" borderId="1" xfId="1540" applyNumberFormat="1" applyFont="1" applyFill="1" applyBorder="1" applyAlignment="1" applyProtection="1">
      <alignment horizontal="center" vertical="center"/>
      <protection hidden="1"/>
    </xf>
    <xf numFmtId="4" fontId="20" fillId="53" borderId="1" xfId="1142" applyFont="1" applyFill="1" applyBorder="1" applyProtection="1">
      <protection hidden="1"/>
    </xf>
    <xf numFmtId="2" fontId="26" fillId="53" borderId="1" xfId="1540" applyNumberFormat="1" applyFont="1" applyFill="1" applyBorder="1" applyAlignment="1" applyProtection="1">
      <alignment horizontal="center"/>
      <protection hidden="1"/>
    </xf>
    <xf numFmtId="2" fontId="0" fillId="53" borderId="1" xfId="1540" applyNumberFormat="1" applyFont="1" applyFill="1" applyBorder="1" applyAlignment="1" applyProtection="1">
      <alignment horizontal="center"/>
      <protection hidden="1"/>
    </xf>
    <xf numFmtId="0" fontId="77" fillId="53" borderId="1" xfId="1160" applyFont="1" applyFill="1" applyBorder="1" applyProtection="1">
      <protection hidden="1"/>
    </xf>
    <xf numFmtId="2" fontId="0" fillId="53" borderId="1" xfId="1540" applyNumberFormat="1" applyFont="1" applyFill="1" applyBorder="1" applyAlignment="1" applyProtection="1">
      <alignment horizontal="center" vertical="center"/>
      <protection hidden="1"/>
    </xf>
    <xf numFmtId="0" fontId="77" fillId="53" borderId="1" xfId="1160" applyFont="1" applyFill="1" applyBorder="1" applyAlignment="1" applyProtection="1">
      <alignment wrapText="1"/>
      <protection hidden="1"/>
    </xf>
    <xf numFmtId="0" fontId="26" fillId="54" borderId="1" xfId="1160" applyFont="1" applyFill="1" applyBorder="1" applyProtection="1">
      <protection hidden="1"/>
    </xf>
    <xf numFmtId="2" fontId="26" fillId="54" borderId="1" xfId="1540" applyNumberFormat="1" applyFont="1" applyFill="1" applyBorder="1" applyAlignment="1" applyProtection="1">
      <alignment horizontal="center"/>
      <protection hidden="1"/>
    </xf>
    <xf numFmtId="168" fontId="26" fillId="54" borderId="1" xfId="1540" applyNumberFormat="1" applyFont="1" applyFill="1" applyBorder="1" applyAlignment="1" applyProtection="1">
      <alignment horizontal="center"/>
      <protection hidden="1"/>
    </xf>
    <xf numFmtId="2" fontId="77" fillId="54" borderId="1" xfId="1540" applyNumberFormat="1" applyFont="1" applyFill="1" applyBorder="1" applyAlignment="1" applyProtection="1">
      <alignment horizontal="center"/>
      <protection hidden="1"/>
    </xf>
    <xf numFmtId="0" fontId="77" fillId="54" borderId="1" xfId="1160" applyFont="1" applyFill="1" applyBorder="1" applyProtection="1">
      <protection hidden="1"/>
    </xf>
    <xf numFmtId="2" fontId="0" fillId="54" borderId="1" xfId="1540" applyNumberFormat="1" applyFont="1" applyFill="1" applyBorder="1" applyAlignment="1" applyProtection="1">
      <alignment horizontal="center"/>
      <protection hidden="1"/>
    </xf>
    <xf numFmtId="2" fontId="0" fillId="54" borderId="1" xfId="1540" applyNumberFormat="1" applyFont="1" applyFill="1" applyBorder="1" applyAlignment="1" applyProtection="1">
      <alignment horizontal="center" vertical="center"/>
      <protection hidden="1"/>
    </xf>
    <xf numFmtId="2" fontId="62" fillId="54" borderId="1" xfId="1540" applyNumberFormat="1" applyFont="1" applyFill="1" applyBorder="1" applyAlignment="1" applyProtection="1">
      <alignment horizontal="center"/>
      <protection hidden="1"/>
    </xf>
    <xf numFmtId="0" fontId="0" fillId="54" borderId="1" xfId="1160" applyFont="1" applyFill="1" applyBorder="1" applyProtection="1">
      <protection hidden="1"/>
    </xf>
    <xf numFmtId="0" fontId="0" fillId="54" borderId="1" xfId="1160" applyFont="1" applyFill="1" applyBorder="1" applyAlignment="1" applyProtection="1">
      <alignment horizontal="left" vertical="center"/>
      <protection hidden="1"/>
    </xf>
    <xf numFmtId="0" fontId="26" fillId="31" borderId="1" xfId="1160" applyFont="1" applyFill="1" applyBorder="1" applyProtection="1">
      <protection hidden="1"/>
    </xf>
    <xf numFmtId="2" fontId="26" fillId="31" borderId="1" xfId="1540" applyNumberFormat="1" applyFont="1" applyFill="1" applyBorder="1" applyAlignment="1" applyProtection="1">
      <alignment horizontal="center"/>
      <protection hidden="1"/>
    </xf>
    <xf numFmtId="2" fontId="77" fillId="31" borderId="1" xfId="1540" applyNumberFormat="1" applyFont="1" applyFill="1" applyBorder="1" applyAlignment="1" applyProtection="1">
      <alignment horizontal="center"/>
      <protection hidden="1"/>
    </xf>
    <xf numFmtId="0" fontId="77" fillId="31" borderId="1" xfId="1160" applyFont="1" applyFill="1" applyBorder="1" applyAlignment="1" applyProtection="1">
      <alignment horizontal="left"/>
      <protection hidden="1"/>
    </xf>
    <xf numFmtId="2" fontId="0" fillId="31" borderId="1" xfId="1540" applyNumberFormat="1" applyFont="1" applyFill="1" applyBorder="1" applyAlignment="1" applyProtection="1">
      <alignment horizontal="center"/>
      <protection hidden="1"/>
    </xf>
    <xf numFmtId="2" fontId="0" fillId="31" borderId="1" xfId="1540" applyNumberFormat="1" applyFont="1" applyFill="1" applyBorder="1" applyAlignment="1" applyProtection="1">
      <alignment horizontal="center" vertical="center"/>
      <protection hidden="1"/>
    </xf>
    <xf numFmtId="2" fontId="62" fillId="31" borderId="1" xfId="1540" applyNumberFormat="1" applyFont="1" applyFill="1" applyBorder="1" applyAlignment="1" applyProtection="1">
      <alignment horizontal="center" vertical="center"/>
      <protection hidden="1"/>
    </xf>
    <xf numFmtId="0" fontId="0" fillId="31" borderId="1" xfId="1540" applyFont="1" applyFill="1" applyBorder="1" applyProtection="1">
      <protection hidden="1"/>
    </xf>
    <xf numFmtId="0" fontId="0" fillId="31" borderId="1" xfId="1160" applyFont="1" applyFill="1" applyBorder="1" applyProtection="1">
      <protection hidden="1"/>
    </xf>
    <xf numFmtId="0" fontId="26" fillId="55" borderId="1" xfId="1160" applyFont="1" applyFill="1" applyBorder="1" applyProtection="1">
      <protection hidden="1"/>
    </xf>
    <xf numFmtId="2" fontId="26" fillId="55" borderId="1" xfId="1540" applyNumberFormat="1" applyFont="1" applyFill="1" applyBorder="1" applyAlignment="1" applyProtection="1">
      <alignment horizontal="center"/>
      <protection hidden="1"/>
    </xf>
    <xf numFmtId="0" fontId="77" fillId="55" borderId="1" xfId="1160" applyFont="1" applyFill="1" applyBorder="1" applyProtection="1">
      <protection hidden="1"/>
    </xf>
    <xf numFmtId="2" fontId="0" fillId="55" borderId="1" xfId="1540" applyNumberFormat="1" applyFont="1" applyFill="1" applyBorder="1" applyAlignment="1" applyProtection="1">
      <alignment horizontal="center"/>
      <protection hidden="1"/>
    </xf>
    <xf numFmtId="2" fontId="0" fillId="55" borderId="1" xfId="1540" applyNumberFormat="1" applyFont="1" applyFill="1" applyBorder="1" applyAlignment="1" applyProtection="1">
      <alignment horizontal="center" vertical="center"/>
      <protection hidden="1"/>
    </xf>
    <xf numFmtId="0" fontId="26" fillId="0" borderId="1" xfId="1540" applyFont="1" applyBorder="1" applyProtection="1">
      <protection hidden="1"/>
    </xf>
    <xf numFmtId="2" fontId="26" fillId="0" borderId="1" xfId="1540" applyNumberFormat="1" applyFont="1" applyBorder="1" applyAlignment="1" applyProtection="1">
      <alignment horizontal="center"/>
      <protection hidden="1"/>
    </xf>
    <xf numFmtId="2" fontId="77" fillId="0" borderId="1" xfId="1540" applyNumberFormat="1" applyFont="1" applyBorder="1" applyAlignment="1" applyProtection="1">
      <alignment horizontal="center"/>
      <protection hidden="1"/>
    </xf>
    <xf numFmtId="0" fontId="0" fillId="55" borderId="1" xfId="1160" applyFont="1" applyFill="1" applyBorder="1" applyProtection="1">
      <protection hidden="1"/>
    </xf>
    <xf numFmtId="2" fontId="0" fillId="0" borderId="1" xfId="1540" applyNumberFormat="1" applyFont="1" applyBorder="1" applyAlignment="1" applyProtection="1">
      <alignment horizontal="center"/>
      <protection hidden="1"/>
    </xf>
    <xf numFmtId="2" fontId="0" fillId="0" borderId="1" xfId="1540" applyNumberFormat="1" applyFont="1" applyBorder="1" applyAlignment="1" applyProtection="1">
      <alignment horizontal="center" vertical="center"/>
      <protection hidden="1"/>
    </xf>
    <xf numFmtId="0" fontId="0" fillId="56" borderId="1" xfId="1160" applyFont="1" applyFill="1" applyBorder="1" applyProtection="1">
      <protection hidden="1"/>
    </xf>
    <xf numFmtId="0" fontId="0" fillId="34" borderId="1" xfId="1160" applyFont="1" applyFill="1" applyBorder="1" applyProtection="1">
      <protection hidden="1"/>
    </xf>
    <xf numFmtId="0" fontId="0" fillId="0" borderId="1" xfId="1160" applyFont="1" applyBorder="1" applyProtection="1">
      <protection hidden="1"/>
    </xf>
    <xf numFmtId="2" fontId="62" fillId="0" borderId="1" xfId="1540" applyNumberFormat="1" applyFont="1" applyBorder="1" applyAlignment="1" applyProtection="1">
      <alignment horizontal="center" vertical="center"/>
      <protection hidden="1"/>
    </xf>
    <xf numFmtId="173" fontId="26" fillId="0" borderId="0" xfId="1540" applyNumberFormat="1" applyFont="1"/>
    <xf numFmtId="0" fontId="0" fillId="0" borderId="0" xfId="1160" applyFont="1" applyProtection="1">
      <protection hidden="1"/>
    </xf>
    <xf numFmtId="0" fontId="62" fillId="36" borderId="0" xfId="1540" applyFont="1" applyFill="1"/>
    <xf numFmtId="0" fontId="91" fillId="0" borderId="0" xfId="1540" applyFont="1"/>
    <xf numFmtId="0" fontId="92" fillId="0" borderId="0" xfId="1540" applyFont="1"/>
    <xf numFmtId="166" fontId="84" fillId="26" borderId="1" xfId="1535" applyNumberFormat="1" applyFont="1" applyFill="1" applyBorder="1" applyAlignment="1">
      <alignment horizontal="center"/>
    </xf>
    <xf numFmtId="171" fontId="93" fillId="20" borderId="1" xfId="1535" applyNumberFormat="1" applyFont="1" applyFill="1" applyBorder="1" applyAlignment="1">
      <alignment horizontal="center"/>
    </xf>
    <xf numFmtId="166" fontId="94" fillId="0" borderId="0" xfId="2" applyFont="1"/>
    <xf numFmtId="166" fontId="95" fillId="0" borderId="0" xfId="2" applyFont="1"/>
    <xf numFmtId="166" fontId="2" fillId="0" borderId="0" xfId="2" applyFont="1"/>
    <xf numFmtId="171" fontId="96" fillId="20" borderId="1" xfId="1535" applyNumberFormat="1" applyFont="1" applyFill="1" applyBorder="1" applyAlignment="1">
      <alignment horizontal="center"/>
    </xf>
    <xf numFmtId="0" fontId="95" fillId="0" borderId="24" xfId="1535" applyFont="1" applyBorder="1"/>
    <xf numFmtId="169" fontId="2" fillId="0" borderId="24" xfId="1535" applyNumberFormat="1" applyFont="1" applyBorder="1"/>
    <xf numFmtId="166" fontId="2" fillId="0" borderId="24" xfId="1535" applyNumberFormat="1" applyFont="1" applyBorder="1"/>
    <xf numFmtId="0" fontId="2" fillId="0" borderId="71" xfId="1535" applyFont="1" applyBorder="1"/>
    <xf numFmtId="171" fontId="96" fillId="51" borderId="70" xfId="1535" applyNumberFormat="1" applyFont="1" applyFill="1" applyBorder="1" applyAlignment="1">
      <alignment horizontal="center"/>
    </xf>
    <xf numFmtId="0" fontId="97" fillId="0" borderId="0" xfId="1540" applyFont="1"/>
    <xf numFmtId="0" fontId="0" fillId="42" borderId="0" xfId="1535" applyFont="1" applyFill="1" applyBorder="1"/>
    <xf numFmtId="0" fontId="74" fillId="42" borderId="0" xfId="1535" applyFont="1" applyFill="1" applyBorder="1" applyAlignment="1">
      <alignment horizontal="center"/>
    </xf>
    <xf numFmtId="166" fontId="2" fillId="0" borderId="0" xfId="2" applyFont="1" applyBorder="1"/>
    <xf numFmtId="166" fontId="0" fillId="44" borderId="0" xfId="1535" applyNumberFormat="1" applyFont="1" applyFill="1" applyBorder="1"/>
    <xf numFmtId="172" fontId="71" fillId="0" borderId="1" xfId="2" applyNumberFormat="1" applyFont="1" applyBorder="1"/>
    <xf numFmtId="9" fontId="82" fillId="0" borderId="0" xfId="1793" applyFont="1"/>
    <xf numFmtId="9" fontId="82" fillId="0" borderId="60" xfId="1793" applyFont="1" applyBorder="1"/>
    <xf numFmtId="9" fontId="98" fillId="0" borderId="0" xfId="1793" applyFont="1"/>
    <xf numFmtId="9" fontId="98" fillId="0" borderId="60" xfId="1793" applyFont="1" applyBorder="1"/>
    <xf numFmtId="0" fontId="2" fillId="47" borderId="0" xfId="1536" applyFont="1" applyFill="1"/>
    <xf numFmtId="0" fontId="2" fillId="47" borderId="60" xfId="1536" applyFont="1" applyFill="1" applyBorder="1"/>
    <xf numFmtId="9" fontId="99" fillId="0" borderId="0" xfId="1793" applyFont="1"/>
    <xf numFmtId="9" fontId="99" fillId="0" borderId="60" xfId="1793" applyFont="1" applyBorder="1"/>
    <xf numFmtId="9" fontId="88" fillId="0" borderId="18" xfId="1793" applyFont="1" applyBorder="1"/>
    <xf numFmtId="9" fontId="88" fillId="0" borderId="38" xfId="1793" applyFont="1" applyBorder="1"/>
    <xf numFmtId="0" fontId="0" fillId="19" borderId="1" xfId="1535" applyFont="1" applyFill="1" applyBorder="1" applyAlignment="1">
      <alignment horizontal="center" vertical="center"/>
    </xf>
    <xf numFmtId="0" fontId="20" fillId="44" borderId="1" xfId="1535" applyFont="1" applyFill="1" applyBorder="1" applyAlignment="1">
      <alignment horizontal="center" wrapText="1"/>
    </xf>
    <xf numFmtId="164" fontId="90" fillId="0" borderId="0" xfId="1"/>
    <xf numFmtId="0" fontId="0" fillId="0" borderId="0" xfId="1535" applyFont="1" applyBorder="1"/>
    <xf numFmtId="171" fontId="0" fillId="0" borderId="0" xfId="1535" applyNumberFormat="1" applyFont="1" applyBorder="1"/>
    <xf numFmtId="0" fontId="0" fillId="0" borderId="72" xfId="1540" applyFont="1" applyBorder="1"/>
    <xf numFmtId="0" fontId="0" fillId="0" borderId="42" xfId="1540" applyFont="1" applyBorder="1"/>
    <xf numFmtId="0" fontId="0" fillId="0" borderId="32" xfId="1535" applyFont="1" applyBorder="1"/>
    <xf numFmtId="0" fontId="0" fillId="0" borderId="0" xfId="1535" applyFont="1" applyBorder="1" applyAlignment="1">
      <alignment horizontal="center" vertical="center"/>
    </xf>
    <xf numFmtId="0" fontId="0" fillId="0" borderId="31" xfId="1535" applyFont="1" applyBorder="1"/>
    <xf numFmtId="167" fontId="0" fillId="0" borderId="31" xfId="1535" applyNumberFormat="1" applyFont="1" applyBorder="1"/>
    <xf numFmtId="167" fontId="0" fillId="0" borderId="76" xfId="1535" applyNumberFormat="1" applyFont="1" applyBorder="1"/>
    <xf numFmtId="0" fontId="20" fillId="44" borderId="1" xfId="1535" applyFont="1" applyFill="1" applyBorder="1" applyAlignment="1">
      <alignment horizontal="center" wrapText="1"/>
    </xf>
    <xf numFmtId="0" fontId="100" fillId="0" borderId="0" xfId="1535" applyFont="1"/>
    <xf numFmtId="167" fontId="0" fillId="0" borderId="24" xfId="1535" applyNumberFormat="1" applyFont="1" applyBorder="1"/>
    <xf numFmtId="171" fontId="0" fillId="0" borderId="78" xfId="1535" applyNumberFormat="1" applyFont="1" applyBorder="1"/>
    <xf numFmtId="167" fontId="0" fillId="0" borderId="78" xfId="1535" applyNumberFormat="1" applyFont="1" applyBorder="1"/>
    <xf numFmtId="171" fontId="0" fillId="0" borderId="77" xfId="1535" applyNumberFormat="1" applyFont="1" applyBorder="1"/>
    <xf numFmtId="0" fontId="0" fillId="0" borderId="78" xfId="1535" applyFont="1" applyBorder="1"/>
    <xf numFmtId="0" fontId="73" fillId="39" borderId="1" xfId="1535" applyFont="1" applyFill="1" applyBorder="1" applyAlignment="1">
      <alignment horizontal="center"/>
    </xf>
    <xf numFmtId="0" fontId="73" fillId="26" borderId="1" xfId="1535" applyFont="1" applyFill="1" applyBorder="1" applyAlignment="1">
      <alignment horizontal="center" vertical="center" wrapText="1"/>
    </xf>
    <xf numFmtId="0" fontId="100" fillId="0" borderId="0" xfId="0" applyFont="1" applyBorder="1" applyAlignment="1">
      <alignment horizontal="center"/>
    </xf>
    <xf numFmtId="1" fontId="102" fillId="44" borderId="1" xfId="1535" applyNumberFormat="1" applyFont="1" applyFill="1" applyBorder="1"/>
    <xf numFmtId="1" fontId="102" fillId="0" borderId="1" xfId="1535" applyNumberFormat="1" applyFont="1" applyBorder="1"/>
    <xf numFmtId="0" fontId="72" fillId="57" borderId="0" xfId="3" applyFill="1"/>
    <xf numFmtId="0" fontId="0" fillId="57" borderId="0" xfId="1535" applyFont="1" applyFill="1"/>
    <xf numFmtId="0" fontId="0" fillId="58" borderId="0" xfId="1540" applyFont="1" applyFill="1"/>
    <xf numFmtId="0" fontId="0" fillId="58" borderId="52" xfId="1540" applyFont="1" applyFill="1" applyBorder="1"/>
    <xf numFmtId="0" fontId="0" fillId="58" borderId="72" xfId="1540" applyFont="1" applyFill="1" applyBorder="1"/>
    <xf numFmtId="0" fontId="0" fillId="58" borderId="2" xfId="1540" applyFont="1" applyFill="1" applyBorder="1"/>
    <xf numFmtId="0" fontId="0" fillId="58" borderId="0" xfId="1535" applyFont="1" applyFill="1"/>
    <xf numFmtId="0" fontId="0" fillId="58" borderId="1" xfId="1540" applyFont="1" applyFill="1" applyBorder="1"/>
    <xf numFmtId="0" fontId="0" fillId="58" borderId="5" xfId="1540" applyFont="1" applyFill="1" applyBorder="1"/>
    <xf numFmtId="0" fontId="0" fillId="58" borderId="42" xfId="1540" applyFont="1" applyFill="1" applyBorder="1"/>
    <xf numFmtId="0" fontId="0" fillId="58" borderId="6" xfId="1540" applyFont="1" applyFill="1" applyBorder="1"/>
    <xf numFmtId="0" fontId="57" fillId="58" borderId="1" xfId="1125" applyFont="1" applyFill="1" applyBorder="1"/>
    <xf numFmtId="2" fontId="0" fillId="58" borderId="0" xfId="1540" applyNumberFormat="1" applyFont="1" applyFill="1"/>
    <xf numFmtId="2" fontId="62" fillId="58" borderId="0" xfId="1540" applyNumberFormat="1" applyFont="1" applyFill="1"/>
    <xf numFmtId="0" fontId="25" fillId="59" borderId="1" xfId="1136" applyFont="1" applyFill="1" applyBorder="1"/>
    <xf numFmtId="0" fontId="57" fillId="58" borderId="0" xfId="1125" applyFont="1" applyFill="1"/>
    <xf numFmtId="0" fontId="0" fillId="58" borderId="53" xfId="1540" applyFont="1" applyFill="1" applyBorder="1"/>
    <xf numFmtId="0" fontId="0" fillId="58" borderId="26" xfId="1540" applyFont="1" applyFill="1" applyBorder="1"/>
    <xf numFmtId="2" fontId="0" fillId="58" borderId="1" xfId="1540" applyNumberFormat="1" applyFont="1" applyFill="1" applyBorder="1"/>
    <xf numFmtId="0" fontId="26" fillId="59" borderId="36" xfId="1540" applyFont="1" applyFill="1" applyBorder="1"/>
    <xf numFmtId="0" fontId="26" fillId="59" borderId="37" xfId="1540" applyFont="1" applyFill="1" applyBorder="1"/>
    <xf numFmtId="0" fontId="26" fillId="59" borderId="38" xfId="1540" applyFont="1" applyFill="1" applyBorder="1" applyAlignment="1">
      <alignment horizontal="center"/>
    </xf>
    <xf numFmtId="0" fontId="26" fillId="59" borderId="39" xfId="1540" applyFont="1" applyFill="1" applyBorder="1" applyAlignment="1">
      <alignment horizontal="center"/>
    </xf>
    <xf numFmtId="0" fontId="26" fillId="59" borderId="40" xfId="1540" applyFont="1" applyFill="1" applyBorder="1" applyAlignment="1">
      <alignment horizontal="center"/>
    </xf>
    <xf numFmtId="0" fontId="26" fillId="59" borderId="0" xfId="1540" applyFont="1" applyFill="1" applyAlignment="1">
      <alignment horizontal="center"/>
    </xf>
    <xf numFmtId="2" fontId="26" fillId="59" borderId="10" xfId="1540" applyNumberFormat="1" applyFont="1" applyFill="1" applyBorder="1"/>
    <xf numFmtId="2" fontId="26" fillId="59" borderId="41" xfId="1540" applyNumberFormat="1" applyFont="1" applyFill="1" applyBorder="1"/>
    <xf numFmtId="2" fontId="0" fillId="59" borderId="42" xfId="1540" applyNumberFormat="1" applyFont="1" applyFill="1" applyBorder="1" applyAlignment="1">
      <alignment horizontal="center"/>
    </xf>
    <xf numFmtId="2" fontId="0" fillId="59" borderId="1" xfId="1540" applyNumberFormat="1" applyFont="1" applyFill="1" applyBorder="1" applyAlignment="1">
      <alignment horizontal="center"/>
    </xf>
    <xf numFmtId="2" fontId="0" fillId="59" borderId="6" xfId="1540" applyNumberFormat="1" applyFont="1" applyFill="1" applyBorder="1" applyAlignment="1">
      <alignment horizontal="center"/>
    </xf>
    <xf numFmtId="2" fontId="26" fillId="59" borderId="43" xfId="1540" applyNumberFormat="1" applyFont="1" applyFill="1" applyBorder="1"/>
    <xf numFmtId="2" fontId="26" fillId="59" borderId="44" xfId="1540" applyNumberFormat="1" applyFont="1" applyFill="1" applyBorder="1"/>
    <xf numFmtId="2" fontId="0" fillId="59" borderId="45" xfId="1540" applyNumberFormat="1" applyFont="1" applyFill="1" applyBorder="1" applyAlignment="1">
      <alignment horizontal="center"/>
    </xf>
    <xf numFmtId="0" fontId="63" fillId="58" borderId="0" xfId="1540" applyFont="1" applyFill="1"/>
    <xf numFmtId="0" fontId="0" fillId="58" borderId="24" xfId="1125" applyFont="1" applyFill="1" applyBorder="1"/>
    <xf numFmtId="0" fontId="53" fillId="58" borderId="24" xfId="1125" applyFont="1" applyFill="1" applyBorder="1"/>
    <xf numFmtId="0" fontId="104" fillId="0" borderId="0" xfId="0" applyFont="1" applyBorder="1" applyAlignment="1">
      <alignment horizontal="center" wrapText="1"/>
    </xf>
    <xf numFmtId="0" fontId="65" fillId="58" borderId="56" xfId="1535" applyFont="1" applyFill="1" applyBorder="1" applyAlignment="1">
      <alignment horizontal="center"/>
    </xf>
    <xf numFmtId="0" fontId="65" fillId="58" borderId="57" xfId="1535" applyFont="1" applyFill="1" applyBorder="1" applyAlignment="1">
      <alignment horizontal="center"/>
    </xf>
    <xf numFmtId="0" fontId="0" fillId="58" borderId="1" xfId="1125" applyFont="1" applyFill="1" applyBorder="1"/>
    <xf numFmtId="167" fontId="0" fillId="58" borderId="0" xfId="1535" applyNumberFormat="1" applyFont="1" applyFill="1"/>
    <xf numFmtId="0" fontId="0" fillId="58" borderId="24" xfId="1535" applyFont="1" applyFill="1" applyBorder="1"/>
    <xf numFmtId="0" fontId="0" fillId="58" borderId="0" xfId="1535" applyFont="1" applyFill="1" applyBorder="1"/>
    <xf numFmtId="171" fontId="0" fillId="58" borderId="24" xfId="1535" applyNumberFormat="1" applyFont="1" applyFill="1" applyBorder="1"/>
    <xf numFmtId="171" fontId="0" fillId="58" borderId="0" xfId="1535" applyNumberFormat="1" applyFont="1" applyFill="1" applyBorder="1"/>
    <xf numFmtId="167" fontId="0" fillId="58" borderId="24" xfId="1535" applyNumberFormat="1" applyFont="1" applyFill="1" applyBorder="1"/>
    <xf numFmtId="0" fontId="53" fillId="58" borderId="1" xfId="1125" applyFont="1" applyFill="1" applyBorder="1"/>
    <xf numFmtId="167" fontId="0" fillId="58" borderId="0" xfId="1540" applyNumberFormat="1" applyFont="1" applyFill="1"/>
    <xf numFmtId="0" fontId="0" fillId="58" borderId="30" xfId="1535" applyFont="1" applyFill="1" applyBorder="1" applyAlignment="1">
      <alignment horizontal="center" vertical="center"/>
    </xf>
    <xf numFmtId="0" fontId="0" fillId="58" borderId="32" xfId="1535" applyFont="1" applyFill="1" applyBorder="1" applyAlignment="1">
      <alignment horizontal="center" vertical="center"/>
    </xf>
    <xf numFmtId="0" fontId="0" fillId="58" borderId="0" xfId="1535" applyFont="1" applyFill="1" applyBorder="1" applyAlignment="1">
      <alignment horizontal="center" vertical="center"/>
    </xf>
    <xf numFmtId="0" fontId="2" fillId="58" borderId="24" xfId="1125" applyFont="1" applyFill="1" applyBorder="1"/>
    <xf numFmtId="0" fontId="0" fillId="58" borderId="23" xfId="1535" applyFont="1" applyFill="1" applyBorder="1"/>
    <xf numFmtId="0" fontId="0" fillId="58" borderId="25" xfId="1535" applyFont="1" applyFill="1" applyBorder="1"/>
    <xf numFmtId="167" fontId="0" fillId="58" borderId="25" xfId="1535" applyNumberFormat="1" applyFont="1" applyFill="1" applyBorder="1"/>
    <xf numFmtId="167" fontId="2" fillId="58" borderId="24" xfId="1535" applyNumberFormat="1" applyFont="1" applyFill="1" applyBorder="1"/>
    <xf numFmtId="167" fontId="2" fillId="58" borderId="25" xfId="1535" applyNumberFormat="1" applyFont="1" applyFill="1" applyBorder="1"/>
    <xf numFmtId="167" fontId="0" fillId="58" borderId="28" xfId="1535" applyNumberFormat="1" applyFont="1" applyFill="1" applyBorder="1"/>
    <xf numFmtId="167" fontId="0" fillId="58" borderId="29" xfId="1535" applyNumberFormat="1" applyFont="1" applyFill="1" applyBorder="1"/>
    <xf numFmtId="0" fontId="104" fillId="0" borderId="81" xfId="0" applyFont="1" applyBorder="1" applyAlignment="1">
      <alignment vertical="center"/>
    </xf>
    <xf numFmtId="0" fontId="104" fillId="0" borderId="83" xfId="0" applyFont="1" applyBorder="1" applyAlignment="1">
      <alignment vertical="center"/>
    </xf>
    <xf numFmtId="0" fontId="104" fillId="0" borderId="55" xfId="0" applyFont="1" applyBorder="1" applyAlignment="1">
      <alignment vertical="center" wrapText="1"/>
    </xf>
    <xf numFmtId="0" fontId="104" fillId="0" borderId="55" xfId="0" applyFont="1" applyBorder="1" applyAlignment="1">
      <alignment horizontal="center" vertical="center"/>
    </xf>
    <xf numFmtId="0" fontId="0" fillId="0" borderId="0" xfId="0" applyBorder="1"/>
    <xf numFmtId="0" fontId="104" fillId="0" borderId="49" xfId="0" applyFont="1" applyBorder="1" applyAlignment="1">
      <alignment vertical="center" wrapText="1"/>
    </xf>
    <xf numFmtId="0" fontId="104" fillId="0" borderId="49" xfId="0" applyFont="1" applyBorder="1" applyAlignment="1">
      <alignment horizontal="center" vertical="center"/>
    </xf>
    <xf numFmtId="0" fontId="106" fillId="0" borderId="0" xfId="0" applyFont="1"/>
    <xf numFmtId="0" fontId="106" fillId="0" borderId="0" xfId="0" applyFont="1" applyBorder="1" applyAlignment="1">
      <alignment wrapText="1"/>
    </xf>
    <xf numFmtId="0" fontId="106" fillId="0" borderId="0" xfId="0" applyFont="1" applyBorder="1" applyAlignment="1">
      <alignment vertical="center"/>
    </xf>
    <xf numFmtId="0" fontId="69" fillId="26" borderId="1" xfId="1535" applyFont="1" applyFill="1" applyBorder="1" applyAlignment="1">
      <alignment horizontal="center" vertical="center" wrapText="1"/>
    </xf>
    <xf numFmtId="0" fontId="69" fillId="26" borderId="34" xfId="1535" applyFont="1" applyFill="1" applyBorder="1" applyAlignment="1">
      <alignment horizontal="center" vertical="center" wrapText="1"/>
    </xf>
    <xf numFmtId="0" fontId="70" fillId="0" borderId="1" xfId="2" applyNumberFormat="1" applyFont="1" applyBorder="1"/>
    <xf numFmtId="1" fontId="70" fillId="0" borderId="1" xfId="2" applyNumberFormat="1" applyFont="1" applyBorder="1"/>
    <xf numFmtId="2" fontId="0" fillId="44" borderId="1" xfId="1535" applyNumberFormat="1" applyFont="1" applyFill="1" applyBorder="1"/>
    <xf numFmtId="172" fontId="70" fillId="0" borderId="1" xfId="2" applyNumberFormat="1" applyFont="1" applyBorder="1"/>
    <xf numFmtId="0" fontId="0" fillId="0" borderId="1" xfId="0" applyBorder="1"/>
    <xf numFmtId="0" fontId="104" fillId="0" borderId="83" xfId="0" applyFont="1" applyBorder="1" applyAlignment="1">
      <alignment vertical="center" wrapText="1"/>
    </xf>
    <xf numFmtId="9" fontId="104" fillId="0" borderId="55" xfId="0" applyNumberFormat="1" applyFont="1" applyBorder="1" applyAlignment="1">
      <alignment horizontal="center" vertical="center"/>
    </xf>
    <xf numFmtId="0" fontId="109" fillId="0" borderId="0" xfId="0" applyFont="1" applyAlignment="1">
      <alignment vertical="center"/>
    </xf>
    <xf numFmtId="0" fontId="110" fillId="0" borderId="81" xfId="0" applyFont="1" applyBorder="1" applyAlignment="1">
      <alignment vertical="center"/>
    </xf>
    <xf numFmtId="0" fontId="110" fillId="0" borderId="80" xfId="0" applyFont="1" applyBorder="1" applyAlignment="1">
      <alignment horizontal="right" vertical="center"/>
    </xf>
    <xf numFmtId="0" fontId="110" fillId="0" borderId="83" xfId="0" applyFont="1" applyBorder="1" applyAlignment="1">
      <alignment vertical="center"/>
    </xf>
    <xf numFmtId="0" fontId="110" fillId="0" borderId="55" xfId="0" applyFont="1" applyBorder="1" applyAlignment="1">
      <alignment horizontal="right" vertical="center"/>
    </xf>
    <xf numFmtId="0" fontId="109" fillId="0" borderId="84" xfId="0" applyFont="1" applyBorder="1" applyAlignment="1">
      <alignment vertical="center"/>
    </xf>
    <xf numFmtId="0" fontId="109" fillId="0" borderId="49" xfId="0" applyFont="1" applyBorder="1" applyAlignment="1">
      <alignment horizontal="right" vertical="center"/>
    </xf>
    <xf numFmtId="166" fontId="0" fillId="0" borderId="0" xfId="2" applyFont="1"/>
    <xf numFmtId="2" fontId="70" fillId="0" borderId="1" xfId="2" applyNumberFormat="1" applyFont="1" applyBorder="1"/>
    <xf numFmtId="0" fontId="111" fillId="0" borderId="0" xfId="0" applyFont="1" applyAlignment="1">
      <alignment horizontal="left" vertical="center" indent="9"/>
    </xf>
    <xf numFmtId="9" fontId="0" fillId="0" borderId="1" xfId="0" applyNumberFormat="1" applyBorder="1"/>
    <xf numFmtId="0" fontId="113" fillId="0" borderId="0" xfId="0" applyFont="1" applyAlignment="1">
      <alignment horizontal="left" vertical="center" indent="2"/>
    </xf>
    <xf numFmtId="0" fontId="114" fillId="0" borderId="0" xfId="0" applyFont="1" applyAlignment="1">
      <alignment horizontal="left" vertical="center" indent="2"/>
    </xf>
    <xf numFmtId="0" fontId="104" fillId="0" borderId="80" xfId="0" applyFont="1" applyBorder="1" applyAlignment="1">
      <alignment horizontal="right" vertical="center"/>
    </xf>
    <xf numFmtId="0" fontId="104" fillId="0" borderId="55" xfId="0" applyFont="1" applyBorder="1" applyAlignment="1">
      <alignment horizontal="right" vertical="center"/>
    </xf>
    <xf numFmtId="2" fontId="101" fillId="57" borderId="1" xfId="0" applyNumberFormat="1" applyFont="1" applyFill="1" applyBorder="1"/>
    <xf numFmtId="0" fontId="0" fillId="61" borderId="0" xfId="0" applyFill="1" applyBorder="1"/>
    <xf numFmtId="0" fontId="0" fillId="0" borderId="0" xfId="0" applyFill="1" applyBorder="1"/>
    <xf numFmtId="168" fontId="0" fillId="62" borderId="0" xfId="0" applyNumberFormat="1" applyFill="1" applyBorder="1"/>
    <xf numFmtId="168" fontId="0" fillId="63" borderId="0" xfId="0" applyNumberFormat="1" applyFill="1" applyBorder="1"/>
    <xf numFmtId="168" fontId="101" fillId="57" borderId="1" xfId="0" applyNumberFormat="1" applyFont="1" applyFill="1" applyBorder="1"/>
    <xf numFmtId="0" fontId="0" fillId="57" borderId="0" xfId="0" applyFill="1"/>
    <xf numFmtId="0" fontId="101" fillId="42" borderId="34" xfId="1535" applyFont="1" applyFill="1" applyBorder="1"/>
    <xf numFmtId="0" fontId="101" fillId="0" borderId="0" xfId="0" applyFont="1"/>
    <xf numFmtId="0" fontId="0" fillId="42" borderId="34" xfId="1535" applyFont="1" applyFill="1" applyBorder="1"/>
    <xf numFmtId="170" fontId="0" fillId="0" borderId="0" xfId="2" applyNumberFormat="1" applyFont="1"/>
    <xf numFmtId="0" fontId="108" fillId="0" borderId="61" xfId="0" applyFont="1" applyBorder="1" applyAlignment="1">
      <alignment horizontal="center"/>
    </xf>
    <xf numFmtId="0" fontId="108" fillId="0" borderId="42" xfId="0" applyFont="1" applyBorder="1" applyAlignment="1">
      <alignment horizontal="center"/>
    </xf>
    <xf numFmtId="0" fontId="108" fillId="0" borderId="26" xfId="0" applyFont="1" applyBorder="1" applyAlignment="1">
      <alignment horizontal="center"/>
    </xf>
    <xf numFmtId="174" fontId="0" fillId="0" borderId="0" xfId="0" applyNumberFormat="1" applyBorder="1"/>
    <xf numFmtId="174" fontId="0" fillId="0" borderId="0" xfId="0" applyNumberFormat="1"/>
    <xf numFmtId="174" fontId="70" fillId="0" borderId="1" xfId="1" applyNumberFormat="1" applyFont="1" applyBorder="1"/>
    <xf numFmtId="175" fontId="70" fillId="0" borderId="1" xfId="1" applyNumberFormat="1" applyFont="1" applyBorder="1"/>
    <xf numFmtId="176" fontId="70" fillId="0" borderId="1" xfId="1" applyNumberFormat="1" applyFont="1" applyBorder="1"/>
    <xf numFmtId="174" fontId="0" fillId="44" borderId="1" xfId="1" applyNumberFormat="1" applyFont="1" applyFill="1" applyBorder="1"/>
    <xf numFmtId="177" fontId="0" fillId="0" borderId="0" xfId="0" applyNumberFormat="1"/>
    <xf numFmtId="0" fontId="108" fillId="0" borderId="0" xfId="0" applyFont="1" applyBorder="1" applyAlignment="1">
      <alignment horizontal="center"/>
    </xf>
    <xf numFmtId="0" fontId="101" fillId="57" borderId="0" xfId="0" applyFont="1" applyFill="1" applyBorder="1" applyAlignment="1">
      <alignment horizontal="left"/>
    </xf>
    <xf numFmtId="0" fontId="108" fillId="0" borderId="0" xfId="0" applyFont="1"/>
    <xf numFmtId="9" fontId="0" fillId="0" borderId="0" xfId="0" applyNumberFormat="1"/>
    <xf numFmtId="0" fontId="0" fillId="64" borderId="0" xfId="1535" applyFont="1" applyFill="1"/>
    <xf numFmtId="0" fontId="62" fillId="64" borderId="0" xfId="1535" applyFont="1" applyFill="1"/>
    <xf numFmtId="0" fontId="71" fillId="64" borderId="0" xfId="1535" applyFont="1" applyFill="1"/>
    <xf numFmtId="166" fontId="0" fillId="64" borderId="0" xfId="1535" applyNumberFormat="1" applyFont="1" applyFill="1"/>
    <xf numFmtId="0" fontId="75" fillId="65" borderId="1" xfId="1" applyNumberFormat="1" applyFont="1" applyFill="1" applyBorder="1" applyAlignment="1">
      <alignment horizontal="center"/>
    </xf>
    <xf numFmtId="166" fontId="84" fillId="65" borderId="1" xfId="1535" applyNumberFormat="1" applyFont="1" applyFill="1" applyBorder="1" applyAlignment="1">
      <alignment horizontal="center"/>
    </xf>
    <xf numFmtId="166" fontId="74" fillId="65" borderId="1" xfId="1535" applyNumberFormat="1" applyFont="1" applyFill="1" applyBorder="1" applyAlignment="1">
      <alignment horizontal="center"/>
    </xf>
    <xf numFmtId="0" fontId="0" fillId="64" borderId="0" xfId="1540" applyFont="1" applyFill="1"/>
    <xf numFmtId="0" fontId="62" fillId="0" borderId="0" xfId="0" applyFont="1"/>
    <xf numFmtId="172" fontId="2" fillId="57" borderId="1" xfId="2" applyNumberFormat="1" applyFont="1" applyFill="1" applyBorder="1"/>
    <xf numFmtId="172" fontId="2" fillId="66" borderId="1" xfId="2" applyNumberFormat="1" applyFont="1" applyFill="1" applyBorder="1"/>
    <xf numFmtId="172" fontId="62" fillId="57" borderId="1" xfId="2" applyNumberFormat="1" applyFont="1" applyFill="1" applyBorder="1"/>
    <xf numFmtId="172" fontId="71" fillId="57" borderId="1" xfId="2" applyNumberFormat="1" applyFont="1" applyFill="1" applyBorder="1"/>
    <xf numFmtId="166" fontId="84" fillId="57" borderId="1" xfId="1535" applyNumberFormat="1" applyFont="1" applyFill="1" applyBorder="1" applyAlignment="1">
      <alignment horizontal="center"/>
    </xf>
    <xf numFmtId="166" fontId="74" fillId="57" borderId="1" xfId="1535" applyNumberFormat="1" applyFont="1" applyFill="1" applyBorder="1" applyAlignment="1">
      <alignment horizontal="center"/>
    </xf>
    <xf numFmtId="9" fontId="82" fillId="57" borderId="0" xfId="1793" applyFont="1" applyFill="1"/>
    <xf numFmtId="9" fontId="82" fillId="57" borderId="60" xfId="1793" applyFont="1" applyFill="1" applyBorder="1"/>
    <xf numFmtId="9" fontId="98" fillId="57" borderId="0" xfId="1793" applyFont="1" applyFill="1"/>
    <xf numFmtId="9" fontId="98" fillId="57" borderId="60" xfId="1793" applyFont="1" applyFill="1" applyBorder="1"/>
    <xf numFmtId="0" fontId="2" fillId="66" borderId="0" xfId="1536" applyFont="1" applyFill="1"/>
    <xf numFmtId="0" fontId="2" fillId="66" borderId="60" xfId="1536" applyFont="1" applyFill="1" applyBorder="1"/>
    <xf numFmtId="9" fontId="99" fillId="57" borderId="0" xfId="1793" applyFont="1" applyFill="1"/>
    <xf numFmtId="9" fontId="99" fillId="57" borderId="60" xfId="1793" applyFont="1" applyFill="1" applyBorder="1"/>
    <xf numFmtId="9" fontId="88" fillId="57" borderId="18" xfId="1793" applyFont="1" applyFill="1" applyBorder="1"/>
    <xf numFmtId="9" fontId="88" fillId="57" borderId="38" xfId="1793" applyFont="1" applyFill="1" applyBorder="1"/>
    <xf numFmtId="166" fontId="54" fillId="57" borderId="0" xfId="2" applyFill="1"/>
    <xf numFmtId="166" fontId="94" fillId="57" borderId="0" xfId="2" applyFont="1" applyFill="1"/>
    <xf numFmtId="166" fontId="2" fillId="57" borderId="0" xfId="2" applyFont="1" applyFill="1"/>
    <xf numFmtId="166" fontId="95" fillId="57" borderId="0" xfId="2" applyFont="1" applyFill="1"/>
    <xf numFmtId="0" fontId="75" fillId="26" borderId="58" xfId="1" applyNumberFormat="1" applyFont="1" applyFill="1" applyBorder="1" applyAlignment="1">
      <alignment horizontal="center"/>
    </xf>
    <xf numFmtId="166" fontId="83" fillId="67" borderId="1" xfId="1535" applyNumberFormat="1" applyFont="1" applyFill="1" applyBorder="1" applyAlignment="1">
      <alignment horizontal="center"/>
    </xf>
    <xf numFmtId="166" fontId="84" fillId="68" borderId="1" xfId="1535" applyNumberFormat="1" applyFont="1" applyFill="1" applyBorder="1" applyAlignment="1">
      <alignment horizontal="center"/>
    </xf>
    <xf numFmtId="166" fontId="74" fillId="68" borderId="1" xfId="1535" applyNumberFormat="1" applyFont="1" applyFill="1" applyBorder="1" applyAlignment="1">
      <alignment horizontal="center"/>
    </xf>
    <xf numFmtId="171" fontId="93" fillId="69" borderId="1" xfId="1535" applyNumberFormat="1" applyFont="1" applyFill="1" applyBorder="1" applyAlignment="1">
      <alignment horizontal="center"/>
    </xf>
    <xf numFmtId="0" fontId="70" fillId="0" borderId="0" xfId="0" applyFont="1"/>
    <xf numFmtId="0" fontId="0" fillId="57" borderId="1" xfId="0" applyFill="1" applyBorder="1"/>
    <xf numFmtId="0" fontId="100" fillId="0" borderId="1" xfId="0" applyFont="1" applyBorder="1"/>
    <xf numFmtId="9" fontId="0" fillId="57" borderId="1" xfId="0" applyNumberFormat="1" applyFill="1" applyBorder="1" applyAlignment="1">
      <alignment horizontal="center" vertical="center"/>
    </xf>
    <xf numFmtId="2" fontId="0" fillId="58" borderId="25" xfId="1535" applyNumberFormat="1" applyFont="1" applyFill="1" applyBorder="1"/>
    <xf numFmtId="167" fontId="0" fillId="58" borderId="23" xfId="1535" applyNumberFormat="1" applyFont="1" applyFill="1" applyBorder="1"/>
    <xf numFmtId="0" fontId="0" fillId="70" borderId="0" xfId="1540" applyFont="1" applyFill="1"/>
    <xf numFmtId="0" fontId="0" fillId="70" borderId="1" xfId="1540" applyFont="1" applyFill="1" applyBorder="1"/>
    <xf numFmtId="0" fontId="26" fillId="71" borderId="36" xfId="1540" applyFont="1" applyFill="1" applyBorder="1"/>
    <xf numFmtId="0" fontId="26" fillId="71" borderId="37" xfId="1540" applyFont="1" applyFill="1" applyBorder="1"/>
    <xf numFmtId="0" fontId="26" fillId="71" borderId="38" xfId="1540" applyFont="1" applyFill="1" applyBorder="1" applyAlignment="1">
      <alignment horizontal="center"/>
    </xf>
    <xf numFmtId="0" fontId="26" fillId="71" borderId="39" xfId="1540" applyFont="1" applyFill="1" applyBorder="1" applyAlignment="1">
      <alignment horizontal="center"/>
    </xf>
    <xf numFmtId="0" fontId="26" fillId="71" borderId="40" xfId="1540" applyFont="1" applyFill="1" applyBorder="1" applyAlignment="1">
      <alignment horizontal="center"/>
    </xf>
    <xf numFmtId="2" fontId="26" fillId="71" borderId="10" xfId="1540" applyNumberFormat="1" applyFont="1" applyFill="1" applyBorder="1"/>
    <xf numFmtId="2" fontId="26" fillId="71" borderId="41" xfId="1540" applyNumberFormat="1" applyFont="1" applyFill="1" applyBorder="1"/>
    <xf numFmtId="2" fontId="0" fillId="71" borderId="42" xfId="1540" applyNumberFormat="1" applyFont="1" applyFill="1" applyBorder="1" applyAlignment="1">
      <alignment horizontal="center"/>
    </xf>
    <xf numFmtId="2" fontId="26" fillId="71" borderId="43" xfId="1540" applyNumberFormat="1" applyFont="1" applyFill="1" applyBorder="1"/>
    <xf numFmtId="2" fontId="26" fillId="71" borderId="44" xfId="1540" applyNumberFormat="1" applyFont="1" applyFill="1" applyBorder="1"/>
    <xf numFmtId="2" fontId="0" fillId="70" borderId="1" xfId="1540" applyNumberFormat="1" applyFont="1" applyFill="1" applyBorder="1"/>
    <xf numFmtId="2" fontId="0" fillId="70" borderId="6" xfId="1540" applyNumberFormat="1" applyFont="1" applyFill="1" applyBorder="1"/>
    <xf numFmtId="0" fontId="64" fillId="70" borderId="1" xfId="1540" applyFont="1" applyFill="1" applyBorder="1"/>
    <xf numFmtId="0" fontId="64" fillId="70" borderId="6" xfId="1540" applyFont="1" applyFill="1" applyBorder="1"/>
    <xf numFmtId="2" fontId="64" fillId="70" borderId="1" xfId="1540" applyNumberFormat="1" applyFont="1" applyFill="1" applyBorder="1"/>
    <xf numFmtId="0" fontId="62" fillId="70" borderId="1" xfId="1540" applyFont="1" applyFill="1" applyBorder="1"/>
    <xf numFmtId="0" fontId="62" fillId="70" borderId="6" xfId="1540" applyFont="1" applyFill="1" applyBorder="1"/>
    <xf numFmtId="0" fontId="64" fillId="70" borderId="3" xfId="1540" applyFont="1" applyFill="1" applyBorder="1"/>
    <xf numFmtId="0" fontId="0" fillId="70" borderId="3" xfId="1540" applyFont="1" applyFill="1" applyBorder="1"/>
    <xf numFmtId="0" fontId="64" fillId="70" borderId="51" xfId="1540" applyFont="1" applyFill="1" applyBorder="1"/>
    <xf numFmtId="0" fontId="62" fillId="70" borderId="0" xfId="1540" applyFont="1" applyFill="1"/>
    <xf numFmtId="0" fontId="0" fillId="70" borderId="52" xfId="1540" applyFont="1" applyFill="1" applyBorder="1"/>
    <xf numFmtId="0" fontId="0" fillId="70" borderId="72" xfId="1540" applyFont="1" applyFill="1" applyBorder="1"/>
    <xf numFmtId="0" fontId="0" fillId="70" borderId="2" xfId="1540" applyFont="1" applyFill="1" applyBorder="1"/>
    <xf numFmtId="0" fontId="0" fillId="70" borderId="0" xfId="1535" applyFont="1" applyFill="1"/>
    <xf numFmtId="0" fontId="0" fillId="70" borderId="5" xfId="1540" applyFont="1" applyFill="1" applyBorder="1"/>
    <xf numFmtId="0" fontId="0" fillId="70" borderId="42" xfId="1540" applyFont="1" applyFill="1" applyBorder="1"/>
    <xf numFmtId="0" fontId="0" fillId="70" borderId="6" xfId="1540" applyFont="1" applyFill="1" applyBorder="1"/>
    <xf numFmtId="0" fontId="57" fillId="70" borderId="1" xfId="1125" applyFont="1" applyFill="1" applyBorder="1"/>
    <xf numFmtId="2" fontId="0" fillId="70" borderId="0" xfId="1540" applyNumberFormat="1" applyFont="1" applyFill="1"/>
    <xf numFmtId="0" fontId="25" fillId="71" borderId="1" xfId="1136" applyFont="1" applyFill="1" applyBorder="1"/>
    <xf numFmtId="0" fontId="57" fillId="70" borderId="0" xfId="1125" applyFont="1" applyFill="1"/>
    <xf numFmtId="2" fontId="63" fillId="70" borderId="0" xfId="1540" applyNumberFormat="1" applyFont="1" applyFill="1"/>
    <xf numFmtId="2" fontId="63" fillId="70" borderId="0" xfId="1535" applyNumberFormat="1" applyFont="1" applyFill="1"/>
    <xf numFmtId="2" fontId="0" fillId="70" borderId="0" xfId="1535" applyNumberFormat="1" applyFont="1" applyFill="1"/>
    <xf numFmtId="167" fontId="0" fillId="70" borderId="0" xfId="1540" applyNumberFormat="1" applyFont="1" applyFill="1"/>
    <xf numFmtId="0" fontId="87" fillId="0" borderId="66" xfId="1536" applyFont="1" applyBorder="1" applyAlignment="1">
      <alignment horizontal="left" indent="1"/>
    </xf>
    <xf numFmtId="0" fontId="21" fillId="72" borderId="0" xfId="1536" applyFont="1" applyFill="1" applyAlignment="1">
      <alignment horizontal="center"/>
    </xf>
    <xf numFmtId="0" fontId="2" fillId="73" borderId="0" xfId="1536" applyFont="1" applyFill="1"/>
    <xf numFmtId="0" fontId="2" fillId="73" borderId="60" xfId="1536" applyFont="1" applyFill="1" applyBorder="1"/>
    <xf numFmtId="167" fontId="0" fillId="0" borderId="0" xfId="0" applyNumberFormat="1"/>
    <xf numFmtId="1" fontId="0" fillId="0" borderId="0" xfId="1540" applyNumberFormat="1" applyFont="1"/>
    <xf numFmtId="9" fontId="2" fillId="66" borderId="0" xfId="1536" applyNumberFormat="1" applyFont="1" applyFill="1"/>
    <xf numFmtId="0" fontId="0" fillId="42" borderId="1" xfId="1535" applyFont="1" applyFill="1" applyBorder="1" applyAlignment="1">
      <alignment horizontal="center" vertical="center"/>
    </xf>
    <xf numFmtId="0" fontId="73" fillId="42" borderId="38" xfId="1535" applyFont="1" applyFill="1" applyBorder="1" applyAlignment="1">
      <alignment horizontal="center" vertical="center"/>
    </xf>
    <xf numFmtId="0" fontId="73" fillId="39" borderId="1" xfId="1535" applyFont="1" applyFill="1" applyBorder="1" applyAlignment="1">
      <alignment horizontal="center"/>
    </xf>
    <xf numFmtId="0" fontId="73" fillId="39" borderId="1" xfId="1535" applyFont="1" applyFill="1" applyBorder="1" applyAlignment="1">
      <alignment horizontal="center" vertical="center"/>
    </xf>
    <xf numFmtId="0" fontId="103" fillId="0" borderId="1" xfId="0" applyFont="1" applyBorder="1" applyAlignment="1">
      <alignment horizontal="center"/>
    </xf>
    <xf numFmtId="0" fontId="100" fillId="0" borderId="1" xfId="0" applyFont="1" applyBorder="1" applyAlignment="1">
      <alignment horizontal="center"/>
    </xf>
    <xf numFmtId="0" fontId="26" fillId="19" borderId="1" xfId="1535" applyFont="1" applyFill="1" applyBorder="1" applyAlignment="1">
      <alignment horizontal="center" vertical="center"/>
    </xf>
    <xf numFmtId="0" fontId="73" fillId="18" borderId="1" xfId="1535" applyFont="1" applyFill="1" applyBorder="1" applyAlignment="1">
      <alignment horizontal="center" vertical="center"/>
    </xf>
    <xf numFmtId="0" fontId="104" fillId="0" borderId="56" xfId="0" applyFont="1" applyBorder="1" applyAlignment="1">
      <alignment horizontal="center"/>
    </xf>
    <xf numFmtId="0" fontId="104" fillId="0" borderId="1" xfId="0" applyFont="1" applyBorder="1" applyAlignment="1">
      <alignment horizontal="center" wrapText="1"/>
    </xf>
    <xf numFmtId="0" fontId="0" fillId="0" borderId="0" xfId="0" applyAlignment="1">
      <alignment horizontal="center" vertical="center"/>
    </xf>
    <xf numFmtId="0" fontId="0" fillId="70" borderId="26" xfId="1540" applyFont="1" applyFill="1" applyBorder="1" applyAlignment="1">
      <alignment horizontal="center"/>
    </xf>
    <xf numFmtId="0" fontId="0" fillId="70" borderId="61" xfId="1540" applyFont="1" applyFill="1" applyBorder="1" applyAlignment="1">
      <alignment horizontal="center"/>
    </xf>
    <xf numFmtId="0" fontId="0" fillId="70" borderId="42" xfId="1540" applyFont="1" applyFill="1" applyBorder="1" applyAlignment="1">
      <alignment horizontal="center"/>
    </xf>
    <xf numFmtId="0" fontId="73" fillId="39" borderId="0" xfId="1535" applyFont="1" applyFill="1" applyBorder="1" applyAlignment="1">
      <alignment horizontal="center"/>
    </xf>
    <xf numFmtId="0" fontId="73" fillId="39" borderId="60" xfId="1535" applyFont="1" applyFill="1" applyBorder="1" applyAlignment="1">
      <alignment horizontal="center"/>
    </xf>
    <xf numFmtId="0" fontId="0" fillId="42" borderId="0" xfId="1535" applyFont="1" applyFill="1" applyBorder="1" applyAlignment="1">
      <alignment horizontal="center"/>
    </xf>
    <xf numFmtId="0" fontId="0" fillId="42" borderId="60" xfId="1535" applyFont="1" applyFill="1" applyBorder="1" applyAlignment="1">
      <alignment horizontal="center"/>
    </xf>
    <xf numFmtId="0" fontId="100" fillId="0" borderId="0" xfId="0" applyFont="1" applyBorder="1" applyAlignment="1">
      <alignment horizontal="center" vertical="center" wrapText="1"/>
    </xf>
    <xf numFmtId="0" fontId="100" fillId="0" borderId="0" xfId="0" applyFont="1" applyBorder="1" applyAlignment="1">
      <alignment horizontal="center" wrapText="1"/>
    </xf>
    <xf numFmtId="0" fontId="116" fillId="0" borderId="0" xfId="0" applyFont="1" applyBorder="1" applyAlignment="1">
      <alignment horizontal="center" wrapText="1"/>
    </xf>
    <xf numFmtId="166" fontId="75" fillId="26" borderId="1" xfId="1535" applyNumberFormat="1" applyFont="1" applyFill="1" applyBorder="1" applyAlignment="1">
      <alignment horizontal="center"/>
    </xf>
    <xf numFmtId="0" fontId="115" fillId="0" borderId="0" xfId="0" applyFont="1" applyBorder="1" applyAlignment="1">
      <alignment horizontal="center" vertical="center" wrapText="1"/>
    </xf>
    <xf numFmtId="0" fontId="0" fillId="0" borderId="0" xfId="0" applyAlignment="1">
      <alignment horizontal="center"/>
    </xf>
    <xf numFmtId="0" fontId="73" fillId="18" borderId="61" xfId="1535" applyFont="1" applyFill="1" applyBorder="1" applyAlignment="1">
      <alignment horizontal="center" vertical="center"/>
    </xf>
    <xf numFmtId="0" fontId="26" fillId="19" borderId="38" xfId="1535" applyFont="1" applyFill="1" applyBorder="1" applyAlignment="1">
      <alignment horizontal="center" vertical="center"/>
    </xf>
    <xf numFmtId="0" fontId="100" fillId="0" borderId="0" xfId="0" applyFont="1" applyAlignment="1">
      <alignment horizontal="center" vertical="top" wrapText="1"/>
    </xf>
    <xf numFmtId="0" fontId="0" fillId="0" borderId="0" xfId="0" applyAlignment="1">
      <alignment horizontal="center" vertical="top"/>
    </xf>
    <xf numFmtId="0" fontId="0" fillId="0" borderId="0" xfId="1535" applyFont="1" applyAlignment="1">
      <alignment horizontal="center"/>
    </xf>
    <xf numFmtId="0" fontId="26" fillId="33" borderId="0" xfId="1125" applyFont="1" applyFill="1" applyAlignment="1">
      <alignment horizontal="center"/>
    </xf>
    <xf numFmtId="0" fontId="0" fillId="0" borderId="22" xfId="1535" applyFont="1" applyBorder="1" applyAlignment="1">
      <alignment horizontal="center" vertical="center"/>
    </xf>
    <xf numFmtId="0" fontId="0" fillId="58" borderId="22" xfId="1535" applyFont="1" applyFill="1" applyBorder="1" applyAlignment="1">
      <alignment horizontal="center" vertical="center"/>
    </xf>
    <xf numFmtId="0" fontId="0" fillId="32" borderId="21" xfId="1535" applyFont="1" applyFill="1" applyBorder="1" applyAlignment="1">
      <alignment horizontal="center"/>
    </xf>
    <xf numFmtId="0" fontId="0" fillId="0" borderId="73" xfId="1535" applyFont="1" applyBorder="1" applyAlignment="1">
      <alignment horizontal="center" vertical="center"/>
    </xf>
    <xf numFmtId="0" fontId="0" fillId="0" borderId="74" xfId="1535" applyFont="1" applyBorder="1" applyAlignment="1">
      <alignment horizontal="center" vertical="center"/>
    </xf>
    <xf numFmtId="0" fontId="0" fillId="0" borderId="75" xfId="1535" applyFont="1" applyBorder="1" applyAlignment="1">
      <alignment horizontal="center" vertical="center"/>
    </xf>
    <xf numFmtId="0" fontId="0" fillId="0" borderId="24" xfId="1535" applyFont="1" applyBorder="1" applyAlignment="1">
      <alignment horizontal="center" vertical="center"/>
    </xf>
    <xf numFmtId="0" fontId="0" fillId="0" borderId="37" xfId="1540" applyFont="1" applyBorder="1" applyAlignment="1">
      <alignment horizontal="center"/>
    </xf>
    <xf numFmtId="0" fontId="0" fillId="34" borderId="50" xfId="1540" applyFont="1" applyFill="1" applyBorder="1" applyAlignment="1">
      <alignment horizontal="center"/>
    </xf>
    <xf numFmtId="0" fontId="0" fillId="0" borderId="50" xfId="1540" applyFont="1" applyBorder="1" applyAlignment="1">
      <alignment horizontal="center"/>
    </xf>
    <xf numFmtId="0" fontId="0" fillId="0" borderId="24" xfId="1540" applyFont="1" applyBorder="1" applyAlignment="1">
      <alignment horizontal="center" vertical="center"/>
    </xf>
    <xf numFmtId="0" fontId="0" fillId="0" borderId="0" xfId="1535" applyFont="1" applyAlignment="1">
      <alignment horizontal="center" vertical="center"/>
    </xf>
    <xf numFmtId="0" fontId="0" fillId="58" borderId="0" xfId="1535" applyFont="1" applyFill="1" applyAlignment="1">
      <alignment horizontal="center" vertical="center"/>
    </xf>
    <xf numFmtId="0" fontId="0" fillId="0" borderId="24" xfId="1535" applyFont="1" applyBorder="1" applyAlignment="1">
      <alignment horizontal="center"/>
    </xf>
    <xf numFmtId="167" fontId="0" fillId="0" borderId="24" xfId="1535" applyNumberFormat="1" applyFont="1" applyBorder="1"/>
    <xf numFmtId="0" fontId="20" fillId="44" borderId="1" xfId="1535" applyFont="1" applyFill="1" applyBorder="1" applyAlignment="1">
      <alignment horizontal="center" wrapText="1"/>
    </xf>
    <xf numFmtId="0" fontId="26" fillId="33" borderId="58" xfId="1535" applyFont="1" applyFill="1" applyBorder="1" applyAlignment="1">
      <alignment horizontal="left"/>
    </xf>
    <xf numFmtId="0" fontId="26" fillId="33" borderId="1" xfId="1535" applyFont="1" applyFill="1" applyBorder="1" applyAlignment="1">
      <alignment horizontal="center"/>
    </xf>
    <xf numFmtId="0" fontId="0" fillId="33" borderId="18" xfId="1535" applyFont="1" applyFill="1" applyBorder="1" applyAlignment="1">
      <alignment horizontal="center"/>
    </xf>
    <xf numFmtId="0" fontId="26" fillId="16" borderId="1" xfId="1535" applyFont="1" applyFill="1" applyBorder="1" applyAlignment="1">
      <alignment horizontal="center" vertical="center" wrapText="1"/>
    </xf>
    <xf numFmtId="0" fontId="26" fillId="45" borderId="1" xfId="1535" applyFont="1" applyFill="1" applyBorder="1" applyAlignment="1">
      <alignment horizontal="center"/>
    </xf>
    <xf numFmtId="0" fontId="73" fillId="42" borderId="1" xfId="1535" applyFont="1" applyFill="1" applyBorder="1" applyAlignment="1">
      <alignment horizontal="center" vertical="center"/>
    </xf>
    <xf numFmtId="0" fontId="77" fillId="32" borderId="0" xfId="1535" applyFont="1" applyFill="1" applyAlignment="1">
      <alignment horizontal="center"/>
    </xf>
    <xf numFmtId="0" fontId="26" fillId="19" borderId="18" xfId="1535" applyFont="1" applyFill="1" applyBorder="1" applyAlignment="1">
      <alignment horizontal="center"/>
    </xf>
    <xf numFmtId="0" fontId="73" fillId="42" borderId="1" xfId="1535" applyFont="1" applyFill="1" applyBorder="1" applyAlignment="1">
      <alignment horizontal="center"/>
    </xf>
    <xf numFmtId="0" fontId="73" fillId="26" borderId="1" xfId="1535" applyFont="1" applyFill="1" applyBorder="1" applyAlignment="1">
      <alignment horizontal="center" wrapText="1"/>
    </xf>
    <xf numFmtId="1" fontId="0" fillId="44" borderId="1" xfId="1535" applyNumberFormat="1" applyFont="1" applyFill="1" applyBorder="1" applyAlignment="1">
      <alignment horizontal="center"/>
    </xf>
    <xf numFmtId="0" fontId="73" fillId="18" borderId="1" xfId="1535" applyFont="1" applyFill="1" applyBorder="1" applyAlignment="1">
      <alignment horizontal="center"/>
    </xf>
    <xf numFmtId="0" fontId="26" fillId="19" borderId="38" xfId="1535" applyFont="1" applyFill="1" applyBorder="1" applyAlignment="1">
      <alignment horizontal="center" vertical="center" wrapText="1"/>
    </xf>
    <xf numFmtId="0" fontId="73" fillId="26" borderId="1" xfId="1535" applyFont="1" applyFill="1" applyBorder="1" applyAlignment="1">
      <alignment horizontal="center" vertical="center" wrapText="1"/>
    </xf>
    <xf numFmtId="0" fontId="54" fillId="0" borderId="1" xfId="1535" applyFont="1" applyBorder="1" applyAlignment="1">
      <alignment horizontal="center"/>
    </xf>
    <xf numFmtId="0" fontId="73" fillId="39" borderId="26" xfId="1535" applyFont="1" applyFill="1" applyBorder="1" applyAlignment="1">
      <alignment horizontal="center" vertical="center"/>
    </xf>
    <xf numFmtId="0" fontId="0" fillId="42" borderId="26" xfId="1535" applyFont="1" applyFill="1" applyBorder="1" applyAlignment="1">
      <alignment horizontal="left" vertical="center"/>
    </xf>
    <xf numFmtId="0" fontId="0" fillId="0" borderId="1" xfId="1535" applyFont="1" applyBorder="1" applyAlignment="1">
      <alignment horizontal="center"/>
    </xf>
    <xf numFmtId="0" fontId="73" fillId="36" borderId="58" xfId="1535" applyFont="1" applyFill="1" applyBorder="1" applyAlignment="1">
      <alignment horizontal="center" vertical="center" wrapText="1"/>
    </xf>
    <xf numFmtId="0" fontId="0" fillId="19" borderId="1" xfId="1535" applyFont="1" applyFill="1" applyBorder="1" applyAlignment="1">
      <alignment horizontal="center" vertical="center"/>
    </xf>
    <xf numFmtId="166" fontId="75" fillId="65" borderId="1" xfId="1535" applyNumberFormat="1" applyFont="1" applyFill="1" applyBorder="1" applyAlignment="1">
      <alignment horizontal="center"/>
    </xf>
    <xf numFmtId="0" fontId="0" fillId="50" borderId="64" xfId="1535" applyFont="1" applyFill="1" applyBorder="1" applyAlignment="1">
      <alignment horizontal="center" vertical="center" wrapText="1"/>
    </xf>
    <xf numFmtId="0" fontId="73" fillId="18" borderId="24" xfId="1535" applyFont="1" applyFill="1" applyBorder="1" applyAlignment="1">
      <alignment horizontal="center" vertical="center"/>
    </xf>
    <xf numFmtId="0" fontId="26" fillId="0" borderId="1" xfId="1540" applyFont="1" applyBorder="1" applyAlignment="1">
      <alignment horizontal="center"/>
    </xf>
    <xf numFmtId="0" fontId="9" fillId="0" borderId="1" xfId="1540" applyFont="1" applyBorder="1" applyAlignment="1">
      <alignment horizontal="center" vertical="center" wrapText="1"/>
    </xf>
    <xf numFmtId="0" fontId="26" fillId="0" borderId="26" xfId="1540" applyFont="1" applyBorder="1" applyAlignment="1">
      <alignment horizontal="center"/>
    </xf>
    <xf numFmtId="0" fontId="26" fillId="0" borderId="61" xfId="1540" applyFont="1" applyBorder="1" applyAlignment="1">
      <alignment horizontal="center"/>
    </xf>
    <xf numFmtId="0" fontId="26" fillId="0" borderId="42" xfId="1540" applyFont="1" applyBorder="1" applyAlignment="1">
      <alignment horizontal="center"/>
    </xf>
    <xf numFmtId="0" fontId="105" fillId="60" borderId="21" xfId="0" applyFont="1" applyFill="1" applyBorder="1" applyAlignment="1">
      <alignment horizontal="center" vertical="center"/>
    </xf>
    <xf numFmtId="0" fontId="105" fillId="60" borderId="0" xfId="0" applyFont="1" applyFill="1" applyBorder="1" applyAlignment="1">
      <alignment horizontal="center" vertical="center"/>
    </xf>
    <xf numFmtId="0" fontId="108" fillId="0" borderId="1" xfId="0" applyFont="1" applyBorder="1" applyAlignment="1">
      <alignment horizontal="center"/>
    </xf>
    <xf numFmtId="0" fontId="21" fillId="43" borderId="0" xfId="1535" applyFont="1" applyFill="1" applyAlignment="1">
      <alignment horizontal="center"/>
    </xf>
    <xf numFmtId="0" fontId="104" fillId="57" borderId="79" xfId="0" applyFont="1" applyFill="1" applyBorder="1" applyAlignment="1">
      <alignment vertical="center" wrapText="1"/>
    </xf>
    <xf numFmtId="0" fontId="104" fillId="57" borderId="82" xfId="0" applyFont="1" applyFill="1" applyBorder="1" applyAlignment="1">
      <alignment vertical="center" wrapText="1"/>
    </xf>
    <xf numFmtId="0" fontId="104" fillId="57" borderId="80" xfId="0" applyFont="1" applyFill="1" applyBorder="1" applyAlignment="1">
      <alignment vertical="center" wrapText="1"/>
    </xf>
    <xf numFmtId="0" fontId="104" fillId="0" borderId="37" xfId="0" applyFont="1" applyBorder="1" applyAlignment="1">
      <alignment horizontal="center" vertical="center" textRotation="90" wrapText="1"/>
    </xf>
    <xf numFmtId="0" fontId="104" fillId="0" borderId="84" xfId="0" applyFont="1" applyBorder="1" applyAlignment="1">
      <alignment horizontal="center" vertical="center" textRotation="90" wrapText="1"/>
    </xf>
    <xf numFmtId="0" fontId="104" fillId="0" borderId="83" xfId="0" applyFont="1" applyBorder="1" applyAlignment="1">
      <alignment horizontal="center" vertical="center" textRotation="90" wrapText="1"/>
    </xf>
    <xf numFmtId="0" fontId="69" fillId="42" borderId="38" xfId="1535" applyFont="1" applyFill="1" applyBorder="1" applyAlignment="1">
      <alignment horizontal="center" vertical="center"/>
    </xf>
    <xf numFmtId="0" fontId="73" fillId="39" borderId="26" xfId="1535" applyFont="1" applyFill="1" applyBorder="1" applyAlignment="1">
      <alignment horizontal="center"/>
    </xf>
    <xf numFmtId="0" fontId="73" fillId="39" borderId="61" xfId="1535" applyFont="1" applyFill="1" applyBorder="1" applyAlignment="1">
      <alignment horizontal="center"/>
    </xf>
    <xf numFmtId="0" fontId="73" fillId="39" borderId="42" xfId="1535" applyFont="1" applyFill="1" applyBorder="1" applyAlignment="1">
      <alignment horizontal="center"/>
    </xf>
    <xf numFmtId="0" fontId="107" fillId="43" borderId="0" xfId="1535" applyFont="1" applyFill="1" applyAlignment="1">
      <alignment horizontal="center"/>
    </xf>
    <xf numFmtId="0" fontId="114" fillId="0" borderId="0" xfId="0" applyFont="1" applyAlignment="1">
      <alignment horizontal="center" vertical="center" wrapText="1"/>
    </xf>
    <xf numFmtId="0" fontId="114" fillId="0" borderId="18" xfId="0" applyFont="1" applyBorder="1" applyAlignment="1">
      <alignment horizontal="center" vertical="center" wrapText="1"/>
    </xf>
    <xf numFmtId="0" fontId="0" fillId="0" borderId="0" xfId="0" applyAlignment="1">
      <alignment horizontal="center" wrapText="1"/>
    </xf>
    <xf numFmtId="0" fontId="108" fillId="0" borderId="26" xfId="0" applyFont="1" applyBorder="1" applyAlignment="1">
      <alignment horizontal="center"/>
    </xf>
    <xf numFmtId="0" fontId="108" fillId="0" borderId="61" xfId="0" applyFont="1" applyBorder="1" applyAlignment="1">
      <alignment horizontal="center"/>
    </xf>
    <xf numFmtId="0" fontId="108" fillId="0" borderId="42" xfId="0" applyFont="1" applyBorder="1" applyAlignment="1">
      <alignment horizontal="center"/>
    </xf>
    <xf numFmtId="0" fontId="0" fillId="0" borderId="0" xfId="0" applyAlignment="1">
      <alignment horizontal="center" vertical="center" wrapText="1"/>
    </xf>
    <xf numFmtId="0" fontId="69" fillId="42" borderId="18" xfId="1535" applyFont="1" applyFill="1" applyBorder="1" applyAlignment="1">
      <alignment horizontal="center" vertical="center"/>
    </xf>
    <xf numFmtId="167" fontId="0" fillId="0" borderId="0" xfId="1540" applyNumberFormat="1" applyFont="1" applyFill="1"/>
  </cellXfs>
  <cellStyles count="1794">
    <cellStyle name="???????????" xfId="205"/>
    <cellStyle name="??????????? 2" xfId="206"/>
    <cellStyle name="???????_2++" xfId="207"/>
    <cellStyle name="20 % - Akzent1 2" xfId="4"/>
    <cellStyle name="20 % - Akzent1 2 2" xfId="5"/>
    <cellStyle name="20 % - Akzent1 3" xfId="6"/>
    <cellStyle name="20 % - Akzent1 3 2" xfId="7"/>
    <cellStyle name="20 % - Akzent2 2" xfId="8"/>
    <cellStyle name="20 % - Akzent2 2 2" xfId="9"/>
    <cellStyle name="20 % - Akzent2 3" xfId="10"/>
    <cellStyle name="20 % - Akzent2 3 2" xfId="11"/>
    <cellStyle name="20 % - Akzent3 2" xfId="12"/>
    <cellStyle name="20 % - Akzent3 2 2" xfId="13"/>
    <cellStyle name="20 % - Akzent3 3" xfId="14"/>
    <cellStyle name="20 % - Akzent3 3 2" xfId="15"/>
    <cellStyle name="20 % - Akzent4 2" xfId="16"/>
    <cellStyle name="20 % - Akzent4 2 2" xfId="17"/>
    <cellStyle name="20 % - Akzent4 3" xfId="18"/>
    <cellStyle name="20 % - Akzent4 3 2" xfId="19"/>
    <cellStyle name="20 % - Akzent5 2" xfId="20"/>
    <cellStyle name="20 % - Akzent5 2 2" xfId="21"/>
    <cellStyle name="20 % - Akzent5 3" xfId="22"/>
    <cellStyle name="20 % - Akzent5 3 2" xfId="23"/>
    <cellStyle name="20 % - Akzent6 2" xfId="24"/>
    <cellStyle name="20 % - Akzent6 2 2" xfId="25"/>
    <cellStyle name="20 % - Akzent6 3" xfId="26"/>
    <cellStyle name="20 % - Akzent6 3 2" xfId="27"/>
    <cellStyle name="20% - Accent1 2" xfId="28"/>
    <cellStyle name="20% - Accent1 2 2" xfId="29"/>
    <cellStyle name="20% - Accent1 3" xfId="30"/>
    <cellStyle name="20% - Accent1 3 2" xfId="31"/>
    <cellStyle name="20% - Accent2 2" xfId="32"/>
    <cellStyle name="20% - Accent2 2 2" xfId="33"/>
    <cellStyle name="20% - Accent2 3" xfId="34"/>
    <cellStyle name="20% - Accent2 3 2" xfId="35"/>
    <cellStyle name="20% - Accent3 2" xfId="36"/>
    <cellStyle name="20% - Accent3 2 2" xfId="37"/>
    <cellStyle name="20% - Accent3 3" xfId="38"/>
    <cellStyle name="20% - Accent3 3 2" xfId="39"/>
    <cellStyle name="20% - Accent4 2" xfId="40"/>
    <cellStyle name="20% - Accent4 2 2" xfId="41"/>
    <cellStyle name="20% - Accent4 3" xfId="42"/>
    <cellStyle name="20% - Accent4 3 2" xfId="43"/>
    <cellStyle name="20% - Accent5 2" xfId="44"/>
    <cellStyle name="20% - Accent5 2 2" xfId="45"/>
    <cellStyle name="20% - Accent5 3" xfId="46"/>
    <cellStyle name="20% - Accent5 3 2" xfId="47"/>
    <cellStyle name="20% - Accent6 2" xfId="48"/>
    <cellStyle name="20% - Accent6 2 2" xfId="49"/>
    <cellStyle name="20% - Accent6 3" xfId="50"/>
    <cellStyle name="20% - Accent6 3 2" xfId="51"/>
    <cellStyle name="2x indented GHG Textfiels" xfId="52"/>
    <cellStyle name="2x indented GHG Textfiels 2" xfId="53"/>
    <cellStyle name="2x indented GHG Textfiels 2 2" xfId="54"/>
    <cellStyle name="2x indented GHG Textfiels 2 2 2" xfId="55"/>
    <cellStyle name="2x indented GHG Textfiels 2 3" xfId="56"/>
    <cellStyle name="2x indented GHG Textfiels 3" xfId="57"/>
    <cellStyle name="2x indented GHG Textfiels 3 2" xfId="58"/>
    <cellStyle name="2x indented GHG Textfiels 3 2 2" xfId="59"/>
    <cellStyle name="2x indented GHG Textfiels 3 2 2 2" xfId="60"/>
    <cellStyle name="2x indented GHG Textfiels 3 2 2 2 2" xfId="61"/>
    <cellStyle name="2x indented GHG Textfiels 3 2 2 3" xfId="62"/>
    <cellStyle name="2x indented GHG Textfiels 3 2 3" xfId="63"/>
    <cellStyle name="2x indented GHG Textfiels 3 2 3 2" xfId="64"/>
    <cellStyle name="2x indented GHG Textfiels 3 2 4" xfId="65"/>
    <cellStyle name="2x indented GHG Textfiels 3 3" xfId="66"/>
    <cellStyle name="2x indented GHG Textfiels 3 3 2" xfId="67"/>
    <cellStyle name="2x indented GHG Textfiels 3 3 2 2" xfId="68"/>
    <cellStyle name="2x indented GHG Textfiels 3 3 2 2 2" xfId="69"/>
    <cellStyle name="2x indented GHG Textfiels 3 3 2 3" xfId="70"/>
    <cellStyle name="2x indented GHG Textfiels 3 3 3" xfId="71"/>
    <cellStyle name="2x indented GHG Textfiels 3 3 3 2" xfId="72"/>
    <cellStyle name="2x indented GHG Textfiels 3 3 3 2 2" xfId="73"/>
    <cellStyle name="2x indented GHG Textfiels 3 3 3 3" xfId="74"/>
    <cellStyle name="2x indented GHG Textfiels 3 3 4" xfId="75"/>
    <cellStyle name="2x indented GHG Textfiels 3 3 4 2" xfId="76"/>
    <cellStyle name="2x indented GHG Textfiels 3 3 4 2 2" xfId="77"/>
    <cellStyle name="2x indented GHG Textfiels 3 3 4 3" xfId="78"/>
    <cellStyle name="2x indented GHG Textfiels 3 3 5" xfId="79"/>
    <cellStyle name="2x indented GHG Textfiels 3 4" xfId="80"/>
    <cellStyle name="2x indented GHG Textfiels 4" xfId="81"/>
    <cellStyle name="40 % - Akzent1 2" xfId="82"/>
    <cellStyle name="40 % - Akzent1 2 2" xfId="83"/>
    <cellStyle name="40 % - Akzent1 3" xfId="84"/>
    <cellStyle name="40 % - Akzent1 3 2" xfId="85"/>
    <cellStyle name="40 % - Akzent2 2" xfId="86"/>
    <cellStyle name="40 % - Akzent2 2 2" xfId="87"/>
    <cellStyle name="40 % - Akzent2 3" xfId="88"/>
    <cellStyle name="40 % - Akzent2 3 2" xfId="89"/>
    <cellStyle name="40 % - Akzent3 2" xfId="90"/>
    <cellStyle name="40 % - Akzent3 2 2" xfId="91"/>
    <cellStyle name="40 % - Akzent3 3" xfId="92"/>
    <cellStyle name="40 % - Akzent3 3 2" xfId="93"/>
    <cellStyle name="40 % - Akzent4 2" xfId="94"/>
    <cellStyle name="40 % - Akzent4 2 2" xfId="95"/>
    <cellStyle name="40 % - Akzent4 3" xfId="96"/>
    <cellStyle name="40 % - Akzent4 3 2" xfId="97"/>
    <cellStyle name="40 % - Akzent5 2" xfId="98"/>
    <cellStyle name="40 % - Akzent5 2 2" xfId="99"/>
    <cellStyle name="40 % - Akzent5 3" xfId="100"/>
    <cellStyle name="40 % - Akzent5 3 2" xfId="101"/>
    <cellStyle name="40 % - Akzent6 2" xfId="102"/>
    <cellStyle name="40 % - Akzent6 2 2" xfId="103"/>
    <cellStyle name="40 % - Akzent6 3" xfId="104"/>
    <cellStyle name="40 % - Akzent6 3 2" xfId="105"/>
    <cellStyle name="40% - Accent1 2" xfId="106"/>
    <cellStyle name="40% - Accent1 2 2" xfId="107"/>
    <cellStyle name="40% - Accent1 3" xfId="108"/>
    <cellStyle name="40% - Accent1 3 2" xfId="109"/>
    <cellStyle name="40% - Accent2 2" xfId="110"/>
    <cellStyle name="40% - Accent2 2 2" xfId="111"/>
    <cellStyle name="40% - Accent2 3" xfId="112"/>
    <cellStyle name="40% - Accent2 3 2" xfId="113"/>
    <cellStyle name="40% - Accent3 2" xfId="114"/>
    <cellStyle name="40% - Accent3 2 2" xfId="115"/>
    <cellStyle name="40% - Accent3 3" xfId="116"/>
    <cellStyle name="40% - Accent3 3 2" xfId="117"/>
    <cellStyle name="40% - Accent4 2" xfId="118"/>
    <cellStyle name="40% - Accent4 2 2" xfId="119"/>
    <cellStyle name="40% - Accent4 3" xfId="120"/>
    <cellStyle name="40% - Accent4 3 2" xfId="121"/>
    <cellStyle name="40% - Accent5 2" xfId="122"/>
    <cellStyle name="40% - Accent5 2 2" xfId="123"/>
    <cellStyle name="40% - Accent5 3" xfId="124"/>
    <cellStyle name="40% - Accent5 3 2" xfId="125"/>
    <cellStyle name="40% - Accent6 2" xfId="126"/>
    <cellStyle name="40% - Accent6 2 2" xfId="127"/>
    <cellStyle name="40% - Accent6 3" xfId="128"/>
    <cellStyle name="40% - Accent6 3 2" xfId="129"/>
    <cellStyle name="5x indented GHG Textfiels" xfId="130"/>
    <cellStyle name="5x indented GHG Textfiels 2" xfId="131"/>
    <cellStyle name="5x indented GHG Textfiels 2 2" xfId="132"/>
    <cellStyle name="5x indented GHG Textfiels 2 2 2" xfId="133"/>
    <cellStyle name="5x indented GHG Textfiels 2 3" xfId="134"/>
    <cellStyle name="5x indented GHG Textfiels 3" xfId="135"/>
    <cellStyle name="5x indented GHG Textfiels 3 2" xfId="136"/>
    <cellStyle name="5x indented GHG Textfiels 3 2 2" xfId="137"/>
    <cellStyle name="5x indented GHG Textfiels 3 3" xfId="138"/>
    <cellStyle name="5x indented GHG Textfiels 3 3 2" xfId="139"/>
    <cellStyle name="5x indented GHG Textfiels 3 3 2 2" xfId="140"/>
    <cellStyle name="5x indented GHG Textfiels 3 3 2 2 2" xfId="141"/>
    <cellStyle name="5x indented GHG Textfiels 3 3 2 3" xfId="142"/>
    <cellStyle name="5x indented GHG Textfiels 3 3 3" xfId="143"/>
    <cellStyle name="5x indented GHG Textfiels 3 3 3 2" xfId="144"/>
    <cellStyle name="5x indented GHG Textfiels 3 3 3 2 2" xfId="145"/>
    <cellStyle name="5x indented GHG Textfiels 3 3 3 3" xfId="146"/>
    <cellStyle name="5x indented GHG Textfiels 3 3 4" xfId="147"/>
    <cellStyle name="5x indented GHG Textfiels 3 3 4 2" xfId="148"/>
    <cellStyle name="5x indented GHG Textfiels 3 3 4 2 2" xfId="149"/>
    <cellStyle name="5x indented GHG Textfiels 3 3 4 3" xfId="150"/>
    <cellStyle name="5x indented GHG Textfiels 3 3 5" xfId="151"/>
    <cellStyle name="5x indented GHG Textfiels 3 3 5 2" xfId="152"/>
    <cellStyle name="5x indented GHG Textfiels 3 3 6" xfId="153"/>
    <cellStyle name="5x indented GHG Textfiels 3 4" xfId="154"/>
    <cellStyle name="5x indented GHG Textfiels 4" xfId="155"/>
    <cellStyle name="5x indented GHG Textfiels_Table 4(II)" xfId="156"/>
    <cellStyle name="60 % - Akzent1 2" xfId="157"/>
    <cellStyle name="60 % - Akzent1 2 2" xfId="158"/>
    <cellStyle name="60 % - Akzent1 3" xfId="159"/>
    <cellStyle name="60 % - Akzent1 3 2" xfId="160"/>
    <cellStyle name="60 % - Akzent2 2" xfId="161"/>
    <cellStyle name="60 % - Akzent2 2 2" xfId="162"/>
    <cellStyle name="60 % - Akzent2 3" xfId="163"/>
    <cellStyle name="60 % - Akzent2 3 2" xfId="164"/>
    <cellStyle name="60 % - Akzent3 2" xfId="165"/>
    <cellStyle name="60 % - Akzent3 2 2" xfId="166"/>
    <cellStyle name="60 % - Akzent3 3" xfId="167"/>
    <cellStyle name="60 % - Akzent3 3 2" xfId="168"/>
    <cellStyle name="60 % - Akzent4 2" xfId="169"/>
    <cellStyle name="60 % - Akzent4 2 2" xfId="170"/>
    <cellStyle name="60 % - Akzent4 3" xfId="171"/>
    <cellStyle name="60 % - Akzent4 3 2" xfId="172"/>
    <cellStyle name="60 % - Akzent5 2" xfId="173"/>
    <cellStyle name="60 % - Akzent5 2 2" xfId="174"/>
    <cellStyle name="60 % - Akzent5 3" xfId="175"/>
    <cellStyle name="60 % - Akzent5 3 2" xfId="176"/>
    <cellStyle name="60 % - Akzent6 2" xfId="177"/>
    <cellStyle name="60 % - Akzent6 2 2" xfId="178"/>
    <cellStyle name="60 % - Akzent6 3" xfId="179"/>
    <cellStyle name="60 % - Akzent6 3 2" xfId="180"/>
    <cellStyle name="60% - Accent1 2" xfId="181"/>
    <cellStyle name="60% - Accent1 2 2" xfId="182"/>
    <cellStyle name="60% - Accent1 3" xfId="183"/>
    <cellStyle name="60% - Accent1 3 2" xfId="184"/>
    <cellStyle name="60% - Accent2 2" xfId="185"/>
    <cellStyle name="60% - Accent2 2 2" xfId="186"/>
    <cellStyle name="60% - Accent2 3" xfId="187"/>
    <cellStyle name="60% - Accent2 3 2" xfId="188"/>
    <cellStyle name="60% - Accent3 2" xfId="189"/>
    <cellStyle name="60% - Accent3 2 2" xfId="190"/>
    <cellStyle name="60% - Accent3 3" xfId="191"/>
    <cellStyle name="60% - Accent3 3 2" xfId="192"/>
    <cellStyle name="60% - Accent4 2" xfId="193"/>
    <cellStyle name="60% - Accent4 2 2" xfId="194"/>
    <cellStyle name="60% - Accent4 3" xfId="195"/>
    <cellStyle name="60% - Accent4 3 2" xfId="196"/>
    <cellStyle name="60% - Accent5 2" xfId="197"/>
    <cellStyle name="60% - Accent5 2 2" xfId="198"/>
    <cellStyle name="60% - Accent5 3" xfId="199"/>
    <cellStyle name="60% - Accent5 3 2" xfId="200"/>
    <cellStyle name="60% - Accent6 2" xfId="201"/>
    <cellStyle name="60% - Accent6 2 2" xfId="202"/>
    <cellStyle name="60% - Accent6 3" xfId="203"/>
    <cellStyle name="60% - Accent6 3 2" xfId="204"/>
    <cellStyle name="Accent 1 1" xfId="208"/>
    <cellStyle name="Accent 1 1 2" xfId="209"/>
    <cellStyle name="Accent 1 6" xfId="210"/>
    <cellStyle name="Accent 2 1" xfId="211"/>
    <cellStyle name="Accent 2 1 2" xfId="212"/>
    <cellStyle name="Accent 2 7" xfId="213"/>
    <cellStyle name="Accent 3 1" xfId="214"/>
    <cellStyle name="Accent 3 1 2" xfId="215"/>
    <cellStyle name="Accent 3 8" xfId="216"/>
    <cellStyle name="Accent 4" xfId="217"/>
    <cellStyle name="Accent 4 2" xfId="218"/>
    <cellStyle name="Accent 5" xfId="219"/>
    <cellStyle name="Accent1 2" xfId="220"/>
    <cellStyle name="Accent1 2 2" xfId="221"/>
    <cellStyle name="Accent1 3" xfId="222"/>
    <cellStyle name="Accent1 3 2" xfId="223"/>
    <cellStyle name="Accent1 4" xfId="224"/>
    <cellStyle name="Accent1 4 2" xfId="225"/>
    <cellStyle name="Accent2 2" xfId="226"/>
    <cellStyle name="Accent2 2 2" xfId="227"/>
    <cellStyle name="Accent2 3" xfId="228"/>
    <cellStyle name="Accent2 3 2" xfId="229"/>
    <cellStyle name="Accent2 4" xfId="230"/>
    <cellStyle name="Accent2 4 2" xfId="231"/>
    <cellStyle name="Accent3 2" xfId="232"/>
    <cellStyle name="Accent3 2 2" xfId="233"/>
    <cellStyle name="Accent3 3" xfId="234"/>
    <cellStyle name="Accent3 3 2" xfId="235"/>
    <cellStyle name="Accent3 4" xfId="236"/>
    <cellStyle name="Accent3 4 2" xfId="237"/>
    <cellStyle name="Accent4 2" xfId="238"/>
    <cellStyle name="Accent4 2 2" xfId="239"/>
    <cellStyle name="Accent4 3" xfId="240"/>
    <cellStyle name="Accent4 3 2" xfId="241"/>
    <cellStyle name="Accent4 4" xfId="242"/>
    <cellStyle name="Accent4 4 2" xfId="243"/>
    <cellStyle name="Accent5 2" xfId="244"/>
    <cellStyle name="Accent5 2 2" xfId="245"/>
    <cellStyle name="Accent5 3" xfId="246"/>
    <cellStyle name="Accent5 3 2" xfId="247"/>
    <cellStyle name="Accent5 4" xfId="248"/>
    <cellStyle name="Accent5 4 2" xfId="249"/>
    <cellStyle name="Accent6 2" xfId="250"/>
    <cellStyle name="Accent6 2 2" xfId="251"/>
    <cellStyle name="Accent6 3" xfId="252"/>
    <cellStyle name="Accent6 3 2" xfId="253"/>
    <cellStyle name="Accent6 4" xfId="254"/>
    <cellStyle name="Accent6 4 2" xfId="255"/>
    <cellStyle name="AggblueBoldCels" xfId="256"/>
    <cellStyle name="AggblueBoldCels 2" xfId="257"/>
    <cellStyle name="AggblueBoldCels 2 2" xfId="258"/>
    <cellStyle name="AggblueBoldCels 3" xfId="259"/>
    <cellStyle name="AggblueCels" xfId="260"/>
    <cellStyle name="AggblueCels 2" xfId="261"/>
    <cellStyle name="AggblueCels 2 2" xfId="262"/>
    <cellStyle name="AggblueCels 3" xfId="263"/>
    <cellStyle name="AggblueCels_1x" xfId="264"/>
    <cellStyle name="AggBoldCells" xfId="265"/>
    <cellStyle name="AggBoldCells 2" xfId="266"/>
    <cellStyle name="AggBoldCells 2 2" xfId="267"/>
    <cellStyle name="AggBoldCells 3" xfId="268"/>
    <cellStyle name="AggBoldCells 3 2" xfId="269"/>
    <cellStyle name="AggBoldCells 4" xfId="270"/>
    <cellStyle name="AggBoldCells 4 2" xfId="271"/>
    <cellStyle name="AggBoldCells 5" xfId="272"/>
    <cellStyle name="AggCels" xfId="273"/>
    <cellStyle name="AggCels 2" xfId="274"/>
    <cellStyle name="AggCels 2 2" xfId="275"/>
    <cellStyle name="AggCels 3" xfId="276"/>
    <cellStyle name="AggCels 3 2" xfId="277"/>
    <cellStyle name="AggCels 4" xfId="278"/>
    <cellStyle name="AggCels 4 2" xfId="279"/>
    <cellStyle name="AggCels 5" xfId="280"/>
    <cellStyle name="AggCels_T(2)" xfId="281"/>
    <cellStyle name="AggGreen" xfId="282"/>
    <cellStyle name="AggGreen 2" xfId="283"/>
    <cellStyle name="AggGreen 2 2" xfId="284"/>
    <cellStyle name="AggGreen 2 2 2" xfId="285"/>
    <cellStyle name="AggGreen 2 2 2 2" xfId="286"/>
    <cellStyle name="AggGreen 2 2 2 2 2" xfId="287"/>
    <cellStyle name="AggGreen 2 2 2 3" xfId="288"/>
    <cellStyle name="AggGreen 2 2 3" xfId="289"/>
    <cellStyle name="AggGreen 2 2 3 2" xfId="290"/>
    <cellStyle name="AggGreen 2 2 4" xfId="291"/>
    <cellStyle name="AggGreen 2 3" xfId="292"/>
    <cellStyle name="AggGreen 2 3 2" xfId="293"/>
    <cellStyle name="AggGreen 2 3 2 2" xfId="294"/>
    <cellStyle name="AggGreen 2 3 2 2 2" xfId="295"/>
    <cellStyle name="AggGreen 2 3 2 3" xfId="296"/>
    <cellStyle name="AggGreen 2 3 3" xfId="297"/>
    <cellStyle name="AggGreen 2 3 3 2" xfId="298"/>
    <cellStyle name="AggGreen 2 3 3 2 2" xfId="299"/>
    <cellStyle name="AggGreen 2 3 3 3" xfId="300"/>
    <cellStyle name="AggGreen 2 3 4" xfId="301"/>
    <cellStyle name="AggGreen 2 3 4 2" xfId="302"/>
    <cellStyle name="AggGreen 2 3 4 2 2" xfId="303"/>
    <cellStyle name="AggGreen 2 3 4 3" xfId="304"/>
    <cellStyle name="AggGreen 2 3 5" xfId="305"/>
    <cellStyle name="AggGreen 2 4" xfId="306"/>
    <cellStyle name="AggGreen 3" xfId="307"/>
    <cellStyle name="AggGreen 3 2" xfId="308"/>
    <cellStyle name="AggGreen 3 2 2" xfId="309"/>
    <cellStyle name="AggGreen 3 2 2 2" xfId="310"/>
    <cellStyle name="AggGreen 3 2 3" xfId="311"/>
    <cellStyle name="AggGreen 3 3" xfId="312"/>
    <cellStyle name="AggGreen 3 3 2" xfId="313"/>
    <cellStyle name="AggGreen 3 4" xfId="314"/>
    <cellStyle name="AggGreen 4" xfId="315"/>
    <cellStyle name="AggGreen 4 2" xfId="316"/>
    <cellStyle name="AggGreen 4 2 2" xfId="317"/>
    <cellStyle name="AggGreen 4 2 2 2" xfId="318"/>
    <cellStyle name="AggGreen 4 2 3" xfId="319"/>
    <cellStyle name="AggGreen 4 3" xfId="320"/>
    <cellStyle name="AggGreen 4 3 2" xfId="321"/>
    <cellStyle name="AggGreen 4 3 2 2" xfId="322"/>
    <cellStyle name="AggGreen 4 3 3" xfId="323"/>
    <cellStyle name="AggGreen 4 4" xfId="324"/>
    <cellStyle name="AggGreen 4 4 2" xfId="325"/>
    <cellStyle name="AggGreen 4 4 2 2" xfId="326"/>
    <cellStyle name="AggGreen 4 4 3" xfId="327"/>
    <cellStyle name="AggGreen 4 5" xfId="328"/>
    <cellStyle name="AggGreen 5" xfId="329"/>
    <cellStyle name="AggGreen 5 2" xfId="330"/>
    <cellStyle name="AggGreen 6" xfId="331"/>
    <cellStyle name="AggGreen_Bbdr" xfId="382"/>
    <cellStyle name="AggGreen12" xfId="332"/>
    <cellStyle name="AggGreen12 2" xfId="333"/>
    <cellStyle name="AggGreen12 2 2" xfId="334"/>
    <cellStyle name="AggGreen12 2 2 2" xfId="335"/>
    <cellStyle name="AggGreen12 2 2 2 2" xfId="336"/>
    <cellStyle name="AggGreen12 2 2 2 2 2" xfId="337"/>
    <cellStyle name="AggGreen12 2 2 2 3" xfId="338"/>
    <cellStyle name="AggGreen12 2 2 3" xfId="339"/>
    <cellStyle name="AggGreen12 2 2 3 2" xfId="340"/>
    <cellStyle name="AggGreen12 2 2 4" xfId="341"/>
    <cellStyle name="AggGreen12 2 3" xfId="342"/>
    <cellStyle name="AggGreen12 2 3 2" xfId="343"/>
    <cellStyle name="AggGreen12 2 3 2 2" xfId="344"/>
    <cellStyle name="AggGreen12 2 3 2 2 2" xfId="345"/>
    <cellStyle name="AggGreen12 2 3 2 3" xfId="346"/>
    <cellStyle name="AggGreen12 2 3 3" xfId="347"/>
    <cellStyle name="AggGreen12 2 3 3 2" xfId="348"/>
    <cellStyle name="AggGreen12 2 3 3 2 2" xfId="349"/>
    <cellStyle name="AggGreen12 2 3 3 3" xfId="350"/>
    <cellStyle name="AggGreen12 2 3 4" xfId="351"/>
    <cellStyle name="AggGreen12 2 3 4 2" xfId="352"/>
    <cellStyle name="AggGreen12 2 3 4 2 2" xfId="353"/>
    <cellStyle name="AggGreen12 2 3 4 3" xfId="354"/>
    <cellStyle name="AggGreen12 2 3 5" xfId="355"/>
    <cellStyle name="AggGreen12 2 4" xfId="356"/>
    <cellStyle name="AggGreen12 3" xfId="357"/>
    <cellStyle name="AggGreen12 3 2" xfId="358"/>
    <cellStyle name="AggGreen12 3 2 2" xfId="359"/>
    <cellStyle name="AggGreen12 3 2 2 2" xfId="360"/>
    <cellStyle name="AggGreen12 3 2 3" xfId="361"/>
    <cellStyle name="AggGreen12 3 3" xfId="362"/>
    <cellStyle name="AggGreen12 3 3 2" xfId="363"/>
    <cellStyle name="AggGreen12 3 4" xfId="364"/>
    <cellStyle name="AggGreen12 4" xfId="365"/>
    <cellStyle name="AggGreen12 4 2" xfId="366"/>
    <cellStyle name="AggGreen12 4 2 2" xfId="367"/>
    <cellStyle name="AggGreen12 4 2 2 2" xfId="368"/>
    <cellStyle name="AggGreen12 4 2 3" xfId="369"/>
    <cellStyle name="AggGreen12 4 3" xfId="370"/>
    <cellStyle name="AggGreen12 4 3 2" xfId="371"/>
    <cellStyle name="AggGreen12 4 3 2 2" xfId="372"/>
    <cellStyle name="AggGreen12 4 3 3" xfId="373"/>
    <cellStyle name="AggGreen12 4 4" xfId="374"/>
    <cellStyle name="AggGreen12 4 4 2" xfId="375"/>
    <cellStyle name="AggGreen12 4 4 2 2" xfId="376"/>
    <cellStyle name="AggGreen12 4 4 3" xfId="377"/>
    <cellStyle name="AggGreen12 4 5" xfId="378"/>
    <cellStyle name="AggGreen12 5" xfId="379"/>
    <cellStyle name="AggGreen12 5 2" xfId="380"/>
    <cellStyle name="AggGreen12 6" xfId="381"/>
    <cellStyle name="AggOrange" xfId="383"/>
    <cellStyle name="AggOrange 2" xfId="384"/>
    <cellStyle name="AggOrange 2 2" xfId="385"/>
    <cellStyle name="AggOrange 2 2 2" xfId="386"/>
    <cellStyle name="AggOrange 2 2 2 2" xfId="387"/>
    <cellStyle name="AggOrange 2 2 2 2 2" xfId="388"/>
    <cellStyle name="AggOrange 2 2 2 3" xfId="389"/>
    <cellStyle name="AggOrange 2 2 3" xfId="390"/>
    <cellStyle name="AggOrange 2 2 3 2" xfId="391"/>
    <cellStyle name="AggOrange 2 2 4" xfId="392"/>
    <cellStyle name="AggOrange 2 3" xfId="393"/>
    <cellStyle name="AggOrange 2 3 2" xfId="394"/>
    <cellStyle name="AggOrange 2 3 2 2" xfId="395"/>
    <cellStyle name="AggOrange 2 3 2 2 2" xfId="396"/>
    <cellStyle name="AggOrange 2 3 2 3" xfId="397"/>
    <cellStyle name="AggOrange 2 3 3" xfId="398"/>
    <cellStyle name="AggOrange 2 3 3 2" xfId="399"/>
    <cellStyle name="AggOrange 2 3 3 2 2" xfId="400"/>
    <cellStyle name="AggOrange 2 3 3 3" xfId="401"/>
    <cellStyle name="AggOrange 2 3 4" xfId="402"/>
    <cellStyle name="AggOrange 2 3 4 2" xfId="403"/>
    <cellStyle name="AggOrange 2 3 4 2 2" xfId="404"/>
    <cellStyle name="AggOrange 2 3 4 3" xfId="405"/>
    <cellStyle name="AggOrange 2 3 5" xfId="406"/>
    <cellStyle name="AggOrange 2 4" xfId="407"/>
    <cellStyle name="AggOrange 3" xfId="408"/>
    <cellStyle name="AggOrange 3 2" xfId="409"/>
    <cellStyle name="AggOrange 3 2 2" xfId="410"/>
    <cellStyle name="AggOrange 3 2 2 2" xfId="411"/>
    <cellStyle name="AggOrange 3 2 3" xfId="412"/>
    <cellStyle name="AggOrange 3 3" xfId="413"/>
    <cellStyle name="AggOrange 3 3 2" xfId="414"/>
    <cellStyle name="AggOrange 3 4" xfId="415"/>
    <cellStyle name="AggOrange 4" xfId="416"/>
    <cellStyle name="AggOrange 4 2" xfId="417"/>
    <cellStyle name="AggOrange 4 2 2" xfId="418"/>
    <cellStyle name="AggOrange 4 2 2 2" xfId="419"/>
    <cellStyle name="AggOrange 4 2 3" xfId="420"/>
    <cellStyle name="AggOrange 4 3" xfId="421"/>
    <cellStyle name="AggOrange 4 3 2" xfId="422"/>
    <cellStyle name="AggOrange 4 3 2 2" xfId="423"/>
    <cellStyle name="AggOrange 4 3 3" xfId="424"/>
    <cellStyle name="AggOrange 4 4" xfId="425"/>
    <cellStyle name="AggOrange 4 4 2" xfId="426"/>
    <cellStyle name="AggOrange 4 4 2 2" xfId="427"/>
    <cellStyle name="AggOrange 4 4 3" xfId="428"/>
    <cellStyle name="AggOrange 4 5" xfId="429"/>
    <cellStyle name="AggOrange 5" xfId="430"/>
    <cellStyle name="AggOrange 5 2" xfId="431"/>
    <cellStyle name="AggOrange 6" xfId="432"/>
    <cellStyle name="AggOrange_B_border" xfId="483"/>
    <cellStyle name="AggOrange9" xfId="433"/>
    <cellStyle name="AggOrange9 2" xfId="434"/>
    <cellStyle name="AggOrange9 2 2" xfId="435"/>
    <cellStyle name="AggOrange9 2 2 2" xfId="436"/>
    <cellStyle name="AggOrange9 2 2 2 2" xfId="437"/>
    <cellStyle name="AggOrange9 2 2 2 2 2" xfId="438"/>
    <cellStyle name="AggOrange9 2 2 2 3" xfId="439"/>
    <cellStyle name="AggOrange9 2 2 3" xfId="440"/>
    <cellStyle name="AggOrange9 2 2 3 2" xfId="441"/>
    <cellStyle name="AggOrange9 2 2 4" xfId="442"/>
    <cellStyle name="AggOrange9 2 3" xfId="443"/>
    <cellStyle name="AggOrange9 2 3 2" xfId="444"/>
    <cellStyle name="AggOrange9 2 3 2 2" xfId="445"/>
    <cellStyle name="AggOrange9 2 3 2 2 2" xfId="446"/>
    <cellStyle name="AggOrange9 2 3 2 3" xfId="447"/>
    <cellStyle name="AggOrange9 2 3 3" xfId="448"/>
    <cellStyle name="AggOrange9 2 3 3 2" xfId="449"/>
    <cellStyle name="AggOrange9 2 3 3 2 2" xfId="450"/>
    <cellStyle name="AggOrange9 2 3 3 3" xfId="451"/>
    <cellStyle name="AggOrange9 2 3 4" xfId="452"/>
    <cellStyle name="AggOrange9 2 3 4 2" xfId="453"/>
    <cellStyle name="AggOrange9 2 3 4 2 2" xfId="454"/>
    <cellStyle name="AggOrange9 2 3 4 3" xfId="455"/>
    <cellStyle name="AggOrange9 2 3 5" xfId="456"/>
    <cellStyle name="AggOrange9 2 4" xfId="457"/>
    <cellStyle name="AggOrange9 3" xfId="458"/>
    <cellStyle name="AggOrange9 3 2" xfId="459"/>
    <cellStyle name="AggOrange9 3 2 2" xfId="460"/>
    <cellStyle name="AggOrange9 3 2 2 2" xfId="461"/>
    <cellStyle name="AggOrange9 3 2 3" xfId="462"/>
    <cellStyle name="AggOrange9 3 3" xfId="463"/>
    <cellStyle name="AggOrange9 3 3 2" xfId="464"/>
    <cellStyle name="AggOrange9 3 4" xfId="465"/>
    <cellStyle name="AggOrange9 4" xfId="466"/>
    <cellStyle name="AggOrange9 4 2" xfId="467"/>
    <cellStyle name="AggOrange9 4 2 2" xfId="468"/>
    <cellStyle name="AggOrange9 4 2 2 2" xfId="469"/>
    <cellStyle name="AggOrange9 4 2 3" xfId="470"/>
    <cellStyle name="AggOrange9 4 3" xfId="471"/>
    <cellStyle name="AggOrange9 4 3 2" xfId="472"/>
    <cellStyle name="AggOrange9 4 3 2 2" xfId="473"/>
    <cellStyle name="AggOrange9 4 3 3" xfId="474"/>
    <cellStyle name="AggOrange9 4 4" xfId="475"/>
    <cellStyle name="AggOrange9 4 4 2" xfId="476"/>
    <cellStyle name="AggOrange9 4 4 2 2" xfId="477"/>
    <cellStyle name="AggOrange9 4 4 3" xfId="478"/>
    <cellStyle name="AggOrange9 4 5" xfId="479"/>
    <cellStyle name="AggOrange9 5" xfId="480"/>
    <cellStyle name="AggOrange9 5 2" xfId="481"/>
    <cellStyle name="AggOrange9 6" xfId="482"/>
    <cellStyle name="AggOrangeLB_2x" xfId="484"/>
    <cellStyle name="AggOrangeLBorder" xfId="485"/>
    <cellStyle name="AggOrangeLBorder 2" xfId="486"/>
    <cellStyle name="AggOrangeLBorder 2 2" xfId="487"/>
    <cellStyle name="AggOrangeLBorder 2 2 2" xfId="488"/>
    <cellStyle name="AggOrangeLBorder 2 3" xfId="489"/>
    <cellStyle name="AggOrangeLBorder 2 3 2" xfId="490"/>
    <cellStyle name="AggOrangeLBorder 2 3 2 2" xfId="491"/>
    <cellStyle name="AggOrangeLBorder 2 3 2 2 2" xfId="492"/>
    <cellStyle name="AggOrangeLBorder 2 3 2 3" xfId="493"/>
    <cellStyle name="AggOrangeLBorder 2 3 3" xfId="494"/>
    <cellStyle name="AggOrangeLBorder 2 3 3 2" xfId="495"/>
    <cellStyle name="AggOrangeLBorder 2 3 3 2 2" xfId="496"/>
    <cellStyle name="AggOrangeLBorder 2 3 3 3" xfId="497"/>
    <cellStyle name="AggOrangeLBorder 2 3 4" xfId="498"/>
    <cellStyle name="AggOrangeLBorder 2 3 4 2" xfId="499"/>
    <cellStyle name="AggOrangeLBorder 2 3 4 2 2" xfId="500"/>
    <cellStyle name="AggOrangeLBorder 2 3 4 3" xfId="501"/>
    <cellStyle name="AggOrangeLBorder 2 3 5" xfId="502"/>
    <cellStyle name="AggOrangeLBorder 2 3 5 2" xfId="503"/>
    <cellStyle name="AggOrangeLBorder 2 3 6" xfId="504"/>
    <cellStyle name="AggOrangeLBorder 2 4" xfId="505"/>
    <cellStyle name="AggOrangeLBorder 3" xfId="506"/>
    <cellStyle name="AggOrangeLBorder 3 2" xfId="507"/>
    <cellStyle name="AggOrangeLBorder 4" xfId="508"/>
    <cellStyle name="AggOrangeLBorder 4 2" xfId="509"/>
    <cellStyle name="AggOrangeLBorder 4 2 2" xfId="510"/>
    <cellStyle name="AggOrangeLBorder 4 2 2 2" xfId="511"/>
    <cellStyle name="AggOrangeLBorder 4 2 3" xfId="512"/>
    <cellStyle name="AggOrangeLBorder 4 3" xfId="513"/>
    <cellStyle name="AggOrangeLBorder 4 3 2" xfId="514"/>
    <cellStyle name="AggOrangeLBorder 4 3 2 2" xfId="515"/>
    <cellStyle name="AggOrangeLBorder 4 3 3" xfId="516"/>
    <cellStyle name="AggOrangeLBorder 4 4" xfId="517"/>
    <cellStyle name="AggOrangeLBorder 4 4 2" xfId="518"/>
    <cellStyle name="AggOrangeLBorder 4 4 2 2" xfId="519"/>
    <cellStyle name="AggOrangeLBorder 4 4 3" xfId="520"/>
    <cellStyle name="AggOrangeLBorder 4 5" xfId="521"/>
    <cellStyle name="AggOrangeLBorder 4 5 2" xfId="522"/>
    <cellStyle name="AggOrangeLBorder 4 6" xfId="523"/>
    <cellStyle name="AggOrangeLBorder 5" xfId="524"/>
    <cellStyle name="AggOrangeLBorder 5 2" xfId="525"/>
    <cellStyle name="AggOrangeLBorder 6" xfId="526"/>
    <cellStyle name="AggOrangeRBorder" xfId="527"/>
    <cellStyle name="AggOrangeRBorder 2" xfId="528"/>
    <cellStyle name="AggOrangeRBorder 2 2" xfId="529"/>
    <cellStyle name="AggOrangeRBorder 2 2 2" xfId="530"/>
    <cellStyle name="AggOrangeRBorder 2 2 2 2" xfId="531"/>
    <cellStyle name="AggOrangeRBorder 2 2 2 2 2" xfId="532"/>
    <cellStyle name="AggOrangeRBorder 2 2 2 3" xfId="533"/>
    <cellStyle name="AggOrangeRBorder 2 2 3" xfId="534"/>
    <cellStyle name="AggOrangeRBorder 2 3" xfId="535"/>
    <cellStyle name="AggOrangeRBorder 2 3 2" xfId="536"/>
    <cellStyle name="AggOrangeRBorder 2 3 2 2" xfId="537"/>
    <cellStyle name="AggOrangeRBorder 2 3 2 2 2" xfId="538"/>
    <cellStyle name="AggOrangeRBorder 2 3 2 3" xfId="539"/>
    <cellStyle name="AggOrangeRBorder 2 3 3" xfId="540"/>
    <cellStyle name="AggOrangeRBorder 2 3 3 2" xfId="541"/>
    <cellStyle name="AggOrangeRBorder 2 3 3 2 2" xfId="542"/>
    <cellStyle name="AggOrangeRBorder 2 3 3 3" xfId="543"/>
    <cellStyle name="AggOrangeRBorder 2 3 4" xfId="544"/>
    <cellStyle name="AggOrangeRBorder 2 3 4 2" xfId="545"/>
    <cellStyle name="AggOrangeRBorder 2 3 4 2 2" xfId="546"/>
    <cellStyle name="AggOrangeRBorder 2 3 4 3" xfId="547"/>
    <cellStyle name="AggOrangeRBorder 2 3 5" xfId="548"/>
    <cellStyle name="AggOrangeRBorder 2 3 5 2" xfId="549"/>
    <cellStyle name="AggOrangeRBorder 2 3 6" xfId="550"/>
    <cellStyle name="AggOrangeRBorder 2 4" xfId="551"/>
    <cellStyle name="AggOrangeRBorder 3" xfId="552"/>
    <cellStyle name="AggOrangeRBorder 3 2" xfId="553"/>
    <cellStyle name="AggOrangeRBorder 3 2 2" xfId="554"/>
    <cellStyle name="AggOrangeRBorder 3 2 2 2" xfId="555"/>
    <cellStyle name="AggOrangeRBorder 3 2 3" xfId="556"/>
    <cellStyle name="AggOrangeRBorder 3 2 3 2" xfId="557"/>
    <cellStyle name="AggOrangeRBorder 3 2 4" xfId="558"/>
    <cellStyle name="AggOrangeRBorder 3 3" xfId="559"/>
    <cellStyle name="AggOrangeRBorder 4" xfId="560"/>
    <cellStyle name="AggOrangeRBorder 4 2" xfId="561"/>
    <cellStyle name="AggOrangeRBorder 4 2 2" xfId="562"/>
    <cellStyle name="AggOrangeRBorder 4 2 2 2" xfId="563"/>
    <cellStyle name="AggOrangeRBorder 4 2 3" xfId="564"/>
    <cellStyle name="AggOrangeRBorder 4 3" xfId="565"/>
    <cellStyle name="AggOrangeRBorder 4 3 2" xfId="566"/>
    <cellStyle name="AggOrangeRBorder 4 3 2 2" xfId="567"/>
    <cellStyle name="AggOrangeRBorder 4 3 3" xfId="568"/>
    <cellStyle name="AggOrangeRBorder 4 4" xfId="569"/>
    <cellStyle name="AggOrangeRBorder 4 4 2" xfId="570"/>
    <cellStyle name="AggOrangeRBorder 4 4 2 2" xfId="571"/>
    <cellStyle name="AggOrangeRBorder 4 4 3" xfId="572"/>
    <cellStyle name="AggOrangeRBorder 4 5" xfId="573"/>
    <cellStyle name="AggOrangeRBorder 4 5 2" xfId="574"/>
    <cellStyle name="AggOrangeRBorder 4 6" xfId="575"/>
    <cellStyle name="AggOrangeRBorder 5" xfId="576"/>
    <cellStyle name="AggOrangeRBorder 5 2" xfId="577"/>
    <cellStyle name="AggOrangeRBorder 6" xfId="578"/>
    <cellStyle name="AggOrangeRBorder_CRFReport-template" xfId="579"/>
    <cellStyle name="Akzent1" xfId="580"/>
    <cellStyle name="Akzent1 2" xfId="581"/>
    <cellStyle name="Akzent2" xfId="582"/>
    <cellStyle name="Akzent2 2" xfId="583"/>
    <cellStyle name="Akzent3" xfId="584"/>
    <cellStyle name="Akzent3 2" xfId="585"/>
    <cellStyle name="Akzent4" xfId="586"/>
    <cellStyle name="Akzent4 2" xfId="587"/>
    <cellStyle name="Akzent5" xfId="588"/>
    <cellStyle name="Akzent5 2" xfId="589"/>
    <cellStyle name="Akzent6" xfId="590"/>
    <cellStyle name="Akzent6 2" xfId="591"/>
    <cellStyle name="Ausgabe 2" xfId="592"/>
    <cellStyle name="Ausgabe 2 2" xfId="593"/>
    <cellStyle name="Ausgabe 2 2 2" xfId="594"/>
    <cellStyle name="Ausgabe 2 2 2 2" xfId="595"/>
    <cellStyle name="Ausgabe 2 2 3" xfId="596"/>
    <cellStyle name="Ausgabe 2 3" xfId="597"/>
    <cellStyle name="Ausgabe 2 3 2" xfId="598"/>
    <cellStyle name="Ausgabe 2 3 2 2" xfId="599"/>
    <cellStyle name="Ausgabe 2 3 3" xfId="600"/>
    <cellStyle name="Ausgabe 2 4" xfId="601"/>
    <cellStyle name="Ausgabe 2 4 2" xfId="602"/>
    <cellStyle name="Ausgabe 2 5" xfId="603"/>
    <cellStyle name="Ausgabe 3" xfId="604"/>
    <cellStyle name="Ausgabe 3 2" xfId="605"/>
    <cellStyle name="Ausgabe 3 2 2" xfId="606"/>
    <cellStyle name="Ausgabe 3 2 2 2" xfId="607"/>
    <cellStyle name="Ausgabe 3 2 3" xfId="608"/>
    <cellStyle name="Ausgabe 3 3" xfId="609"/>
    <cellStyle name="Ausgabe 3 3 2" xfId="610"/>
    <cellStyle name="Ausgabe 3 3 2 2" xfId="611"/>
    <cellStyle name="Ausgabe 3 3 3" xfId="612"/>
    <cellStyle name="Ausgabe 3 4" xfId="613"/>
    <cellStyle name="Ausgabe 3 4 2" xfId="614"/>
    <cellStyle name="Ausgabe 3 5" xfId="615"/>
    <cellStyle name="Ausgabe 4" xfId="616"/>
    <cellStyle name="Ausgabe 4 2" xfId="617"/>
    <cellStyle name="Ausgabe 4 2 2" xfId="618"/>
    <cellStyle name="Ausgabe 4 3" xfId="619"/>
    <cellStyle name="Ausgabe 5" xfId="620"/>
    <cellStyle name="Ausgabe 5 2" xfId="621"/>
    <cellStyle name="Ausgabe 5 2 2" xfId="622"/>
    <cellStyle name="Ausgabe 5 3" xfId="623"/>
    <cellStyle name="Ausgabe 6" xfId="624"/>
    <cellStyle name="Ausgabe 6 2" xfId="625"/>
    <cellStyle name="Bad 1" xfId="626"/>
    <cellStyle name="Bad 1 2" xfId="627"/>
    <cellStyle name="Bad 2" xfId="628"/>
    <cellStyle name="Bad 2 2" xfId="629"/>
    <cellStyle name="Bad 3" xfId="630"/>
    <cellStyle name="Bad 3 2" xfId="631"/>
    <cellStyle name="Bad 4" xfId="632"/>
    <cellStyle name="Bad 4 2" xfId="633"/>
    <cellStyle name="Bad 9" xfId="634"/>
    <cellStyle name="Berechnung 2" xfId="635"/>
    <cellStyle name="Berechnung 2 2" xfId="636"/>
    <cellStyle name="Berechnung 2 2 2" xfId="637"/>
    <cellStyle name="Berechnung 2 2 2 2" xfId="638"/>
    <cellStyle name="Berechnung 2 2 3" xfId="639"/>
    <cellStyle name="Berechnung 2 3" xfId="640"/>
    <cellStyle name="Berechnung 2 3 2" xfId="641"/>
    <cellStyle name="Berechnung 2 3 2 2" xfId="642"/>
    <cellStyle name="Berechnung 2 3 3" xfId="643"/>
    <cellStyle name="Berechnung 2 4" xfId="644"/>
    <cellStyle name="Berechnung 2 4 2" xfId="645"/>
    <cellStyle name="Berechnung 2 4 2 2" xfId="646"/>
    <cellStyle name="Berechnung 2 4 3" xfId="647"/>
    <cellStyle name="Berechnung 2 5" xfId="648"/>
    <cellStyle name="Berechnung 2 5 2" xfId="649"/>
    <cellStyle name="Berechnung 2 6" xfId="650"/>
    <cellStyle name="Berechnung 3" xfId="651"/>
    <cellStyle name="Berechnung 3 2" xfId="652"/>
    <cellStyle name="Berechnung 3 2 2" xfId="653"/>
    <cellStyle name="Berechnung 3 2 2 2" xfId="654"/>
    <cellStyle name="Berechnung 3 2 3" xfId="655"/>
    <cellStyle name="Berechnung 3 3" xfId="656"/>
    <cellStyle name="Berechnung 3 3 2" xfId="657"/>
    <cellStyle name="Berechnung 3 3 2 2" xfId="658"/>
    <cellStyle name="Berechnung 3 3 3" xfId="659"/>
    <cellStyle name="Berechnung 3 4" xfId="660"/>
    <cellStyle name="Berechnung 3 4 2" xfId="661"/>
    <cellStyle name="Berechnung 3 4 2 2" xfId="662"/>
    <cellStyle name="Berechnung 3 4 3" xfId="663"/>
    <cellStyle name="Berechnung 3 5" xfId="664"/>
    <cellStyle name="Berechnung 3 5 2" xfId="665"/>
    <cellStyle name="Berechnung 3 6" xfId="666"/>
    <cellStyle name="Berechnung 4" xfId="667"/>
    <cellStyle name="Berechnung 4 2" xfId="668"/>
    <cellStyle name="Berechnung 4 2 2" xfId="669"/>
    <cellStyle name="Berechnung 4 3" xfId="670"/>
    <cellStyle name="Berechnung 5" xfId="671"/>
    <cellStyle name="Berechnung 5 2" xfId="672"/>
    <cellStyle name="Berechnung 5 2 2" xfId="673"/>
    <cellStyle name="Berechnung 5 3" xfId="674"/>
    <cellStyle name="Berechnung 6" xfId="675"/>
    <cellStyle name="Berechnung 6 2" xfId="676"/>
    <cellStyle name="Berechnung 6 2 2" xfId="677"/>
    <cellStyle name="Berechnung 6 3" xfId="678"/>
    <cellStyle name="Berechnung 7" xfId="679"/>
    <cellStyle name="Berechnung 7 2" xfId="680"/>
    <cellStyle name="Bold GHG Numbers (0.00)" xfId="681"/>
    <cellStyle name="Bold GHG Numbers (0.00) 2" xfId="682"/>
    <cellStyle name="Calculation 2" xfId="683"/>
    <cellStyle name="Calculation 2 2" xfId="684"/>
    <cellStyle name="Calculation 2 2 2" xfId="685"/>
    <cellStyle name="Calculation 2 2 2 2" xfId="686"/>
    <cellStyle name="Calculation 2 2 3" xfId="687"/>
    <cellStyle name="Calculation 2 3" xfId="688"/>
    <cellStyle name="Calculation 2 3 2" xfId="689"/>
    <cellStyle name="Calculation 2 3 2 2" xfId="690"/>
    <cellStyle name="Calculation 2 3 3" xfId="691"/>
    <cellStyle name="Calculation 2 4" xfId="692"/>
    <cellStyle name="Calculation 2 4 2" xfId="693"/>
    <cellStyle name="Calculation 2 4 2 2" xfId="694"/>
    <cellStyle name="Calculation 2 4 3" xfId="695"/>
    <cellStyle name="Calculation 2 5" xfId="696"/>
    <cellStyle name="Calculation 2 5 2" xfId="697"/>
    <cellStyle name="Calculation 2 6" xfId="698"/>
    <cellStyle name="Calculation 3" xfId="699"/>
    <cellStyle name="Calculation 3 2" xfId="700"/>
    <cellStyle name="Calculation 3 2 2" xfId="701"/>
    <cellStyle name="Calculation 3 2 2 2" xfId="702"/>
    <cellStyle name="Calculation 3 2 3" xfId="703"/>
    <cellStyle name="Calculation 3 3" xfId="704"/>
    <cellStyle name="Calculation 3 3 2" xfId="705"/>
    <cellStyle name="Calculation 3 3 2 2" xfId="706"/>
    <cellStyle name="Calculation 3 3 3" xfId="707"/>
    <cellStyle name="Calculation 3 4" xfId="708"/>
    <cellStyle name="Calculation 3 4 2" xfId="709"/>
    <cellStyle name="Calculation 3 4 2 2" xfId="710"/>
    <cellStyle name="Calculation 3 4 3" xfId="711"/>
    <cellStyle name="Calculation 3 5" xfId="712"/>
    <cellStyle name="Calculation 3 5 2" xfId="713"/>
    <cellStyle name="Calculation 3 6" xfId="714"/>
    <cellStyle name="Check Cell 2" xfId="715"/>
    <cellStyle name="Check Cell 2 2" xfId="716"/>
    <cellStyle name="Check Cell 3" xfId="717"/>
    <cellStyle name="Check Cell 3 2" xfId="718"/>
    <cellStyle name="Check Cell 4" xfId="719"/>
    <cellStyle name="Check Cell 4 2" xfId="720"/>
    <cellStyle name="Comma 2" xfId="721"/>
    <cellStyle name="Comma 2 2" xfId="722"/>
    <cellStyle name="Comma 2 2 2" xfId="723"/>
    <cellStyle name="Comma 2 2 2 2" xfId="724"/>
    <cellStyle name="Comma 2 2 3" xfId="725"/>
    <cellStyle name="Comma 2 3" xfId="726"/>
    <cellStyle name="Comma 3" xfId="727"/>
    <cellStyle name="Comma 3 2" xfId="728"/>
    <cellStyle name="Constants" xfId="729"/>
    <cellStyle name="Constants 2" xfId="730"/>
    <cellStyle name="ContentsHyperlink" xfId="731"/>
    <cellStyle name="ContentsHyperlink 2" xfId="732"/>
    <cellStyle name="CustomCellsOrange" xfId="733"/>
    <cellStyle name="CustomCellsOrange 2" xfId="734"/>
    <cellStyle name="CustomCellsOrange 2 2" xfId="735"/>
    <cellStyle name="CustomCellsOrange 2 2 2" xfId="736"/>
    <cellStyle name="CustomCellsOrange 2 2 2 2" xfId="737"/>
    <cellStyle name="CustomCellsOrange 2 2 2 2 2" xfId="738"/>
    <cellStyle name="CustomCellsOrange 2 2 2 2 2 2" xfId="739"/>
    <cellStyle name="CustomCellsOrange 2 2 2 2 3" xfId="740"/>
    <cellStyle name="CustomCellsOrange 2 2 2 3" xfId="741"/>
    <cellStyle name="CustomCellsOrange 2 2 3" xfId="742"/>
    <cellStyle name="CustomCellsOrange 2 2 3 2" xfId="743"/>
    <cellStyle name="CustomCellsOrange 2 2 3 2 2" xfId="744"/>
    <cellStyle name="CustomCellsOrange 2 2 3 3" xfId="745"/>
    <cellStyle name="CustomCellsOrange 2 2 4" xfId="746"/>
    <cellStyle name="CustomCellsOrange 2 2 4 2" xfId="747"/>
    <cellStyle name="CustomCellsOrange 2 2 4 2 2" xfId="748"/>
    <cellStyle name="CustomCellsOrange 2 2 4 3" xfId="749"/>
    <cellStyle name="CustomCellsOrange 2 2 5" xfId="750"/>
    <cellStyle name="CustomCellsOrange 2 2 5 2" xfId="751"/>
    <cellStyle name="CustomCellsOrange 2 2 5 2 2" xfId="752"/>
    <cellStyle name="CustomCellsOrange 2 2 5 3" xfId="753"/>
    <cellStyle name="CustomCellsOrange 2 2 6" xfId="754"/>
    <cellStyle name="CustomCellsOrange 2 3" xfId="755"/>
    <cellStyle name="CustomCellsOrange 3" xfId="756"/>
    <cellStyle name="CustomCellsOrange 3 2" xfId="757"/>
    <cellStyle name="CustomCellsOrange 3 2 2" xfId="758"/>
    <cellStyle name="CustomCellsOrange 3 2 2 2" xfId="759"/>
    <cellStyle name="CustomCellsOrange 3 2 3" xfId="760"/>
    <cellStyle name="CustomCellsOrange 3 3" xfId="761"/>
    <cellStyle name="CustomCellsOrange 3 3 2" xfId="762"/>
    <cellStyle name="CustomCellsOrange 3 3 2 2" xfId="763"/>
    <cellStyle name="CustomCellsOrange 3 3 3" xfId="764"/>
    <cellStyle name="CustomCellsOrange 3 4" xfId="765"/>
    <cellStyle name="CustomCellsOrange 3 4 2" xfId="766"/>
    <cellStyle name="CustomCellsOrange 3 4 2 2" xfId="767"/>
    <cellStyle name="CustomCellsOrange 3 4 3" xfId="768"/>
    <cellStyle name="CustomCellsOrange 3 5" xfId="769"/>
    <cellStyle name="CustomCellsOrange 3 5 2" xfId="770"/>
    <cellStyle name="CustomCellsOrange 3 6" xfId="771"/>
    <cellStyle name="CustomCellsOrange 4" xfId="772"/>
    <cellStyle name="CustomizationCells" xfId="773"/>
    <cellStyle name="CustomizationCells 2" xfId="774"/>
    <cellStyle name="CustomizationCells 2 2" xfId="775"/>
    <cellStyle name="CustomizationCells 2 2 2" xfId="776"/>
    <cellStyle name="CustomizationCells 2 2 2 2" xfId="777"/>
    <cellStyle name="CustomizationCells 2 2 2 2 2" xfId="778"/>
    <cellStyle name="CustomizationCells 2 2 2 2 2 2" xfId="779"/>
    <cellStyle name="CustomizationCells 2 2 2 2 3" xfId="780"/>
    <cellStyle name="CustomizationCells 2 2 2 3" xfId="781"/>
    <cellStyle name="CustomizationCells 2 2 3" xfId="782"/>
    <cellStyle name="CustomizationCells 2 2 3 2" xfId="783"/>
    <cellStyle name="CustomizationCells 2 2 3 2 2" xfId="784"/>
    <cellStyle name="CustomizationCells 2 2 3 3" xfId="785"/>
    <cellStyle name="CustomizationCells 2 2 4" xfId="786"/>
    <cellStyle name="CustomizationCells 2 2 4 2" xfId="787"/>
    <cellStyle name="CustomizationCells 2 2 4 2 2" xfId="788"/>
    <cellStyle name="CustomizationCells 2 2 4 3" xfId="789"/>
    <cellStyle name="CustomizationCells 2 2 5" xfId="790"/>
    <cellStyle name="CustomizationCells 2 2 5 2" xfId="791"/>
    <cellStyle name="CustomizationCells 2 2 5 2 2" xfId="792"/>
    <cellStyle name="CustomizationCells 2 2 5 3" xfId="793"/>
    <cellStyle name="CustomizationCells 2 2 6" xfId="794"/>
    <cellStyle name="CustomizationCells 2 3" xfId="795"/>
    <cellStyle name="CustomizationCells 3" xfId="796"/>
    <cellStyle name="CustomizationCells 3 2" xfId="797"/>
    <cellStyle name="CustomizationCells 3 2 2" xfId="798"/>
    <cellStyle name="CustomizationCells 3 2 2 2" xfId="799"/>
    <cellStyle name="CustomizationCells 3 2 3" xfId="800"/>
    <cellStyle name="CustomizationCells 3 3" xfId="801"/>
    <cellStyle name="CustomizationCells 3 3 2" xfId="802"/>
    <cellStyle name="CustomizationCells 3 3 2 2" xfId="803"/>
    <cellStyle name="CustomizationCells 3 3 3" xfId="804"/>
    <cellStyle name="CustomizationCells 3 4" xfId="805"/>
    <cellStyle name="CustomizationCells 3 4 2" xfId="806"/>
    <cellStyle name="CustomizationCells 3 4 2 2" xfId="807"/>
    <cellStyle name="CustomizationCells 3 4 3" xfId="808"/>
    <cellStyle name="CustomizationCells 3 5" xfId="809"/>
    <cellStyle name="CustomizationCells 3 5 2" xfId="810"/>
    <cellStyle name="CustomizationCells 3 6" xfId="811"/>
    <cellStyle name="CustomizationCells 4" xfId="812"/>
    <cellStyle name="CustomizationCells 4 2" xfId="813"/>
    <cellStyle name="CustomizationCells 5" xfId="814"/>
    <cellStyle name="CustomizationGreenCells" xfId="815"/>
    <cellStyle name="CustomizationGreenCells 2" xfId="816"/>
    <cellStyle name="CustomizationGreenCells 2 2" xfId="817"/>
    <cellStyle name="CustomizationGreenCells 3" xfId="818"/>
    <cellStyle name="CustomizationGreenCells 3 2" xfId="819"/>
    <cellStyle name="CustomizationGreenCells 3 2 2" xfId="820"/>
    <cellStyle name="CustomizationGreenCells 3 2 2 2" xfId="821"/>
    <cellStyle name="CustomizationGreenCells 3 2 3" xfId="822"/>
    <cellStyle name="CustomizationGreenCells 3 3" xfId="823"/>
    <cellStyle name="CustomizationGreenCells 3 3 2" xfId="824"/>
    <cellStyle name="CustomizationGreenCells 3 3 2 2" xfId="825"/>
    <cellStyle name="CustomizationGreenCells 3 3 3" xfId="826"/>
    <cellStyle name="CustomizationGreenCells 3 4" xfId="827"/>
    <cellStyle name="CustomizationGreenCells 3 4 2" xfId="828"/>
    <cellStyle name="CustomizationGreenCells 3 4 2 2" xfId="829"/>
    <cellStyle name="CustomizationGreenCells 3 4 3" xfId="830"/>
    <cellStyle name="CustomizationGreenCells 3 5" xfId="831"/>
    <cellStyle name="CustomizationGreenCells 3 5 2" xfId="832"/>
    <cellStyle name="CustomizationGreenCells 3 6" xfId="833"/>
    <cellStyle name="CustomizationGreenCells 4" xfId="834"/>
    <cellStyle name="DocBox_EmptyRow" xfId="835"/>
    <cellStyle name="Eingabe" xfId="836"/>
    <cellStyle name="Eingabe 2" xfId="837"/>
    <cellStyle name="Eingabe 2 2" xfId="838"/>
    <cellStyle name="Eingabe 3" xfId="839"/>
    <cellStyle name="Eingabe 3 2" xfId="840"/>
    <cellStyle name="Eingabe 3 2 2" xfId="841"/>
    <cellStyle name="Eingabe 3 2 2 2" xfId="842"/>
    <cellStyle name="Eingabe 3 2 3" xfId="843"/>
    <cellStyle name="Eingabe 3 3" xfId="844"/>
    <cellStyle name="Eingabe 3 3 2" xfId="845"/>
    <cellStyle name="Eingabe 3 3 2 2" xfId="846"/>
    <cellStyle name="Eingabe 3 3 3" xfId="847"/>
    <cellStyle name="Eingabe 3 4" xfId="848"/>
    <cellStyle name="Eingabe 3 4 2" xfId="849"/>
    <cellStyle name="Eingabe 3 4 2 2" xfId="850"/>
    <cellStyle name="Eingabe 3 4 3" xfId="851"/>
    <cellStyle name="Eingabe 3 5" xfId="852"/>
    <cellStyle name="Eingabe 3 5 2" xfId="853"/>
    <cellStyle name="Eingabe 3 6" xfId="854"/>
    <cellStyle name="Eingabe 4" xfId="855"/>
    <cellStyle name="Eingabe 4 2" xfId="856"/>
    <cellStyle name="Eingabe 4 2 2" xfId="857"/>
    <cellStyle name="Eingabe 4 2 2 2" xfId="858"/>
    <cellStyle name="Eingabe 4 2 3" xfId="859"/>
    <cellStyle name="Eingabe 4 3" xfId="860"/>
    <cellStyle name="Eingabe 4 3 2" xfId="861"/>
    <cellStyle name="Eingabe 4 3 2 2" xfId="862"/>
    <cellStyle name="Eingabe 4 3 3" xfId="863"/>
    <cellStyle name="Eingabe 4 4" xfId="864"/>
    <cellStyle name="Eingabe 4 4 2" xfId="865"/>
    <cellStyle name="Eingabe 4 4 2 2" xfId="866"/>
    <cellStyle name="Eingabe 4 4 3" xfId="867"/>
    <cellStyle name="Eingabe 4 5" xfId="868"/>
    <cellStyle name="Eingabe 4 5 2" xfId="869"/>
    <cellStyle name="Eingabe 4 6" xfId="870"/>
    <cellStyle name="Eingabe 5" xfId="871"/>
    <cellStyle name="Eingabe 5 2" xfId="872"/>
    <cellStyle name="Eingabe 5 2 2" xfId="873"/>
    <cellStyle name="Eingabe 5 3" xfId="874"/>
    <cellStyle name="Eingabe 6" xfId="875"/>
    <cellStyle name="Eingabe 6 2" xfId="876"/>
    <cellStyle name="Eingabe 6 2 2" xfId="877"/>
    <cellStyle name="Eingabe 6 3" xfId="878"/>
    <cellStyle name="Eingabe 7" xfId="879"/>
    <cellStyle name="Eingabe 7 2" xfId="880"/>
    <cellStyle name="Eingabe 7 2 2" xfId="881"/>
    <cellStyle name="Eingabe 7 3" xfId="882"/>
    <cellStyle name="Eingabe 8" xfId="883"/>
    <cellStyle name="Eingabe 8 2" xfId="884"/>
    <cellStyle name="Eingabe 9" xfId="885"/>
    <cellStyle name="Empty_B_border" xfId="886"/>
    <cellStyle name="Ergebnis 2" xfId="887"/>
    <cellStyle name="Ergebnis 2 2" xfId="888"/>
    <cellStyle name="Ergebnis 2 2 2" xfId="889"/>
    <cellStyle name="Ergebnis 2 2 2 2" xfId="890"/>
    <cellStyle name="Ergebnis 2 2 3" xfId="891"/>
    <cellStyle name="Ergebnis 2 3" xfId="892"/>
    <cellStyle name="Ergebnis 2 3 2" xfId="893"/>
    <cellStyle name="Ergebnis 2 3 2 2" xfId="894"/>
    <cellStyle name="Ergebnis 2 3 3" xfId="895"/>
    <cellStyle name="Ergebnis 2 4" xfId="896"/>
    <cellStyle name="Ergebnis 2 4 2" xfId="897"/>
    <cellStyle name="Ergebnis 2 4 2 2" xfId="898"/>
    <cellStyle name="Ergebnis 2 4 3" xfId="899"/>
    <cellStyle name="Ergebnis 2 5" xfId="900"/>
    <cellStyle name="Ergebnis 2 5 2" xfId="901"/>
    <cellStyle name="Ergebnis 2 6" xfId="902"/>
    <cellStyle name="Ergebnis 3" xfId="903"/>
    <cellStyle name="Ergebnis 3 2" xfId="904"/>
    <cellStyle name="Ergebnis 3 2 2" xfId="905"/>
    <cellStyle name="Ergebnis 3 2 2 2" xfId="906"/>
    <cellStyle name="Ergebnis 3 2 3" xfId="907"/>
    <cellStyle name="Ergebnis 3 3" xfId="908"/>
    <cellStyle name="Ergebnis 3 3 2" xfId="909"/>
    <cellStyle name="Ergebnis 3 3 2 2" xfId="910"/>
    <cellStyle name="Ergebnis 3 3 3" xfId="911"/>
    <cellStyle name="Ergebnis 3 4" xfId="912"/>
    <cellStyle name="Ergebnis 3 4 2" xfId="913"/>
    <cellStyle name="Ergebnis 3 4 2 2" xfId="914"/>
    <cellStyle name="Ergebnis 3 4 3" xfId="915"/>
    <cellStyle name="Ergebnis 3 5" xfId="916"/>
    <cellStyle name="Ergebnis 3 5 2" xfId="917"/>
    <cellStyle name="Ergebnis 3 6" xfId="918"/>
    <cellStyle name="Ergebnis 4" xfId="919"/>
    <cellStyle name="Ergebnis 4 2" xfId="920"/>
    <cellStyle name="Ergebnis 4 2 2" xfId="921"/>
    <cellStyle name="Ergebnis 4 3" xfId="922"/>
    <cellStyle name="Ergebnis 5" xfId="923"/>
    <cellStyle name="Ergebnis 5 2" xfId="924"/>
    <cellStyle name="Ergebnis 5 2 2" xfId="925"/>
    <cellStyle name="Ergebnis 5 3" xfId="926"/>
    <cellStyle name="Ergebnis 6" xfId="927"/>
    <cellStyle name="Ergebnis 6 2" xfId="928"/>
    <cellStyle name="Ergebnis 6 2 2" xfId="929"/>
    <cellStyle name="Ergebnis 6 3" xfId="930"/>
    <cellStyle name="Ergebnis 7" xfId="931"/>
    <cellStyle name="Ergebnis 7 2" xfId="932"/>
    <cellStyle name="Erklärender Text 2" xfId="933"/>
    <cellStyle name="Erklärender Text 2 2" xfId="934"/>
    <cellStyle name="Erklärender Text 3" xfId="935"/>
    <cellStyle name="Erklärender Text 3 2" xfId="936"/>
    <cellStyle name="Error 1" xfId="937"/>
    <cellStyle name="Error 1 2" xfId="938"/>
    <cellStyle name="Error 10" xfId="939"/>
    <cellStyle name="Explanatory Text 2" xfId="940"/>
    <cellStyle name="Explanatory Text 2 2" xfId="941"/>
    <cellStyle name="Explanatory Text 3" xfId="942"/>
    <cellStyle name="Explanatory Text 3 2" xfId="943"/>
    <cellStyle name="Footnote 1" xfId="944"/>
    <cellStyle name="Footnote 1 2" xfId="945"/>
    <cellStyle name="Footnote 11" xfId="946"/>
    <cellStyle name="Good 1" xfId="947"/>
    <cellStyle name="Good 1 2" xfId="948"/>
    <cellStyle name="Good 12" xfId="949"/>
    <cellStyle name="Good 2" xfId="950"/>
    <cellStyle name="Good 2 2" xfId="951"/>
    <cellStyle name="Good 3" xfId="952"/>
    <cellStyle name="Good 3 2" xfId="953"/>
    <cellStyle name="Good 4" xfId="954"/>
    <cellStyle name="Good 4 2" xfId="955"/>
    <cellStyle name="Gut" xfId="956"/>
    <cellStyle name="Gut 2" xfId="957"/>
    <cellStyle name="Heading 1 1" xfId="958"/>
    <cellStyle name="Heading 1 1 2" xfId="959"/>
    <cellStyle name="Heading 1 13" xfId="960"/>
    <cellStyle name="Heading 1 2" xfId="961"/>
    <cellStyle name="Heading 1 2 2" xfId="962"/>
    <cellStyle name="Heading 1 3" xfId="963"/>
    <cellStyle name="Heading 1 3 2" xfId="964"/>
    <cellStyle name="Heading 1 4" xfId="965"/>
    <cellStyle name="Heading 1 4 2" xfId="966"/>
    <cellStyle name="Heading 2 1" xfId="967"/>
    <cellStyle name="Heading 2 1 2" xfId="968"/>
    <cellStyle name="Heading 2 14" xfId="969"/>
    <cellStyle name="Heading 2 2" xfId="970"/>
    <cellStyle name="Heading 2 2 2" xfId="971"/>
    <cellStyle name="Heading 2 3" xfId="972"/>
    <cellStyle name="Heading 2 3 2" xfId="973"/>
    <cellStyle name="Heading 2 4" xfId="974"/>
    <cellStyle name="Heading 2 4 2" xfId="975"/>
    <cellStyle name="Heading 3" xfId="976"/>
    <cellStyle name="Heading 3 2" xfId="977"/>
    <cellStyle name="Heading 3 2 2" xfId="978"/>
    <cellStyle name="Heading 3 3" xfId="979"/>
    <cellStyle name="Heading 3 3 2" xfId="980"/>
    <cellStyle name="Heading 3 4" xfId="981"/>
    <cellStyle name="Heading 3 4 2" xfId="982"/>
    <cellStyle name="Heading 3 5" xfId="983"/>
    <cellStyle name="Heading 4 2" xfId="984"/>
    <cellStyle name="Heading 4 2 2" xfId="985"/>
    <cellStyle name="Heading 4 3" xfId="986"/>
    <cellStyle name="Heading 4 3 2" xfId="987"/>
    <cellStyle name="Heading 4 4" xfId="988"/>
    <cellStyle name="Heading 4 4 2" xfId="989"/>
    <cellStyle name="Headline" xfId="990"/>
    <cellStyle name="Headline 2" xfId="991"/>
    <cellStyle name="Hyperlink 1" xfId="992"/>
    <cellStyle name="Hyperlink 1 2" xfId="993"/>
    <cellStyle name="Hyperlink 15" xfId="994"/>
    <cellStyle name="Input 2" xfId="995"/>
    <cellStyle name="Input 2 2" xfId="996"/>
    <cellStyle name="Input 2 2 2" xfId="997"/>
    <cellStyle name="Input 2 2 2 2" xfId="998"/>
    <cellStyle name="Input 2 2 3" xfId="999"/>
    <cellStyle name="Input 2 3" xfId="1000"/>
    <cellStyle name="Input 2 3 2" xfId="1001"/>
    <cellStyle name="Input 2 3 2 2" xfId="1002"/>
    <cellStyle name="Input 2 3 3" xfId="1003"/>
    <cellStyle name="Input 2 4" xfId="1004"/>
    <cellStyle name="Input 2 4 2" xfId="1005"/>
    <cellStyle name="Input 2 4 2 2" xfId="1006"/>
    <cellStyle name="Input 2 4 3" xfId="1007"/>
    <cellStyle name="Input 2 5" xfId="1008"/>
    <cellStyle name="Input 2 5 2" xfId="1009"/>
    <cellStyle name="Input 2 6" xfId="1010"/>
    <cellStyle name="Input 3" xfId="1011"/>
    <cellStyle name="Input 3 2" xfId="1012"/>
    <cellStyle name="Input 3 2 2" xfId="1013"/>
    <cellStyle name="Input 3 2 2 2" xfId="1014"/>
    <cellStyle name="Input 3 2 3" xfId="1015"/>
    <cellStyle name="Input 3 3" xfId="1016"/>
    <cellStyle name="Input 3 3 2" xfId="1017"/>
    <cellStyle name="Input 3 3 2 2" xfId="1018"/>
    <cellStyle name="Input 3 3 3" xfId="1019"/>
    <cellStyle name="Input 3 4" xfId="1020"/>
    <cellStyle name="Input 3 4 2" xfId="1021"/>
    <cellStyle name="Input 3 4 2 2" xfId="1022"/>
    <cellStyle name="Input 3 4 3" xfId="1023"/>
    <cellStyle name="Input 3 5" xfId="1024"/>
    <cellStyle name="Input 3 5 2" xfId="1025"/>
    <cellStyle name="Input 3 6" xfId="1026"/>
    <cellStyle name="Input 4" xfId="1027"/>
    <cellStyle name="Input 4 2" xfId="1028"/>
    <cellStyle name="InputCells" xfId="1029"/>
    <cellStyle name="InputCells 2" xfId="1030"/>
    <cellStyle name="InputCells 2 2" xfId="1031"/>
    <cellStyle name="InputCells 3" xfId="1032"/>
    <cellStyle name="InputCells 3 2" xfId="1033"/>
    <cellStyle name="InputCells 4" xfId="1034"/>
    <cellStyle name="InputCells 4 2" xfId="1035"/>
    <cellStyle name="InputCells 5" xfId="1036"/>
    <cellStyle name="InputCells_Bborder_1" xfId="1088"/>
    <cellStyle name="InputCells12" xfId="1037"/>
    <cellStyle name="InputCells12 2" xfId="1038"/>
    <cellStyle name="InputCells12 2 2" xfId="1039"/>
    <cellStyle name="InputCells12 2 2 2" xfId="1040"/>
    <cellStyle name="InputCells12 2 2 2 2" xfId="1041"/>
    <cellStyle name="InputCells12 2 2 2 2 2" xfId="1042"/>
    <cellStyle name="InputCells12 2 2 2 3" xfId="1043"/>
    <cellStyle name="InputCells12 2 2 3" xfId="1044"/>
    <cellStyle name="InputCells12 2 2 3 2" xfId="1045"/>
    <cellStyle name="InputCells12 2 2 4" xfId="1046"/>
    <cellStyle name="InputCells12 2 3" xfId="1047"/>
    <cellStyle name="InputCells12 2 3 2" xfId="1048"/>
    <cellStyle name="InputCells12 2 3 2 2" xfId="1049"/>
    <cellStyle name="InputCells12 2 3 2 2 2" xfId="1050"/>
    <cellStyle name="InputCells12 2 3 2 3" xfId="1051"/>
    <cellStyle name="InputCells12 2 3 3" xfId="1052"/>
    <cellStyle name="InputCells12 2 3 3 2" xfId="1053"/>
    <cellStyle name="InputCells12 2 3 3 2 2" xfId="1054"/>
    <cellStyle name="InputCells12 2 3 3 3" xfId="1055"/>
    <cellStyle name="InputCells12 2 3 4" xfId="1056"/>
    <cellStyle name="InputCells12 2 3 4 2" xfId="1057"/>
    <cellStyle name="InputCells12 2 3 4 2 2" xfId="1058"/>
    <cellStyle name="InputCells12 2 3 4 3" xfId="1059"/>
    <cellStyle name="InputCells12 2 3 5" xfId="1060"/>
    <cellStyle name="InputCells12 2 4" xfId="1061"/>
    <cellStyle name="InputCells12 3" xfId="1062"/>
    <cellStyle name="InputCells12 3 2" xfId="1063"/>
    <cellStyle name="InputCells12 3 2 2" xfId="1064"/>
    <cellStyle name="InputCells12 3 2 2 2" xfId="1065"/>
    <cellStyle name="InputCells12 3 2 3" xfId="1066"/>
    <cellStyle name="InputCells12 3 3" xfId="1067"/>
    <cellStyle name="InputCells12 3 3 2" xfId="1068"/>
    <cellStyle name="InputCells12 3 4" xfId="1069"/>
    <cellStyle name="InputCells12 4" xfId="1070"/>
    <cellStyle name="InputCells12 4 2" xfId="1071"/>
    <cellStyle name="InputCells12 4 2 2" xfId="1072"/>
    <cellStyle name="InputCells12 4 2 2 2" xfId="1073"/>
    <cellStyle name="InputCells12 4 2 3" xfId="1074"/>
    <cellStyle name="InputCells12 4 3" xfId="1075"/>
    <cellStyle name="InputCells12 4 3 2" xfId="1076"/>
    <cellStyle name="InputCells12 4 3 2 2" xfId="1077"/>
    <cellStyle name="InputCells12 4 3 3" xfId="1078"/>
    <cellStyle name="InputCells12 4 4" xfId="1079"/>
    <cellStyle name="InputCells12 4 4 2" xfId="1080"/>
    <cellStyle name="InputCells12 4 4 2 2" xfId="1081"/>
    <cellStyle name="InputCells12 4 4 3" xfId="1082"/>
    <cellStyle name="InputCells12 4 5" xfId="1083"/>
    <cellStyle name="InputCells12 5" xfId="1084"/>
    <cellStyle name="InputCells12 5 2" xfId="1085"/>
    <cellStyle name="InputCells12 6" xfId="1086"/>
    <cellStyle name="InputCells12_BBorder" xfId="1087"/>
    <cellStyle name="IntCells" xfId="1089"/>
    <cellStyle name="IntCells 2" xfId="1090"/>
    <cellStyle name="KP_thin_border_dark_grey" xfId="1091"/>
    <cellStyle name="Lien hypertexte" xfId="3" builtinId="8"/>
    <cellStyle name="Linked Cell 2" xfId="1092"/>
    <cellStyle name="Linked Cell 2 2" xfId="1093"/>
    <cellStyle name="Linked Cell 3" xfId="1094"/>
    <cellStyle name="Linked Cell 3 2" xfId="1095"/>
    <cellStyle name="Linked Cell 4" xfId="1096"/>
    <cellStyle name="Linked Cell 4 2" xfId="1097"/>
    <cellStyle name="Milliers" xfId="1" builtinId="3"/>
    <cellStyle name="Milliers 2" xfId="1098"/>
    <cellStyle name="Milliers 2 2" xfId="1099"/>
    <cellStyle name="Milliers 3" xfId="1100"/>
    <cellStyle name="Neutral 1" xfId="1101"/>
    <cellStyle name="Neutral 1 2" xfId="1102"/>
    <cellStyle name="Neutral 16" xfId="1103"/>
    <cellStyle name="Neutral 2" xfId="1104"/>
    <cellStyle name="Neutral 2 2" xfId="1105"/>
    <cellStyle name="Neutral 3" xfId="1106"/>
    <cellStyle name="Neutral 3 2" xfId="1107"/>
    <cellStyle name="Normaali 2" xfId="1108"/>
    <cellStyle name="Normaali 2 2" xfId="1109"/>
    <cellStyle name="Normaali 2 2 2" xfId="1110"/>
    <cellStyle name="Normaali 2 3" xfId="1111"/>
    <cellStyle name="Normal" xfId="0" builtinId="0"/>
    <cellStyle name="Normal 10" xfId="1112"/>
    <cellStyle name="Normal 10 2" xfId="1113"/>
    <cellStyle name="Normal 10 2 2" xfId="1114"/>
    <cellStyle name="Normal 10 3" xfId="1115"/>
    <cellStyle name="Normal 11" xfId="1116"/>
    <cellStyle name="Normal 11 2" xfId="1117"/>
    <cellStyle name="Normal 11 2 2" xfId="1118"/>
    <cellStyle name="Normal 11 3" xfId="1119"/>
    <cellStyle name="Normal 12" xfId="1120"/>
    <cellStyle name="Normal 12 2" xfId="1121"/>
    <cellStyle name="Normal 12 2 2" xfId="1122"/>
    <cellStyle name="Normal 12 3" xfId="1123"/>
    <cellStyle name="Normal 13" xfId="1124"/>
    <cellStyle name="Normal 14" xfId="1792"/>
    <cellStyle name="Normal 2" xfId="1125"/>
    <cellStyle name="Normal 2 2" xfId="1126"/>
    <cellStyle name="Normal 2 2 2" xfId="1127"/>
    <cellStyle name="Normal 2 2 2 2" xfId="1128"/>
    <cellStyle name="Normal 2 2 3" xfId="1129"/>
    <cellStyle name="Normal 2 3" xfId="1130"/>
    <cellStyle name="Normal 2 3 2" xfId="1131"/>
    <cellStyle name="Normal 2 3 2 2" xfId="1132"/>
    <cellStyle name="Normal 2 3 3" xfId="1133"/>
    <cellStyle name="Normal 2 4" xfId="1134"/>
    <cellStyle name="Normal 2 4 2" xfId="1135"/>
    <cellStyle name="Normal 2 5" xfId="1136"/>
    <cellStyle name="Normal 3" xfId="1137"/>
    <cellStyle name="Normal 3 2" xfId="1138"/>
    <cellStyle name="Normal 3 2 2" xfId="1139"/>
    <cellStyle name="Normal 3 2 2 2" xfId="1140"/>
    <cellStyle name="Normal 3 2 3" xfId="1141"/>
    <cellStyle name="Normal 3 3" xfId="1142"/>
    <cellStyle name="Normal 3 3 2" xfId="1143"/>
    <cellStyle name="Normal 3 4" xfId="1144"/>
    <cellStyle name="Normal 3 4 2" xfId="1145"/>
    <cellStyle name="Normal 3 5" xfId="1146"/>
    <cellStyle name="Normal 4" xfId="1147"/>
    <cellStyle name="Normal 4 2" xfId="1148"/>
    <cellStyle name="Normal 4 2 2" xfId="1149"/>
    <cellStyle name="Normal 4 2 2 2" xfId="1150"/>
    <cellStyle name="Normal 4 2 3" xfId="1151"/>
    <cellStyle name="Normal 4 2 3 2" xfId="1152"/>
    <cellStyle name="Normal 4 2 4" xfId="1153"/>
    <cellStyle name="Normal 4 3" xfId="1154"/>
    <cellStyle name="Normal 4 3 2" xfId="1155"/>
    <cellStyle name="Normal 4 3 2 2" xfId="1156"/>
    <cellStyle name="Normal 4 3 3" xfId="1157"/>
    <cellStyle name="Normal 4 4" xfId="1158"/>
    <cellStyle name="Normal 5" xfId="1159"/>
    <cellStyle name="Normal 5 2" xfId="1160"/>
    <cellStyle name="Normal 5 2 2" xfId="1161"/>
    <cellStyle name="Normal 5 2 2 2" xfId="1162"/>
    <cellStyle name="Normal 5 2 2 2 2" xfId="1163"/>
    <cellStyle name="Normal 5 2 2 2 2 2" xfId="1164"/>
    <cellStyle name="Normal 5 2 2 2 2 2 2" xfId="1165"/>
    <cellStyle name="Normal 5 2 2 2 2 3" xfId="1166"/>
    <cellStyle name="Normal 5 2 2 2 3" xfId="1167"/>
    <cellStyle name="Normal 5 2 2 2 3 2" xfId="1168"/>
    <cellStyle name="Normal 5 2 2 2 4" xfId="1169"/>
    <cellStyle name="Normal 5 2 2 3" xfId="1170"/>
    <cellStyle name="Normal 5 2 2 3 2" xfId="1171"/>
    <cellStyle name="Normal 5 2 2 3 2 2" xfId="1172"/>
    <cellStyle name="Normal 5 2 2 3 3" xfId="1173"/>
    <cellStyle name="Normal 5 2 2 4" xfId="1174"/>
    <cellStyle name="Normal 5 2 2 4 2" xfId="1175"/>
    <cellStyle name="Normal 5 2 2 5" xfId="1176"/>
    <cellStyle name="Normal 5 2 3" xfId="1177"/>
    <cellStyle name="Normal 5 2 3 2" xfId="1178"/>
    <cellStyle name="Normal 5 2 3 2 2" xfId="1179"/>
    <cellStyle name="Normal 5 2 3 2 2 2" xfId="1180"/>
    <cellStyle name="Normal 5 2 3 2 3" xfId="1181"/>
    <cellStyle name="Normal 5 2 3 3" xfId="1182"/>
    <cellStyle name="Normal 5 2 3 3 2" xfId="1183"/>
    <cellStyle name="Normal 5 2 3 4" xfId="1184"/>
    <cellStyle name="Normal 5 2 4" xfId="1185"/>
    <cellStyle name="Normal 5 2 4 2" xfId="1186"/>
    <cellStyle name="Normal 5 2 4 2 2" xfId="1187"/>
    <cellStyle name="Normal 5 2 4 3" xfId="1188"/>
    <cellStyle name="Normal 5 2 5" xfId="1189"/>
    <cellStyle name="Normal 5 2 5 2" xfId="1190"/>
    <cellStyle name="Normal 5 2 5 2 2" xfId="1191"/>
    <cellStyle name="Normal 5 2 5 3" xfId="1192"/>
    <cellStyle name="Normal 5 2 6" xfId="1193"/>
    <cellStyle name="Normal 5 2 6 2" xfId="1194"/>
    <cellStyle name="Normal 5 2 7" xfId="1195"/>
    <cellStyle name="Normal 5 3" xfId="1196"/>
    <cellStyle name="Normal 5 3 2" xfId="1197"/>
    <cellStyle name="Normal 5 3 2 2" xfId="1198"/>
    <cellStyle name="Normal 5 3 2 2 2" xfId="1199"/>
    <cellStyle name="Normal 5 3 2 2 2 2" xfId="1200"/>
    <cellStyle name="Normal 5 3 2 2 3" xfId="1201"/>
    <cellStyle name="Normal 5 3 2 3" xfId="1202"/>
    <cellStyle name="Normal 5 3 2 3 2" xfId="1203"/>
    <cellStyle name="Normal 5 3 2 4" xfId="1204"/>
    <cellStyle name="Normal 5 3 3" xfId="1205"/>
    <cellStyle name="Normal 5 3 3 2" xfId="1206"/>
    <cellStyle name="Normal 5 3 3 2 2" xfId="1207"/>
    <cellStyle name="Normal 5 3 3 3" xfId="1208"/>
    <cellStyle name="Normal 5 3 4" xfId="1209"/>
    <cellStyle name="Normal 5 3 4 2" xfId="1210"/>
    <cellStyle name="Normal 5 3 5" xfId="1211"/>
    <cellStyle name="Normal 5 4" xfId="1212"/>
    <cellStyle name="Normal 5 4 2" xfId="1213"/>
    <cellStyle name="Normal 5 4 2 2" xfId="1214"/>
    <cellStyle name="Normal 5 4 2 2 2" xfId="1215"/>
    <cellStyle name="Normal 5 4 2 3" xfId="1216"/>
    <cellStyle name="Normal 5 4 3" xfId="1217"/>
    <cellStyle name="Normal 5 4 3 2" xfId="1218"/>
    <cellStyle name="Normal 5 4 4" xfId="1219"/>
    <cellStyle name="Normal 5 5" xfId="1220"/>
    <cellStyle name="Normal 5 5 2" xfId="1221"/>
    <cellStyle name="Normal 5 5 2 2" xfId="1222"/>
    <cellStyle name="Normal 5 5 3" xfId="1223"/>
    <cellStyle name="Normal 5 6" xfId="1224"/>
    <cellStyle name="Normal 5 6 2" xfId="1225"/>
    <cellStyle name="Normal 5 7" xfId="1226"/>
    <cellStyle name="Normal 5 7 2" xfId="1227"/>
    <cellStyle name="Normal 5 8" xfId="1228"/>
    <cellStyle name="Normal 5 8 2" xfId="1229"/>
    <cellStyle name="Normal 5 9" xfId="1230"/>
    <cellStyle name="Normal 6" xfId="1231"/>
    <cellStyle name="Normal 6 10" xfId="1232"/>
    <cellStyle name="Normal 6 10 2" xfId="1233"/>
    <cellStyle name="Normal 6 10 2 2" xfId="1234"/>
    <cellStyle name="Normal 6 10 3" xfId="1235"/>
    <cellStyle name="Normal 6 11" xfId="1236"/>
    <cellStyle name="Normal 6 11 2" xfId="1237"/>
    <cellStyle name="Normal 6 12" xfId="1238"/>
    <cellStyle name="Normal 6 2" xfId="1239"/>
    <cellStyle name="Normal 6 2 2" xfId="1240"/>
    <cellStyle name="Normal 6 2 2 2" xfId="1241"/>
    <cellStyle name="Normal 6 2 2 2 2" xfId="1242"/>
    <cellStyle name="Normal 6 2 2 2 2 2" xfId="1243"/>
    <cellStyle name="Normal 6 2 2 2 2 2 2" xfId="1244"/>
    <cellStyle name="Normal 6 2 2 2 2 3" xfId="1245"/>
    <cellStyle name="Normal 6 2 2 2 3" xfId="1246"/>
    <cellStyle name="Normal 6 2 2 2 3 2" xfId="1247"/>
    <cellStyle name="Normal 6 2 2 2 4" xfId="1248"/>
    <cellStyle name="Normal 6 2 2 3" xfId="1249"/>
    <cellStyle name="Normal 6 2 2 3 2" xfId="1250"/>
    <cellStyle name="Normal 6 2 2 3 2 2" xfId="1251"/>
    <cellStyle name="Normal 6 2 2 3 3" xfId="1252"/>
    <cellStyle name="Normal 6 2 2 4" xfId="1253"/>
    <cellStyle name="Normal 6 2 2 4 2" xfId="1254"/>
    <cellStyle name="Normal 6 2 2 5" xfId="1255"/>
    <cellStyle name="Normal 6 2 3" xfId="1256"/>
    <cellStyle name="Normal 6 2 3 2" xfId="1257"/>
    <cellStyle name="Normal 6 2 3 2 2" xfId="1258"/>
    <cellStyle name="Normal 6 2 3 2 2 2" xfId="1259"/>
    <cellStyle name="Normal 6 2 3 2 3" xfId="1260"/>
    <cellStyle name="Normal 6 2 3 3" xfId="1261"/>
    <cellStyle name="Normal 6 2 3 3 2" xfId="1262"/>
    <cellStyle name="Normal 6 2 3 4" xfId="1263"/>
    <cellStyle name="Normal 6 2 4" xfId="1264"/>
    <cellStyle name="Normal 6 2 4 2" xfId="1265"/>
    <cellStyle name="Normal 6 2 4 2 2" xfId="1266"/>
    <cellStyle name="Normal 6 2 4 3" xfId="1267"/>
    <cellStyle name="Normal 6 2 5" xfId="1268"/>
    <cellStyle name="Normal 6 2 5 2" xfId="1269"/>
    <cellStyle name="Normal 6 2 5 2 2" xfId="1270"/>
    <cellStyle name="Normal 6 2 5 3" xfId="1271"/>
    <cellStyle name="Normal 6 2 6" xfId="1272"/>
    <cellStyle name="Normal 6 2 6 2" xfId="1273"/>
    <cellStyle name="Normal 6 2 7" xfId="1274"/>
    <cellStyle name="Normal 6 3" xfId="1275"/>
    <cellStyle name="Normal 6 3 2" xfId="1276"/>
    <cellStyle name="Normal 6 3 2 2" xfId="1277"/>
    <cellStyle name="Normal 6 3 2 2 2" xfId="1278"/>
    <cellStyle name="Normal 6 3 2 2 2 2" xfId="1279"/>
    <cellStyle name="Normal 6 3 2 2 2 2 2" xfId="1280"/>
    <cellStyle name="Normal 6 3 2 2 2 3" xfId="1281"/>
    <cellStyle name="Normal 6 3 2 2 3" xfId="1282"/>
    <cellStyle name="Normal 6 3 2 2 3 2" xfId="1283"/>
    <cellStyle name="Normal 6 3 2 2 4" xfId="1284"/>
    <cellStyle name="Normal 6 3 2 3" xfId="1285"/>
    <cellStyle name="Normal 6 3 2 3 2" xfId="1286"/>
    <cellStyle name="Normal 6 3 2 3 2 2" xfId="1287"/>
    <cellStyle name="Normal 6 3 2 3 3" xfId="1288"/>
    <cellStyle name="Normal 6 3 2 4" xfId="1289"/>
    <cellStyle name="Normal 6 3 2 4 2" xfId="1290"/>
    <cellStyle name="Normal 6 3 2 5" xfId="1291"/>
    <cellStyle name="Normal 6 3 3" xfId="1292"/>
    <cellStyle name="Normal 6 3 3 2" xfId="1293"/>
    <cellStyle name="Normal 6 3 3 2 2" xfId="1294"/>
    <cellStyle name="Normal 6 3 3 2 2 2" xfId="1295"/>
    <cellStyle name="Normal 6 3 3 2 3" xfId="1296"/>
    <cellStyle name="Normal 6 3 3 3" xfId="1297"/>
    <cellStyle name="Normal 6 3 3 3 2" xfId="1298"/>
    <cellStyle name="Normal 6 3 3 4" xfId="1299"/>
    <cellStyle name="Normal 6 3 4" xfId="1300"/>
    <cellStyle name="Normal 6 3 4 2" xfId="1301"/>
    <cellStyle name="Normal 6 3 4 2 2" xfId="1302"/>
    <cellStyle name="Normal 6 3 4 3" xfId="1303"/>
    <cellStyle name="Normal 6 3 5" xfId="1304"/>
    <cellStyle name="Normal 6 3 5 2" xfId="1305"/>
    <cellStyle name="Normal 6 3 6" xfId="1306"/>
    <cellStyle name="Normal 6 4" xfId="1307"/>
    <cellStyle name="Normal 6 4 2" xfId="1308"/>
    <cellStyle name="Normal 6 4 2 2" xfId="1309"/>
    <cellStyle name="Normal 6 4 2 2 2" xfId="1310"/>
    <cellStyle name="Normal 6 4 2 2 2 2" xfId="1311"/>
    <cellStyle name="Normal 6 4 2 2 3" xfId="1312"/>
    <cellStyle name="Normal 6 4 2 3" xfId="1313"/>
    <cellStyle name="Normal 6 4 2 3 2" xfId="1314"/>
    <cellStyle name="Normal 6 4 2 4" xfId="1315"/>
    <cellStyle name="Normal 6 4 3" xfId="1316"/>
    <cellStyle name="Normal 6 4 3 2" xfId="1317"/>
    <cellStyle name="Normal 6 4 3 2 2" xfId="1318"/>
    <cellStyle name="Normal 6 4 3 3" xfId="1319"/>
    <cellStyle name="Normal 6 4 4" xfId="1320"/>
    <cellStyle name="Normal 6 4 4 2" xfId="1321"/>
    <cellStyle name="Normal 6 4 5" xfId="1322"/>
    <cellStyle name="Normal 6 5" xfId="1323"/>
    <cellStyle name="Normal 6 5 2" xfId="1324"/>
    <cellStyle name="Normal 6 5 2 2" xfId="1325"/>
    <cellStyle name="Normal 6 5 2 2 2" xfId="1326"/>
    <cellStyle name="Normal 6 5 2 3" xfId="1327"/>
    <cellStyle name="Normal 6 5 3" xfId="1328"/>
    <cellStyle name="Normal 6 5 3 2" xfId="1329"/>
    <cellStyle name="Normal 6 5 4" xfId="1330"/>
    <cellStyle name="Normal 6 6" xfId="1331"/>
    <cellStyle name="Normal 6 6 2" xfId="1332"/>
    <cellStyle name="Normal 6 6 2 2" xfId="1333"/>
    <cellStyle name="Normal 6 6 3" xfId="1334"/>
    <cellStyle name="Normal 6 7" xfId="1335"/>
    <cellStyle name="Normal 6 7 2" xfId="1336"/>
    <cellStyle name="Normal 6 7 2 2" xfId="1337"/>
    <cellStyle name="Normal 6 7 3" xfId="1338"/>
    <cellStyle name="Normal 6 8" xfId="1339"/>
    <cellStyle name="Normal 6 8 2" xfId="1340"/>
    <cellStyle name="Normal 6 8 2 2" xfId="1341"/>
    <cellStyle name="Normal 6 8 3" xfId="1342"/>
    <cellStyle name="Normal 6 9" xfId="1343"/>
    <cellStyle name="Normal 6 9 2" xfId="1344"/>
    <cellStyle name="Normal 6 9 2 2" xfId="1345"/>
    <cellStyle name="Normal 6 9 3" xfId="1346"/>
    <cellStyle name="Normal 7" xfId="1347"/>
    <cellStyle name="Normal 7 2" xfId="1348"/>
    <cellStyle name="Normal 7 2 2" xfId="1349"/>
    <cellStyle name="Normal 7 2 2 2" xfId="1350"/>
    <cellStyle name="Normal 7 2 2 2 2" xfId="1351"/>
    <cellStyle name="Normal 7 2 2 2 2 2" xfId="1352"/>
    <cellStyle name="Normal 7 2 2 2 2 2 2" xfId="1353"/>
    <cellStyle name="Normal 7 2 2 2 2 3" xfId="1354"/>
    <cellStyle name="Normal 7 2 2 2 3" xfId="1355"/>
    <cellStyle name="Normal 7 2 2 2 3 2" xfId="1356"/>
    <cellStyle name="Normal 7 2 2 2 4" xfId="1357"/>
    <cellStyle name="Normal 7 2 2 3" xfId="1358"/>
    <cellStyle name="Normal 7 2 2 3 2" xfId="1359"/>
    <cellStyle name="Normal 7 2 2 3 2 2" xfId="1360"/>
    <cellStyle name="Normal 7 2 2 3 3" xfId="1361"/>
    <cellStyle name="Normal 7 2 2 4" xfId="1362"/>
    <cellStyle name="Normal 7 2 2 4 2" xfId="1363"/>
    <cellStyle name="Normal 7 2 2 5" xfId="1364"/>
    <cellStyle name="Normal 7 2 3" xfId="1365"/>
    <cellStyle name="Normal 7 2 3 2" xfId="1366"/>
    <cellStyle name="Normal 7 2 3 2 2" xfId="1367"/>
    <cellStyle name="Normal 7 2 3 2 2 2" xfId="1368"/>
    <cellStyle name="Normal 7 2 3 2 3" xfId="1369"/>
    <cellStyle name="Normal 7 2 3 3" xfId="1370"/>
    <cellStyle name="Normal 7 2 3 3 2" xfId="1371"/>
    <cellStyle name="Normal 7 2 3 4" xfId="1372"/>
    <cellStyle name="Normal 7 2 4" xfId="1373"/>
    <cellStyle name="Normal 7 2 4 2" xfId="1374"/>
    <cellStyle name="Normal 7 2 4 2 2" xfId="1375"/>
    <cellStyle name="Normal 7 2 4 3" xfId="1376"/>
    <cellStyle name="Normal 7 2 5" xfId="1377"/>
    <cellStyle name="Normal 7 2 5 2" xfId="1378"/>
    <cellStyle name="Normal 7 2 5 2 2" xfId="1379"/>
    <cellStyle name="Normal 7 2 5 3" xfId="1380"/>
    <cellStyle name="Normal 7 2 6" xfId="1381"/>
    <cellStyle name="Normal 7 2 6 2" xfId="1382"/>
    <cellStyle name="Normal 7 2 7" xfId="1383"/>
    <cellStyle name="Normal 7 3" xfId="1384"/>
    <cellStyle name="Normal 7 3 2" xfId="1385"/>
    <cellStyle name="Normal 7 3 2 2" xfId="1386"/>
    <cellStyle name="Normal 7 3 2 2 2" xfId="1387"/>
    <cellStyle name="Normal 7 3 2 2 2 2" xfId="1388"/>
    <cellStyle name="Normal 7 3 2 2 3" xfId="1389"/>
    <cellStyle name="Normal 7 3 2 3" xfId="1390"/>
    <cellStyle name="Normal 7 3 2 3 2" xfId="1391"/>
    <cellStyle name="Normal 7 3 2 4" xfId="1392"/>
    <cellStyle name="Normal 7 3 3" xfId="1393"/>
    <cellStyle name="Normal 7 3 3 2" xfId="1394"/>
    <cellStyle name="Normal 7 3 3 2 2" xfId="1395"/>
    <cellStyle name="Normal 7 3 3 3" xfId="1396"/>
    <cellStyle name="Normal 7 3 4" xfId="1397"/>
    <cellStyle name="Normal 7 3 4 2" xfId="1398"/>
    <cellStyle name="Normal 7 3 5" xfId="1399"/>
    <cellStyle name="Normal 7 4" xfId="1400"/>
    <cellStyle name="Normal 7 4 2" xfId="1401"/>
    <cellStyle name="Normal 7 4 2 2" xfId="1402"/>
    <cellStyle name="Normal 7 4 2 2 2" xfId="1403"/>
    <cellStyle name="Normal 7 4 2 3" xfId="1404"/>
    <cellStyle name="Normal 7 4 3" xfId="1405"/>
    <cellStyle name="Normal 7 4 3 2" xfId="1406"/>
    <cellStyle name="Normal 7 4 4" xfId="1407"/>
    <cellStyle name="Normal 7 5" xfId="1408"/>
    <cellStyle name="Normal 7 5 2" xfId="1409"/>
    <cellStyle name="Normal 7 5 2 2" xfId="1410"/>
    <cellStyle name="Normal 7 5 3" xfId="1411"/>
    <cellStyle name="Normal 7 6" xfId="1412"/>
    <cellStyle name="Normal 7 6 2" xfId="1413"/>
    <cellStyle name="Normal 7 7" xfId="1414"/>
    <cellStyle name="Normal 7 7 2" xfId="1415"/>
    <cellStyle name="Normal 7 8" xfId="1416"/>
    <cellStyle name="Normal 7 8 2" xfId="1417"/>
    <cellStyle name="Normal 7 9" xfId="1418"/>
    <cellStyle name="Normal 8" xfId="1419"/>
    <cellStyle name="Normal 8 2" xfId="1420"/>
    <cellStyle name="Normal 8 2 2" xfId="1421"/>
    <cellStyle name="Normal 8 3" xfId="1422"/>
    <cellStyle name="Normal 8 3 2" xfId="1423"/>
    <cellStyle name="Normal 8 4" xfId="1424"/>
    <cellStyle name="Normal 9" xfId="1425"/>
    <cellStyle name="Normal 9 2" xfId="1426"/>
    <cellStyle name="Normal 9 2 2" xfId="1427"/>
    <cellStyle name="Normal 9 3" xfId="1428"/>
    <cellStyle name="Normal GHG Numbers (0.00)" xfId="1429"/>
    <cellStyle name="Normal GHG Numbers (0.00) 2" xfId="1430"/>
    <cellStyle name="Normal GHG Numbers (0.00) 2 2" xfId="1431"/>
    <cellStyle name="Normal GHG Numbers (0.00) 3" xfId="1432"/>
    <cellStyle name="Normal GHG Numbers (0.00) 3 2" xfId="1433"/>
    <cellStyle name="Normal GHG Numbers (0.00) 3 2 2" xfId="1434"/>
    <cellStyle name="Normal GHG Numbers (0.00) 3 2 2 2" xfId="1435"/>
    <cellStyle name="Normal GHG Numbers (0.00) 3 2 2 2 2" xfId="1436"/>
    <cellStyle name="Normal GHG Numbers (0.00) 3 2 2 3" xfId="1437"/>
    <cellStyle name="Normal GHG Numbers (0.00) 3 2 3" xfId="1438"/>
    <cellStyle name="Normal GHG Numbers (0.00) 3 2 3 2" xfId="1439"/>
    <cellStyle name="Normal GHG Numbers (0.00) 3 2 4" xfId="1440"/>
    <cellStyle name="Normal GHG Numbers (0.00) 3 3" xfId="1441"/>
    <cellStyle name="Normal GHG Numbers (0.00) 3 3 2" xfId="1442"/>
    <cellStyle name="Normal GHG Numbers (0.00) 3 3 2 2" xfId="1443"/>
    <cellStyle name="Normal GHG Numbers (0.00) 3 3 2 2 2" xfId="1444"/>
    <cellStyle name="Normal GHG Numbers (0.00) 3 3 2 3" xfId="1445"/>
    <cellStyle name="Normal GHG Numbers (0.00) 3 3 3" xfId="1446"/>
    <cellStyle name="Normal GHG Numbers (0.00) 3 3 3 2" xfId="1447"/>
    <cellStyle name="Normal GHG Numbers (0.00) 3 3 3 2 2" xfId="1448"/>
    <cellStyle name="Normal GHG Numbers (0.00) 3 3 3 3" xfId="1449"/>
    <cellStyle name="Normal GHG Numbers (0.00) 3 3 4" xfId="1450"/>
    <cellStyle name="Normal GHG Numbers (0.00) 3 3 4 2" xfId="1451"/>
    <cellStyle name="Normal GHG Numbers (0.00) 3 3 4 2 2" xfId="1452"/>
    <cellStyle name="Normal GHG Numbers (0.00) 3 3 4 3" xfId="1453"/>
    <cellStyle name="Normal GHG Numbers (0.00) 3 3 5" xfId="1454"/>
    <cellStyle name="Normal GHG Numbers (0.00) 3 4" xfId="1455"/>
    <cellStyle name="Normal GHG Numbers (0.00) 3 4 2" xfId="1456"/>
    <cellStyle name="Normal GHG Numbers (0.00) 3 5" xfId="1457"/>
    <cellStyle name="Normal GHG Numbers (0.00) 4" xfId="1458"/>
    <cellStyle name="Normal GHG Textfiels Bold" xfId="1459"/>
    <cellStyle name="Normal GHG Textfiels Bold 2" xfId="1460"/>
    <cellStyle name="Normal GHG Textfiels Bold 2 2" xfId="1461"/>
    <cellStyle name="Normal GHG Textfiels Bold 3" xfId="1462"/>
    <cellStyle name="Normal GHG Textfiels Bold 3 2" xfId="1463"/>
    <cellStyle name="Normal GHG Textfiels Bold 3 2 2" xfId="1464"/>
    <cellStyle name="Normal GHG Textfiels Bold 3 2 2 2" xfId="1465"/>
    <cellStyle name="Normal GHG Textfiels Bold 3 2 2 2 2" xfId="1466"/>
    <cellStyle name="Normal GHG Textfiels Bold 3 2 2 3" xfId="1467"/>
    <cellStyle name="Normal GHG Textfiels Bold 3 2 3" xfId="1468"/>
    <cellStyle name="Normal GHG Textfiels Bold 3 2 3 2" xfId="1469"/>
    <cellStyle name="Normal GHG Textfiels Bold 3 2 4" xfId="1470"/>
    <cellStyle name="Normal GHG Textfiels Bold 3 3" xfId="1471"/>
    <cellStyle name="Normal GHG Textfiels Bold 3 3 2" xfId="1472"/>
    <cellStyle name="Normal GHG Textfiels Bold 3 3 2 2" xfId="1473"/>
    <cellStyle name="Normal GHG Textfiels Bold 3 3 2 2 2" xfId="1474"/>
    <cellStyle name="Normal GHG Textfiels Bold 3 3 2 3" xfId="1475"/>
    <cellStyle name="Normal GHG Textfiels Bold 3 3 3" xfId="1476"/>
    <cellStyle name="Normal GHG Textfiels Bold 3 3 3 2" xfId="1477"/>
    <cellStyle name="Normal GHG Textfiels Bold 3 3 3 2 2" xfId="1478"/>
    <cellStyle name="Normal GHG Textfiels Bold 3 3 3 3" xfId="1479"/>
    <cellStyle name="Normal GHG Textfiels Bold 3 3 4" xfId="1480"/>
    <cellStyle name="Normal GHG Textfiels Bold 3 3 4 2" xfId="1481"/>
    <cellStyle name="Normal GHG Textfiels Bold 3 3 4 2 2" xfId="1482"/>
    <cellStyle name="Normal GHG Textfiels Bold 3 3 4 3" xfId="1483"/>
    <cellStyle name="Normal GHG Textfiels Bold 3 3 5" xfId="1484"/>
    <cellStyle name="Normal GHG Textfiels Bold 3 4" xfId="1485"/>
    <cellStyle name="Normal GHG Textfiels Bold 4" xfId="1486"/>
    <cellStyle name="Normal GHG whole table" xfId="1487"/>
    <cellStyle name="Normal GHG whole table 2" xfId="1488"/>
    <cellStyle name="Normal GHG whole table 2 2" xfId="1489"/>
    <cellStyle name="Normal GHG whole table 2 2 2" xfId="1490"/>
    <cellStyle name="Normal GHG whole table 2 2 2 2" xfId="1491"/>
    <cellStyle name="Normal GHG whole table 2 2 3" xfId="1492"/>
    <cellStyle name="Normal GHG whole table 2 3" xfId="1493"/>
    <cellStyle name="Normal GHG whole table 2 3 2" xfId="1494"/>
    <cellStyle name="Normal GHG whole table 2 4" xfId="1495"/>
    <cellStyle name="Normal GHG whole table 3" xfId="1496"/>
    <cellStyle name="Normal GHG whole table 3 2" xfId="1497"/>
    <cellStyle name="Normal GHG whole table 3 2 2" xfId="1498"/>
    <cellStyle name="Normal GHG whole table 3 2 2 2" xfId="1499"/>
    <cellStyle name="Normal GHG whole table 3 2 3" xfId="1500"/>
    <cellStyle name="Normal GHG whole table 3 3" xfId="1501"/>
    <cellStyle name="Normal GHG whole table 3 3 2" xfId="1502"/>
    <cellStyle name="Normal GHG whole table 3 3 2 2" xfId="1503"/>
    <cellStyle name="Normal GHG whole table 3 3 3" xfId="1504"/>
    <cellStyle name="Normal GHG whole table 3 4" xfId="1505"/>
    <cellStyle name="Normal GHG whole table 3 4 2" xfId="1506"/>
    <cellStyle name="Normal GHG whole table 3 4 2 2" xfId="1507"/>
    <cellStyle name="Normal GHG whole table 3 4 3" xfId="1508"/>
    <cellStyle name="Normal GHG whole table 3 5" xfId="1509"/>
    <cellStyle name="Normal GHG whole table 4" xfId="1510"/>
    <cellStyle name="Normal GHG whole table 4 2" xfId="1511"/>
    <cellStyle name="Normal GHG whole table 5" xfId="1512"/>
    <cellStyle name="Normal GHG-Shade" xfId="1513"/>
    <cellStyle name="Normal GHG-Shade 2" xfId="1514"/>
    <cellStyle name="Normal GHG-Shade 2 2" xfId="1515"/>
    <cellStyle name="Normal GHG-Shade 2 2 2" xfId="1516"/>
    <cellStyle name="Normal GHG-Shade 2 3" xfId="1517"/>
    <cellStyle name="Normal GHG-Shade 2 3 2" xfId="1518"/>
    <cellStyle name="Normal GHG-Shade 2 4" xfId="1519"/>
    <cellStyle name="Normal GHG-Shade 2 4 2" xfId="1520"/>
    <cellStyle name="Normal GHG-Shade 2 5" xfId="1521"/>
    <cellStyle name="Normal GHG-Shade 2 5 2" xfId="1522"/>
    <cellStyle name="Normal GHG-Shade 2 6" xfId="1523"/>
    <cellStyle name="Normal GHG-Shade 3" xfId="1524"/>
    <cellStyle name="Normal GHG-Shade 3 2" xfId="1525"/>
    <cellStyle name="Normal GHG-Shade 3 2 2" xfId="1526"/>
    <cellStyle name="Normal GHG-Shade 3 3" xfId="1527"/>
    <cellStyle name="Normal GHG-Shade 4" xfId="1528"/>
    <cellStyle name="Normal GHG-Shade 4 2" xfId="1529"/>
    <cellStyle name="Normal GHG-Shade 4 2 2" xfId="1530"/>
    <cellStyle name="Normal GHG-Shade 4 3" xfId="1531"/>
    <cellStyle name="Normal GHG-Shade 5" xfId="1532"/>
    <cellStyle name="Normál_Munka1" xfId="1534"/>
    <cellStyle name="Normal_restitutions" xfId="1533"/>
    <cellStyle name="Note 1" xfId="1535"/>
    <cellStyle name="Note 1 2" xfId="1536"/>
    <cellStyle name="Note 17" xfId="1537"/>
    <cellStyle name="Note 2" xfId="1538"/>
    <cellStyle name="Note 2 2" xfId="1539"/>
    <cellStyle name="Note 2 2 2" xfId="1540"/>
    <cellStyle name="Note 2 2 2 2" xfId="1541"/>
    <cellStyle name="Note 2 2 3" xfId="1542"/>
    <cellStyle name="Note 2 3" xfId="1543"/>
    <cellStyle name="Note 2 3 2" xfId="1544"/>
    <cellStyle name="Note 2 3 2 2" xfId="1545"/>
    <cellStyle name="Note 2 3 3" xfId="1546"/>
    <cellStyle name="Note 2 4" xfId="1547"/>
    <cellStyle name="Note 2 4 2" xfId="1548"/>
    <cellStyle name="Note 2 4 2 2" xfId="1549"/>
    <cellStyle name="Note 2 4 3" xfId="1550"/>
    <cellStyle name="Note 2 5" xfId="1551"/>
    <cellStyle name="Note 2 5 2" xfId="1552"/>
    <cellStyle name="Note 2 6" xfId="1553"/>
    <cellStyle name="Note 3" xfId="1554"/>
    <cellStyle name="Note 3 2" xfId="1555"/>
    <cellStyle name="Note 3 2 2" xfId="1556"/>
    <cellStyle name="Note 3 2 2 2" xfId="1557"/>
    <cellStyle name="Note 3 2 3" xfId="1558"/>
    <cellStyle name="Note 3 3" xfId="1559"/>
    <cellStyle name="Note 3 3 2" xfId="1560"/>
    <cellStyle name="Note 3 3 2 2" xfId="1561"/>
    <cellStyle name="Note 3 3 3" xfId="1562"/>
    <cellStyle name="Note 3 4" xfId="1563"/>
    <cellStyle name="Note 3 4 2" xfId="1564"/>
    <cellStyle name="Note 3 4 2 2" xfId="1565"/>
    <cellStyle name="Note 3 4 3" xfId="1566"/>
    <cellStyle name="Note 3 5" xfId="1567"/>
    <cellStyle name="Note 3 5 2" xfId="1568"/>
    <cellStyle name="Note 3 6" xfId="1569"/>
    <cellStyle name="Notiz" xfId="1570"/>
    <cellStyle name="Notiz 2" xfId="1571"/>
    <cellStyle name="Notiz 2 2" xfId="1572"/>
    <cellStyle name="Notiz 2 2 2" xfId="1573"/>
    <cellStyle name="Notiz 2 3" xfId="1574"/>
    <cellStyle name="Notiz 3" xfId="1575"/>
    <cellStyle name="Notiz 3 2" xfId="1576"/>
    <cellStyle name="Notiz 3 2 2" xfId="1577"/>
    <cellStyle name="Notiz 3 3" xfId="1578"/>
    <cellStyle name="Notiz 4" xfId="1579"/>
    <cellStyle name="Notiz 4 2" xfId="1580"/>
    <cellStyle name="Notiz 4 2 2" xfId="1581"/>
    <cellStyle name="Notiz 4 3" xfId="1582"/>
    <cellStyle name="Notiz 5" xfId="1583"/>
    <cellStyle name="Notiz 5 2" xfId="1584"/>
    <cellStyle name="Notiz 6" xfId="1585"/>
    <cellStyle name="Output 2" xfId="1586"/>
    <cellStyle name="Output 2 2" xfId="1587"/>
    <cellStyle name="Output 2 2 2" xfId="1588"/>
    <cellStyle name="Output 2 2 2 2" xfId="1589"/>
    <cellStyle name="Output 2 2 3" xfId="1590"/>
    <cellStyle name="Output 2 3" xfId="1591"/>
    <cellStyle name="Output 2 3 2" xfId="1592"/>
    <cellStyle name="Output 2 3 2 2" xfId="1593"/>
    <cellStyle name="Output 2 3 3" xfId="1594"/>
    <cellStyle name="Output 2 4" xfId="1595"/>
    <cellStyle name="Output 2 4 2" xfId="1596"/>
    <cellStyle name="Output 2 5" xfId="1597"/>
    <cellStyle name="Output 3" xfId="1598"/>
    <cellStyle name="Output 3 2" xfId="1599"/>
    <cellStyle name="Output 3 2 2" xfId="1600"/>
    <cellStyle name="Output 3 2 2 2" xfId="1601"/>
    <cellStyle name="Output 3 2 3" xfId="1602"/>
    <cellStyle name="Output 3 3" xfId="1603"/>
    <cellStyle name="Output 3 3 2" xfId="1604"/>
    <cellStyle name="Output 3 3 2 2" xfId="1605"/>
    <cellStyle name="Output 3 3 3" xfId="1606"/>
    <cellStyle name="Output 3 4" xfId="1607"/>
    <cellStyle name="Output 3 4 2" xfId="1608"/>
    <cellStyle name="Output 3 5" xfId="1609"/>
    <cellStyle name="Pattern" xfId="1610"/>
    <cellStyle name="Pattern 2" xfId="1611"/>
    <cellStyle name="Pattern 2 2" xfId="1612"/>
    <cellStyle name="Pattern 2 2 2" xfId="1613"/>
    <cellStyle name="Pattern 2 2 2 2" xfId="1614"/>
    <cellStyle name="Pattern 2 2 3" xfId="1615"/>
    <cellStyle name="Pattern 2 3" xfId="1616"/>
    <cellStyle name="Pattern 2 3 2" xfId="1617"/>
    <cellStyle name="Pattern 2 4" xfId="1618"/>
    <cellStyle name="Pattern 3" xfId="1619"/>
    <cellStyle name="Pattern 3 2" xfId="1620"/>
    <cellStyle name="Pattern 3 2 2" xfId="1621"/>
    <cellStyle name="Pattern 3 2 2 2" xfId="1622"/>
    <cellStyle name="Pattern 3 2 3" xfId="1623"/>
    <cellStyle name="Pattern 3 3" xfId="1624"/>
    <cellStyle name="Pattern 3 3 2" xfId="1625"/>
    <cellStyle name="Pattern 3 3 2 2" xfId="1626"/>
    <cellStyle name="Pattern 3 3 3" xfId="1627"/>
    <cellStyle name="Pattern 3 4" xfId="1628"/>
    <cellStyle name="Pattern 3 4 2" xfId="1629"/>
    <cellStyle name="Pattern 3 4 2 2" xfId="1630"/>
    <cellStyle name="Pattern 3 4 3" xfId="1631"/>
    <cellStyle name="Pattern 3 5" xfId="1632"/>
    <cellStyle name="Pattern 4" xfId="1633"/>
    <cellStyle name="Percent 2" xfId="1634"/>
    <cellStyle name="Percent 2 2" xfId="1635"/>
    <cellStyle name="Percent 2 2 2" xfId="1636"/>
    <cellStyle name="Percent 2 3" xfId="1637"/>
    <cellStyle name="Pourcentage" xfId="2" builtinId="5"/>
    <cellStyle name="Pourcentage 2" xfId="1638"/>
    <cellStyle name="Pourcentage 2 2" xfId="1639"/>
    <cellStyle name="Pourcentage 2 2 2" xfId="1640"/>
    <cellStyle name="Pourcentage 2 3" xfId="1641"/>
    <cellStyle name="Pourcentage 3" xfId="1642"/>
    <cellStyle name="Pourcentage 3 2" xfId="1643"/>
    <cellStyle name="Pourcentage 4" xfId="1644"/>
    <cellStyle name="Pourcentage 4 2" xfId="1645"/>
    <cellStyle name="Pourcentage 5" xfId="1646"/>
    <cellStyle name="Pourcentage 6" xfId="1793"/>
    <cellStyle name="RowLevel_1 2" xfId="1647"/>
    <cellStyle name="Schlecht" xfId="1648"/>
    <cellStyle name="Schlecht 2" xfId="1649"/>
    <cellStyle name="Shade" xfId="1650"/>
    <cellStyle name="Shade 2" xfId="1651"/>
    <cellStyle name="Shade 2 2" xfId="1652"/>
    <cellStyle name="Shade 2 2 2" xfId="1653"/>
    <cellStyle name="Shade 2 2 2 2" xfId="1654"/>
    <cellStyle name="Shade 2 2 2 2 2" xfId="1655"/>
    <cellStyle name="Shade 2 2 2 3" xfId="1656"/>
    <cellStyle name="Shade 2 2 3" xfId="1657"/>
    <cellStyle name="Shade 2 2 3 2" xfId="1658"/>
    <cellStyle name="Shade 2 2 4" xfId="1659"/>
    <cellStyle name="Shade 2 3" xfId="1660"/>
    <cellStyle name="Shade 2 3 2" xfId="1661"/>
    <cellStyle name="Shade 2 3 2 2" xfId="1662"/>
    <cellStyle name="Shade 2 3 2 2 2" xfId="1663"/>
    <cellStyle name="Shade 2 3 2 3" xfId="1664"/>
    <cellStyle name="Shade 2 3 3" xfId="1665"/>
    <cellStyle name="Shade 2 3 3 2" xfId="1666"/>
    <cellStyle name="Shade 2 3 3 2 2" xfId="1667"/>
    <cellStyle name="Shade 2 3 3 3" xfId="1668"/>
    <cellStyle name="Shade 2 3 4" xfId="1669"/>
    <cellStyle name="Shade 2 3 4 2" xfId="1670"/>
    <cellStyle name="Shade 2 3 4 2 2" xfId="1671"/>
    <cellStyle name="Shade 2 3 4 3" xfId="1672"/>
    <cellStyle name="Shade 2 3 5" xfId="1673"/>
    <cellStyle name="Shade 2 4" xfId="1674"/>
    <cellStyle name="Shade 3" xfId="1675"/>
    <cellStyle name="Shade 3 2" xfId="1676"/>
    <cellStyle name="Shade 3 2 2" xfId="1677"/>
    <cellStyle name="Shade 3 2 2 2" xfId="1678"/>
    <cellStyle name="Shade 3 2 3" xfId="1679"/>
    <cellStyle name="Shade 3 3" xfId="1680"/>
    <cellStyle name="Shade 3 3 2" xfId="1681"/>
    <cellStyle name="Shade 3 4" xfId="1682"/>
    <cellStyle name="Shade 4" xfId="1683"/>
    <cellStyle name="Shade 4 2" xfId="1684"/>
    <cellStyle name="Shade 4 2 2" xfId="1685"/>
    <cellStyle name="Shade 4 2 2 2" xfId="1686"/>
    <cellStyle name="Shade 4 2 3" xfId="1687"/>
    <cellStyle name="Shade 4 2 3 2" xfId="1688"/>
    <cellStyle name="Shade 4 2 4" xfId="1689"/>
    <cellStyle name="Shade 4 3" xfId="1690"/>
    <cellStyle name="Shade 4 3 2" xfId="1691"/>
    <cellStyle name="Shade 4 3 2 2" xfId="1692"/>
    <cellStyle name="Shade 4 3 3" xfId="1693"/>
    <cellStyle name="Shade 4 4" xfId="1694"/>
    <cellStyle name="Shade 4 4 2" xfId="1695"/>
    <cellStyle name="Shade 4 4 2 2" xfId="1696"/>
    <cellStyle name="Shade 4 4 3" xfId="1697"/>
    <cellStyle name="Shade 4 5" xfId="1698"/>
    <cellStyle name="Shade 5" xfId="1699"/>
    <cellStyle name="Shade 5 2" xfId="1700"/>
    <cellStyle name="Shade 6" xfId="1701"/>
    <cellStyle name="Shade_B_border2" xfId="1702"/>
    <cellStyle name="Standard 2" xfId="1703"/>
    <cellStyle name="Standard 2 2" xfId="1704"/>
    <cellStyle name="Standard 2 2 2" xfId="1705"/>
    <cellStyle name="Standard 2 2 2 2" xfId="1706"/>
    <cellStyle name="Standard 2 2 3" xfId="1707"/>
    <cellStyle name="Standard 2 3" xfId="1708"/>
    <cellStyle name="Standard 2 3 2" xfId="1709"/>
    <cellStyle name="Standard 2 4" xfId="1710"/>
    <cellStyle name="Status 1" xfId="1711"/>
    <cellStyle name="Status 1 2" xfId="1712"/>
    <cellStyle name="Status 18" xfId="1713"/>
    <cellStyle name="Text 1" xfId="1714"/>
    <cellStyle name="Text 1 2" xfId="1715"/>
    <cellStyle name="Text 19" xfId="1716"/>
    <cellStyle name="Texte explicatif 2" xfId="1717"/>
    <cellStyle name="Texte explicatif 2 2" xfId="1718"/>
    <cellStyle name="Title 2" xfId="1719"/>
    <cellStyle name="Title 2 2" xfId="1720"/>
    <cellStyle name="Title 3" xfId="1721"/>
    <cellStyle name="Title 3 2" xfId="1722"/>
    <cellStyle name="Total 2" xfId="1723"/>
    <cellStyle name="Total 2 2" xfId="1724"/>
    <cellStyle name="Total 2 2 2" xfId="1725"/>
    <cellStyle name="Total 2 2 2 2" xfId="1726"/>
    <cellStyle name="Total 2 2 3" xfId="1727"/>
    <cellStyle name="Total 2 3" xfId="1728"/>
    <cellStyle name="Total 2 3 2" xfId="1729"/>
    <cellStyle name="Total 2 3 2 2" xfId="1730"/>
    <cellStyle name="Total 2 3 3" xfId="1731"/>
    <cellStyle name="Total 2 4" xfId="1732"/>
    <cellStyle name="Total 2 4 2" xfId="1733"/>
    <cellStyle name="Total 2 4 2 2" xfId="1734"/>
    <cellStyle name="Total 2 4 3" xfId="1735"/>
    <cellStyle name="Total 2 5" xfId="1736"/>
    <cellStyle name="Total 2 5 2" xfId="1737"/>
    <cellStyle name="Total 2 6" xfId="1738"/>
    <cellStyle name="Total 3" xfId="1739"/>
    <cellStyle name="Total 3 2" xfId="1740"/>
    <cellStyle name="Total 3 2 2" xfId="1741"/>
    <cellStyle name="Total 3 2 2 2" xfId="1742"/>
    <cellStyle name="Total 3 2 3" xfId="1743"/>
    <cellStyle name="Total 3 3" xfId="1744"/>
    <cellStyle name="Total 3 3 2" xfId="1745"/>
    <cellStyle name="Total 3 3 2 2" xfId="1746"/>
    <cellStyle name="Total 3 3 3" xfId="1747"/>
    <cellStyle name="Total 3 4" xfId="1748"/>
    <cellStyle name="Total 3 4 2" xfId="1749"/>
    <cellStyle name="Total 3 4 2 2" xfId="1750"/>
    <cellStyle name="Total 3 4 3" xfId="1751"/>
    <cellStyle name="Total 3 5" xfId="1752"/>
    <cellStyle name="Total 3 5 2" xfId="1753"/>
    <cellStyle name="Total 3 6" xfId="1754"/>
    <cellStyle name="Überschrift" xfId="1773"/>
    <cellStyle name="Überschrift 1" xfId="1774"/>
    <cellStyle name="Überschrift 1 2" xfId="1775"/>
    <cellStyle name="Überschrift 2" xfId="1776"/>
    <cellStyle name="Überschrift 2 2" xfId="1777"/>
    <cellStyle name="Überschrift 3" xfId="1778"/>
    <cellStyle name="Überschrift 3 2" xfId="1779"/>
    <cellStyle name="Überschrift 4" xfId="1780"/>
    <cellStyle name="Überschrift 4 2" xfId="1781"/>
    <cellStyle name="Überschrift 5" xfId="1782"/>
    <cellStyle name="Variable1" xfId="1755"/>
    <cellStyle name="VariableG_3" xfId="1756"/>
    <cellStyle name="VariableW_3" xfId="1757"/>
    <cellStyle name="Verknüpfte Zelle" xfId="1758"/>
    <cellStyle name="Verknüpfte Zelle 2" xfId="1759"/>
    <cellStyle name="Warnender Text 2" xfId="1760"/>
    <cellStyle name="Warnender Text 2 2" xfId="1761"/>
    <cellStyle name="Warnender Text 3" xfId="1762"/>
    <cellStyle name="Warnender Text 3 2" xfId="1763"/>
    <cellStyle name="Warning 1" xfId="1764"/>
    <cellStyle name="Warning 1 2" xfId="1765"/>
    <cellStyle name="Warning 20" xfId="1766"/>
    <cellStyle name="Warning Text 2" xfId="1767"/>
    <cellStyle name="Warning Text 2 2" xfId="1768"/>
    <cellStyle name="Warning Text 3" xfId="1769"/>
    <cellStyle name="Warning Text 3 2" xfId="1770"/>
    <cellStyle name="Zelle überprüfen" xfId="1771"/>
    <cellStyle name="Zelle überprüfen 2" xfId="1772"/>
    <cellStyle name="Гиперссылка" xfId="1783"/>
    <cellStyle name="Гиперссылка 2" xfId="1784"/>
    <cellStyle name="Гиперссылка 2 2" xfId="1785"/>
    <cellStyle name="Гиперссылка 3" xfId="1786"/>
    <cellStyle name="Гиперссылка 3 2" xfId="1787"/>
    <cellStyle name="Гиперссылка 4" xfId="1788"/>
    <cellStyle name="Гиперссылка 4 2" xfId="1789"/>
    <cellStyle name="Гиперссылка 5" xfId="1790"/>
    <cellStyle name="Обычный_2++" xfId="1791"/>
  </cellStyles>
  <dxfs count="0"/>
  <tableStyles count="0" defaultTableStyle="TableStyleMedium2" defaultPivotStyle="PivotStyleLight16"/>
  <colors>
    <indexedColors>
      <rgbColor rgb="FF000000"/>
      <rgbColor rgb="FFFFFFFF"/>
      <rgbColor rgb="FFFF0000"/>
      <rgbColor rgb="FF00FF00"/>
      <rgbColor rgb="FF0000FF"/>
      <rgbColor rgb="FFFFFF00"/>
      <rgbColor rgb="FFBFBFBF"/>
      <rgbColor rgb="FFB4C7E5"/>
      <rgbColor rgb="FFC40000"/>
      <rgbColor rgb="FF148317"/>
      <rgbColor rgb="FFE9E3F2"/>
      <rgbColor rgb="FFED7D31"/>
      <rgbColor rgb="FF800080"/>
      <rgbColor rgb="FF296098"/>
      <rgbColor rgb="FFC0C0C0"/>
      <rgbColor rgb="FF808080"/>
      <rgbColor rgb="FFA9A7A7"/>
      <rgbColor rgb="FF7A2D99"/>
      <rgbColor rgb="FFFFFFC8"/>
      <rgbColor rgb="FFCCFFFF"/>
      <rgbColor rgb="FFCCCCCC"/>
      <rgbColor rgb="FFFF898C"/>
      <rgbColor rgb="FF006DB4"/>
      <rgbColor rgb="FFCAD0FE"/>
      <rgbColor rgb="FFF2F2F2"/>
      <rgbColor rgb="FFB7C5DB"/>
      <rgbColor rgb="FFFFC000"/>
      <rgbColor rgb="FFBDD7EE"/>
      <rgbColor rgb="FFED661E"/>
      <rgbColor rgb="FFCC0101"/>
      <rgbColor rgb="FF2F5597"/>
      <rgbColor rgb="FFE0E3F2"/>
      <rgbColor rgb="FF9DC3E6"/>
      <rgbColor rgb="FFDEEBF7"/>
      <rgbColor rgb="FFCCFFCC"/>
      <rgbColor rgb="FFE2F0D9"/>
      <rgbColor rgb="FF9ACBFD"/>
      <rgbColor rgb="FFFF99CC"/>
      <rgbColor rgb="FFCC99FF"/>
      <rgbColor rgb="FFFFCC9B"/>
      <rgbColor rgb="FF3D7AC0"/>
      <rgbColor rgb="FF33CCCC"/>
      <rgbColor rgb="FF73AF45"/>
      <rgbColor rgb="FFFFCC00"/>
      <rgbColor rgb="FFFF9900"/>
      <rgbColor rgb="FFFF5900"/>
      <rgbColor rgb="FF2E66A0"/>
      <rgbColor rgb="FF959698"/>
      <rgbColor rgb="FF013347"/>
      <rgbColor rgb="FF508B36"/>
      <rgbColor rgb="FFD8D8D8"/>
      <rgbColor rgb="FFFF9109"/>
      <rgbColor rgb="FF72521C"/>
      <rgbColor rgb="FFF86032"/>
      <rgbColor rgb="FF333399"/>
      <rgbColor rgb="FF303434"/>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Répartition</a:t>
            </a:r>
            <a:r>
              <a:rPr lang="fr-FR" baseline="0"/>
              <a:t> CCS</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0"/>
          <c:order val="0"/>
          <c:tx>
            <c:strRef>
              <c:f>'A renseigner'!$B$323</c:f>
              <c:strCache>
                <c:ptCount val="1"/>
                <c:pt idx="0">
                  <c:v>Total CCS fossile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 renseigner'!$C$277:$H$277</c:f>
              <c:numCache>
                <c:formatCode>0</c:formatCode>
                <c:ptCount val="6"/>
                <c:pt idx="0">
                  <c:v>2025</c:v>
                </c:pt>
                <c:pt idx="1">
                  <c:v>2030</c:v>
                </c:pt>
                <c:pt idx="2">
                  <c:v>2035</c:v>
                </c:pt>
                <c:pt idx="3">
                  <c:v>2040</c:v>
                </c:pt>
                <c:pt idx="4">
                  <c:v>2045</c:v>
                </c:pt>
                <c:pt idx="5">
                  <c:v>2050</c:v>
                </c:pt>
              </c:numCache>
            </c:numRef>
          </c:cat>
          <c:val>
            <c:numRef>
              <c:f>'A renseigner'!$C$323:$H$323</c:f>
              <c:numCache>
                <c:formatCode>0</c:formatCode>
                <c:ptCount val="6"/>
                <c:pt idx="0">
                  <c:v>0</c:v>
                </c:pt>
                <c:pt idx="1">
                  <c:v>4.8995999999999995</c:v>
                </c:pt>
                <c:pt idx="2">
                  <c:v>7.6826854999999989</c:v>
                </c:pt>
                <c:pt idx="3">
                  <c:v>8.3161125000000009</c:v>
                </c:pt>
                <c:pt idx="4">
                  <c:v>8.3609240000000007</c:v>
                </c:pt>
                <c:pt idx="5" formatCode="0.0">
                  <c:v>7.6289100000000003</c:v>
                </c:pt>
              </c:numCache>
            </c:numRef>
          </c:val>
          <c:extLst>
            <c:ext xmlns:c16="http://schemas.microsoft.com/office/drawing/2014/chart" uri="{C3380CC4-5D6E-409C-BE32-E72D297353CC}">
              <c16:uniqueId val="{00000000-D0E8-471E-AB45-D324EDF346B8}"/>
            </c:ext>
          </c:extLst>
        </c:ser>
        <c:ser>
          <c:idx val="1"/>
          <c:order val="1"/>
          <c:tx>
            <c:strRef>
              <c:f>'A renseigner'!$B$324</c:f>
              <c:strCache>
                <c:ptCount val="1"/>
                <c:pt idx="0">
                  <c:v>Total CCU fossile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 renseigner'!$C$277:$H$277</c:f>
              <c:numCache>
                <c:formatCode>0</c:formatCode>
                <c:ptCount val="6"/>
                <c:pt idx="0">
                  <c:v>2025</c:v>
                </c:pt>
                <c:pt idx="1">
                  <c:v>2030</c:v>
                </c:pt>
                <c:pt idx="2">
                  <c:v>2035</c:v>
                </c:pt>
                <c:pt idx="3">
                  <c:v>2040</c:v>
                </c:pt>
                <c:pt idx="4">
                  <c:v>2045</c:v>
                </c:pt>
                <c:pt idx="5">
                  <c:v>2050</c:v>
                </c:pt>
              </c:numCache>
            </c:numRef>
          </c:cat>
          <c:val>
            <c:numRef>
              <c:f>'A renseigner'!$C$324:$H$324</c:f>
              <c:numCache>
                <c:formatCode>0</c:formatCode>
                <c:ptCount val="6"/>
                <c:pt idx="0">
                  <c:v>0</c:v>
                </c:pt>
                <c:pt idx="1">
                  <c:v>0.54439999999999988</c:v>
                </c:pt>
                <c:pt idx="2">
                  <c:v>1.3525894999999999</c:v>
                </c:pt>
                <c:pt idx="3">
                  <c:v>2.4972374999999998</c:v>
                </c:pt>
                <c:pt idx="4">
                  <c:v>2.9091259999999992</c:v>
                </c:pt>
                <c:pt idx="5" formatCode="0.0">
                  <c:v>3.5425900000000001</c:v>
                </c:pt>
              </c:numCache>
            </c:numRef>
          </c:val>
          <c:extLst>
            <c:ext xmlns:c16="http://schemas.microsoft.com/office/drawing/2014/chart" uri="{C3380CC4-5D6E-409C-BE32-E72D297353CC}">
              <c16:uniqueId val="{00000001-D0E8-471E-AB45-D324EDF346B8}"/>
            </c:ext>
          </c:extLst>
        </c:ser>
        <c:ser>
          <c:idx val="2"/>
          <c:order val="2"/>
          <c:tx>
            <c:strRef>
              <c:f>'A renseigner'!$B$325</c:f>
              <c:strCache>
                <c:ptCount val="1"/>
                <c:pt idx="0">
                  <c:v>Total BECCS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 renseigner'!$C$277:$H$277</c:f>
              <c:numCache>
                <c:formatCode>0</c:formatCode>
                <c:ptCount val="6"/>
                <c:pt idx="0">
                  <c:v>2025</c:v>
                </c:pt>
                <c:pt idx="1">
                  <c:v>2030</c:v>
                </c:pt>
                <c:pt idx="2">
                  <c:v>2035</c:v>
                </c:pt>
                <c:pt idx="3">
                  <c:v>2040</c:v>
                </c:pt>
                <c:pt idx="4">
                  <c:v>2045</c:v>
                </c:pt>
                <c:pt idx="5">
                  <c:v>2050</c:v>
                </c:pt>
              </c:numCache>
            </c:numRef>
          </c:cat>
          <c:val>
            <c:numRef>
              <c:f>'A renseigner'!$C$325:$H$325</c:f>
              <c:numCache>
                <c:formatCode>0</c:formatCode>
                <c:ptCount val="6"/>
                <c:pt idx="0">
                  <c:v>0</c:v>
                </c:pt>
                <c:pt idx="1">
                  <c:v>1.0404</c:v>
                </c:pt>
                <c:pt idx="2">
                  <c:v>3.7483144999999993</c:v>
                </c:pt>
                <c:pt idx="3">
                  <c:v>5.6113874999999993</c:v>
                </c:pt>
                <c:pt idx="4">
                  <c:v>8.5506760000000011</c:v>
                </c:pt>
                <c:pt idx="5" formatCode="0.0">
                  <c:v>11.39049</c:v>
                </c:pt>
              </c:numCache>
            </c:numRef>
          </c:val>
          <c:extLst>
            <c:ext xmlns:c16="http://schemas.microsoft.com/office/drawing/2014/chart" uri="{C3380CC4-5D6E-409C-BE32-E72D297353CC}">
              <c16:uniqueId val="{00000002-D0E8-471E-AB45-D324EDF346B8}"/>
            </c:ext>
          </c:extLst>
        </c:ser>
        <c:ser>
          <c:idx val="3"/>
          <c:order val="3"/>
          <c:tx>
            <c:strRef>
              <c:f>'A renseigner'!$B$326</c:f>
              <c:strCache>
                <c:ptCount val="1"/>
                <c:pt idx="0">
                  <c:v>Total BECCU</c:v>
                </c:pt>
              </c:strCache>
            </c:strRef>
          </c:tx>
          <c:spPr>
            <a:solidFill>
              <a:schemeClr val="accent4"/>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F-D0E8-471E-AB45-D324EDF346B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 renseigner'!$C$277:$H$277</c:f>
              <c:numCache>
                <c:formatCode>0</c:formatCode>
                <c:ptCount val="6"/>
                <c:pt idx="0">
                  <c:v>2025</c:v>
                </c:pt>
                <c:pt idx="1">
                  <c:v>2030</c:v>
                </c:pt>
                <c:pt idx="2">
                  <c:v>2035</c:v>
                </c:pt>
                <c:pt idx="3">
                  <c:v>2040</c:v>
                </c:pt>
                <c:pt idx="4">
                  <c:v>2045</c:v>
                </c:pt>
                <c:pt idx="5">
                  <c:v>2050</c:v>
                </c:pt>
              </c:numCache>
            </c:numRef>
          </c:cat>
          <c:val>
            <c:numRef>
              <c:f>'A renseigner'!$C$326:$H$326</c:f>
              <c:numCache>
                <c:formatCode>0</c:formatCode>
                <c:ptCount val="6"/>
                <c:pt idx="0">
                  <c:v>0</c:v>
                </c:pt>
                <c:pt idx="1">
                  <c:v>0.11559999999999998</c:v>
                </c:pt>
                <c:pt idx="2">
                  <c:v>0.76641049999999999</c:v>
                </c:pt>
                <c:pt idx="3">
                  <c:v>1.9452624999999999</c:v>
                </c:pt>
                <c:pt idx="4">
                  <c:v>3.5492739999999996</c:v>
                </c:pt>
                <c:pt idx="5">
                  <c:v>6.3080100000000003</c:v>
                </c:pt>
              </c:numCache>
            </c:numRef>
          </c:val>
          <c:extLst>
            <c:ext xmlns:c16="http://schemas.microsoft.com/office/drawing/2014/chart" uri="{C3380CC4-5D6E-409C-BE32-E72D297353CC}">
              <c16:uniqueId val="{00000003-D0E8-471E-AB45-D324EDF346B8}"/>
            </c:ext>
          </c:extLst>
        </c:ser>
        <c:ser>
          <c:idx val="4"/>
          <c:order val="4"/>
          <c:tx>
            <c:strRef>
              <c:f>'A renseigner'!$B$327</c:f>
              <c:strCache>
                <c:ptCount val="1"/>
                <c:pt idx="0">
                  <c:v>Total DACCS</c:v>
                </c:pt>
              </c:strCache>
            </c:strRef>
          </c:tx>
          <c:spPr>
            <a:solidFill>
              <a:schemeClr val="accent5"/>
            </a:solidFill>
            <a:ln>
              <a:noFill/>
            </a:ln>
            <a:effectLst/>
          </c:spPr>
          <c:invertIfNegative val="0"/>
          <c:dLbls>
            <c:delete val="1"/>
          </c:dLbls>
          <c:cat>
            <c:numRef>
              <c:f>'A renseigner'!$C$277:$H$277</c:f>
              <c:numCache>
                <c:formatCode>0</c:formatCode>
                <c:ptCount val="6"/>
                <c:pt idx="0">
                  <c:v>2025</c:v>
                </c:pt>
                <c:pt idx="1">
                  <c:v>2030</c:v>
                </c:pt>
                <c:pt idx="2">
                  <c:v>2035</c:v>
                </c:pt>
                <c:pt idx="3">
                  <c:v>2040</c:v>
                </c:pt>
                <c:pt idx="4">
                  <c:v>2045</c:v>
                </c:pt>
                <c:pt idx="5">
                  <c:v>2050</c:v>
                </c:pt>
              </c:numCache>
            </c:numRef>
          </c:cat>
          <c:val>
            <c:numRef>
              <c:f>'A renseigner'!$C$327:$H$327</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D0E8-471E-AB45-D324EDF346B8}"/>
            </c:ext>
          </c:extLst>
        </c:ser>
        <c:ser>
          <c:idx val="5"/>
          <c:order val="5"/>
          <c:tx>
            <c:strRef>
              <c:f>'A renseigner'!$B$328</c:f>
              <c:strCache>
                <c:ptCount val="1"/>
                <c:pt idx="0">
                  <c:v>Total DACCU</c:v>
                </c:pt>
              </c:strCache>
            </c:strRef>
          </c:tx>
          <c:spPr>
            <a:solidFill>
              <a:schemeClr val="accent6"/>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D-D0E8-471E-AB45-D324EDF346B8}"/>
                </c:ext>
              </c:extLst>
            </c:dLbl>
            <c:dLbl>
              <c:idx val="2"/>
              <c:delete val="1"/>
              <c:extLst>
                <c:ext xmlns:c15="http://schemas.microsoft.com/office/drawing/2012/chart" uri="{CE6537A1-D6FC-4f65-9D91-7224C49458BB}"/>
                <c:ext xmlns:c16="http://schemas.microsoft.com/office/drawing/2014/chart" uri="{C3380CC4-5D6E-409C-BE32-E72D297353CC}">
                  <c16:uniqueId val="{0000000C-D0E8-471E-AB45-D324EDF346B8}"/>
                </c:ext>
              </c:extLst>
            </c:dLbl>
            <c:dLbl>
              <c:idx val="3"/>
              <c:layout>
                <c:manualLayout>
                  <c:x val="6.5338161487456923E-17"/>
                  <c:y val="-5.1182803499199653E-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1-D0E8-471E-AB45-D324EDF346B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 renseigner'!$C$277:$H$277</c:f>
              <c:numCache>
                <c:formatCode>0</c:formatCode>
                <c:ptCount val="6"/>
                <c:pt idx="0">
                  <c:v>2025</c:v>
                </c:pt>
                <c:pt idx="1">
                  <c:v>2030</c:v>
                </c:pt>
                <c:pt idx="2">
                  <c:v>2035</c:v>
                </c:pt>
                <c:pt idx="3">
                  <c:v>2040</c:v>
                </c:pt>
                <c:pt idx="4">
                  <c:v>2045</c:v>
                </c:pt>
                <c:pt idx="5">
                  <c:v>2050</c:v>
                </c:pt>
              </c:numCache>
            </c:numRef>
          </c:cat>
          <c:val>
            <c:numRef>
              <c:f>'A renseigner'!$C$328:$H$328</c:f>
              <c:numCache>
                <c:formatCode>0</c:formatCode>
                <c:ptCount val="6"/>
                <c:pt idx="0">
                  <c:v>0</c:v>
                </c:pt>
                <c:pt idx="1">
                  <c:v>0</c:v>
                </c:pt>
                <c:pt idx="2">
                  <c:v>0</c:v>
                </c:pt>
                <c:pt idx="3">
                  <c:v>1</c:v>
                </c:pt>
                <c:pt idx="4">
                  <c:v>2</c:v>
                </c:pt>
                <c:pt idx="5">
                  <c:v>5</c:v>
                </c:pt>
              </c:numCache>
            </c:numRef>
          </c:val>
          <c:extLst>
            <c:ext xmlns:c16="http://schemas.microsoft.com/office/drawing/2014/chart" uri="{C3380CC4-5D6E-409C-BE32-E72D297353CC}">
              <c16:uniqueId val="{00000005-D0E8-471E-AB45-D324EDF346B8}"/>
            </c:ext>
          </c:extLst>
        </c:ser>
        <c:dLbls>
          <c:dLblPos val="ctr"/>
          <c:showLegendKey val="0"/>
          <c:showVal val="1"/>
          <c:showCatName val="0"/>
          <c:showSerName val="0"/>
          <c:showPercent val="0"/>
          <c:showBubbleSize val="0"/>
        </c:dLbls>
        <c:gapWidth val="150"/>
        <c:overlap val="100"/>
        <c:axId val="880311792"/>
        <c:axId val="880312208"/>
      </c:barChart>
      <c:catAx>
        <c:axId val="880311792"/>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80312208"/>
        <c:crosses val="autoZero"/>
        <c:auto val="1"/>
        <c:lblAlgn val="ctr"/>
        <c:lblOffset val="100"/>
        <c:noMultiLvlLbl val="0"/>
      </c:catAx>
      <c:valAx>
        <c:axId val="880312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803117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fr-FR"/>
  <c:roundedCorners val="0"/>
  <c:style val="2"/>
  <c:chart>
    <c:title>
      <c:tx>
        <c:rich>
          <a:bodyPr rot="0"/>
          <a:lstStyle/>
          <a:p>
            <a:pPr>
              <a:defRPr sz="1400" b="0" strike="noStrike" spc="-1">
                <a:solidFill>
                  <a:srgbClr val="595959"/>
                </a:solidFill>
                <a:latin typeface="Calibri"/>
              </a:defRPr>
            </a:pPr>
            <a:r>
              <a:rPr lang="fr-FR" sz="1400" b="0" strike="noStrike" spc="-1">
                <a:solidFill>
                  <a:srgbClr val="595959"/>
                </a:solidFill>
                <a:latin typeface="Calibri"/>
              </a:rPr>
              <a:t>Papier</a:t>
            </a:r>
          </a:p>
        </c:rich>
      </c:tx>
      <c:overlay val="0"/>
      <c:spPr>
        <a:noFill/>
        <a:ln>
          <a:noFill/>
        </a:ln>
      </c:spPr>
    </c:title>
    <c:autoTitleDeleted val="0"/>
    <c:plotArea>
      <c:layout/>
      <c:barChart>
        <c:barDir val="col"/>
        <c:grouping val="clustered"/>
        <c:varyColors val="0"/>
        <c:dLbls>
          <c:showLegendKey val="0"/>
          <c:showVal val="0"/>
          <c:showCatName val="0"/>
          <c:showSerName val="0"/>
          <c:showPercent val="0"/>
          <c:showBubbleSize val="0"/>
        </c:dLbls>
        <c:gapWidth val="100"/>
        <c:axId val="7602886"/>
        <c:axId val="98313271"/>
      </c:barChart>
      <c:catAx>
        <c:axId val="7602886"/>
        <c:scaling>
          <c:orientation val="minMax"/>
        </c:scaling>
        <c:delete val="1"/>
        <c:axPos val="b"/>
        <c:numFmt formatCode="dd/mm/yyyy" sourceLinked="1"/>
        <c:majorTickMark val="out"/>
        <c:minorTickMark val="none"/>
        <c:tickLblPos val="none"/>
        <c:crossAx val="98313271"/>
        <c:crossesAt val="0"/>
        <c:auto val="1"/>
        <c:lblAlgn val="ctr"/>
        <c:lblOffset val="100"/>
        <c:noMultiLvlLbl val="1"/>
      </c:catAx>
      <c:valAx>
        <c:axId val="98313271"/>
        <c:scaling>
          <c:orientation val="minMax"/>
        </c:scaling>
        <c:delete val="1"/>
        <c:axPos val="l"/>
        <c:numFmt formatCode="General" sourceLinked="1"/>
        <c:majorTickMark val="out"/>
        <c:minorTickMark val="none"/>
        <c:tickLblPos val="none"/>
        <c:crossAx val="7602886"/>
        <c:crosses val="min"/>
        <c:crossBetween val="between"/>
      </c:valAx>
      <c:spPr>
        <a:noFill/>
        <a:ln>
          <a:noFill/>
        </a:ln>
      </c:spPr>
    </c:plotArea>
    <c:legend>
      <c:legendPos val="b"/>
      <c:overlay val="0"/>
      <c:spPr>
        <a:noFill/>
        <a:ln>
          <a:noFill/>
        </a:ln>
      </c:spPr>
      <c:txPr>
        <a:bodyPr/>
        <a:lstStyle/>
        <a:p>
          <a:pPr>
            <a:defRPr sz="900" b="0" strike="noStrike" spc="-1">
              <a:solidFill>
                <a:srgbClr val="595959"/>
              </a:solidFill>
              <a:latin typeface="Calibri"/>
            </a:defRPr>
          </a:pPr>
          <a:endParaRPr lang="fr-FR"/>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fr-FR"/>
  <c:roundedCorners val="0"/>
  <c:style val="2"/>
  <c:chart>
    <c:title>
      <c:tx>
        <c:rich>
          <a:bodyPr rot="0"/>
          <a:lstStyle/>
          <a:p>
            <a:pPr>
              <a:defRPr sz="1400" b="0" strike="noStrike" spc="-1">
                <a:solidFill>
                  <a:srgbClr val="595959"/>
                </a:solidFill>
                <a:latin typeface="Calibri"/>
              </a:defRPr>
            </a:pPr>
            <a:r>
              <a:rPr lang="fr-FR" sz="1400" b="0" strike="noStrike" spc="-1">
                <a:solidFill>
                  <a:srgbClr val="595959"/>
                </a:solidFill>
                <a:latin typeface="Calibri"/>
              </a:rPr>
              <a:t>Sucre</a:t>
            </a:r>
          </a:p>
        </c:rich>
      </c:tx>
      <c:overlay val="0"/>
      <c:spPr>
        <a:noFill/>
        <a:ln>
          <a:noFill/>
        </a:ln>
      </c:spPr>
    </c:title>
    <c:autoTitleDeleted val="0"/>
    <c:plotArea>
      <c:layout/>
      <c:barChart>
        <c:barDir val="col"/>
        <c:grouping val="clustered"/>
        <c:varyColors val="0"/>
        <c:dLbls>
          <c:showLegendKey val="0"/>
          <c:showVal val="0"/>
          <c:showCatName val="0"/>
          <c:showSerName val="0"/>
          <c:showPercent val="0"/>
          <c:showBubbleSize val="0"/>
        </c:dLbls>
        <c:gapWidth val="100"/>
        <c:axId val="10699675"/>
        <c:axId val="5338974"/>
      </c:barChart>
      <c:catAx>
        <c:axId val="10699675"/>
        <c:scaling>
          <c:orientation val="minMax"/>
        </c:scaling>
        <c:delete val="1"/>
        <c:axPos val="b"/>
        <c:numFmt formatCode="dd/mm/yyyy" sourceLinked="1"/>
        <c:majorTickMark val="out"/>
        <c:minorTickMark val="none"/>
        <c:tickLblPos val="none"/>
        <c:crossAx val="5338974"/>
        <c:crossesAt val="0"/>
        <c:auto val="1"/>
        <c:lblAlgn val="ctr"/>
        <c:lblOffset val="100"/>
        <c:noMultiLvlLbl val="1"/>
      </c:catAx>
      <c:valAx>
        <c:axId val="5338974"/>
        <c:scaling>
          <c:orientation val="minMax"/>
        </c:scaling>
        <c:delete val="1"/>
        <c:axPos val="l"/>
        <c:numFmt formatCode="General" sourceLinked="1"/>
        <c:majorTickMark val="out"/>
        <c:minorTickMark val="none"/>
        <c:tickLblPos val="none"/>
        <c:crossAx val="10699675"/>
        <c:crosses val="min"/>
        <c:crossBetween val="between"/>
      </c:valAx>
      <c:spPr>
        <a:noFill/>
        <a:ln>
          <a:noFill/>
        </a:ln>
      </c:spPr>
    </c:plotArea>
    <c:legend>
      <c:legendPos val="b"/>
      <c:overlay val="0"/>
      <c:spPr>
        <a:noFill/>
        <a:ln>
          <a:noFill/>
        </a:ln>
      </c:spPr>
      <c:txPr>
        <a:bodyPr/>
        <a:lstStyle/>
        <a:p>
          <a:pPr>
            <a:defRPr sz="900" b="0" strike="noStrike" spc="-1">
              <a:solidFill>
                <a:srgbClr val="595959"/>
              </a:solidFill>
              <a:latin typeface="Calibri"/>
            </a:defRPr>
          </a:pPr>
          <a:endParaRPr lang="fr-FR"/>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0" strike="noStrike" spc="-1">
                <a:solidFill>
                  <a:srgbClr val="595959"/>
                </a:solidFill>
                <a:latin typeface="Calibri"/>
              </a:defRPr>
            </a:pPr>
            <a:r>
              <a:rPr lang="fr-FR" sz="1400" b="0" strike="noStrike" spc="-1">
                <a:solidFill>
                  <a:srgbClr val="595959"/>
                </a:solidFill>
                <a:latin typeface="Calibri"/>
              </a:rPr>
              <a:t>Sorties Pepit0 non corrigées</a:t>
            </a:r>
          </a:p>
        </c:rich>
      </c:tx>
      <c:overlay val="0"/>
      <c:spPr>
        <a:noFill/>
        <a:ln>
          <a:noFill/>
        </a:ln>
      </c:spPr>
    </c:title>
    <c:autoTitleDeleted val="0"/>
    <c:plotArea>
      <c:layout/>
      <c:scatterChart>
        <c:scatterStyle val="lineMarker"/>
        <c:varyColors val="0"/>
        <c:ser>
          <c:idx val="0"/>
          <c:order val="0"/>
          <c:spPr>
            <a:ln w="28440">
              <a:solidFill>
                <a:srgbClr val="5B9BD5"/>
              </a:solidFill>
              <a:round/>
            </a:ln>
          </c:spPr>
          <c:marker>
            <c:symbol val="circle"/>
            <c:size val="5"/>
            <c:spPr>
              <a:solidFill>
                <a:srgbClr val="5B9BD5"/>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1</c:f>
              <c:numCache>
                <c:formatCode>General</c:formatCode>
                <c:ptCount val="5"/>
                <c:pt idx="0">
                  <c:v>2014</c:v>
                </c:pt>
                <c:pt idx="1">
                  <c:v>2019</c:v>
                </c:pt>
                <c:pt idx="2">
                  <c:v>2030</c:v>
                </c:pt>
                <c:pt idx="3">
                  <c:v>2049</c:v>
                </c:pt>
                <c:pt idx="4">
                  <c:v>2050</c:v>
                </c:pt>
              </c:numCache>
            </c:numRef>
          </c:xVal>
          <c:yVal>
            <c:numRef>
              <c:f>0</c:f>
              <c:numCache>
                <c:formatCode>General</c:formatCode>
                <c:ptCount val="5"/>
                <c:pt idx="0">
                  <c:v>12.4527173934811</c:v>
                </c:pt>
                <c:pt idx="1">
                  <c:v>12.364224140895001</c:v>
                </c:pt>
                <c:pt idx="2">
                  <c:v>11.522328188409</c:v>
                </c:pt>
                <c:pt idx="3">
                  <c:v>11.2108239819425</c:v>
                </c:pt>
                <c:pt idx="4">
                  <c:v>11.2024213802317</c:v>
                </c:pt>
              </c:numCache>
            </c:numRef>
          </c:yVal>
          <c:smooth val="1"/>
          <c:extLst>
            <c:ext xmlns:c15="http://schemas.microsoft.com/office/drawing/2012/chart" uri="{02D57815-91ED-43cb-92C2-25804820EDAC}">
              <c15:filteredSeriesTitle>
                <c15:tx>
                  <c:strRef>
                    <c:extLst>
                      <c:ext uri="{02D57815-91ED-43cb-92C2-25804820EDAC}">
                        <c15:formulaRef>
                          <c15:sqref>label 0</c15:sqref>
                        </c15:formulaRef>
                      </c:ext>
                    </c:extLst>
                    <c:strCache>
                      <c:ptCount val="1"/>
                      <c:pt idx="0">
                        <c:v>Acier</c:v>
                      </c:pt>
                    </c:strCache>
                  </c:strRef>
                </c15:tx>
              </c15:filteredSeriesTitle>
            </c:ext>
            <c:ext xmlns:c16="http://schemas.microsoft.com/office/drawing/2014/chart" uri="{C3380CC4-5D6E-409C-BE32-E72D297353CC}">
              <c16:uniqueId val="{00000000-9EA1-43FE-8FE6-7AAEB7008BC6}"/>
            </c:ext>
          </c:extLst>
        </c:ser>
        <c:ser>
          <c:idx val="1"/>
          <c:order val="1"/>
          <c:spPr>
            <a:ln w="28440">
              <a:solidFill>
                <a:srgbClr val="ED7D31"/>
              </a:solidFill>
              <a:round/>
            </a:ln>
          </c:spPr>
          <c:marker>
            <c:symbol val="circle"/>
            <c:size val="5"/>
            <c:spPr>
              <a:solidFill>
                <a:srgbClr val="ED7D31"/>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3</c:f>
              <c:numCache>
                <c:formatCode>General</c:formatCode>
                <c:ptCount val="5"/>
                <c:pt idx="0">
                  <c:v>2014</c:v>
                </c:pt>
                <c:pt idx="1">
                  <c:v>2019</c:v>
                </c:pt>
                <c:pt idx="2">
                  <c:v>2030</c:v>
                </c:pt>
                <c:pt idx="3">
                  <c:v>2049</c:v>
                </c:pt>
                <c:pt idx="4">
                  <c:v>2050</c:v>
                </c:pt>
              </c:numCache>
            </c:numRef>
          </c:xVal>
          <c:yVal>
            <c:numRef>
              <c:f>2</c:f>
              <c:numCache>
                <c:formatCode>General</c:formatCode>
                <c:ptCount val="5"/>
                <c:pt idx="0">
                  <c:v>1.3666520990067801</c:v>
                </c:pt>
                <c:pt idx="1">
                  <c:v>1.44780839179386</c:v>
                </c:pt>
                <c:pt idx="2">
                  <c:v>1.64484567606376</c:v>
                </c:pt>
                <c:pt idx="3">
                  <c:v>2.1928645770194102</c:v>
                </c:pt>
                <c:pt idx="4">
                  <c:v>2.2535712621305199</c:v>
                </c:pt>
              </c:numCache>
            </c:numRef>
          </c:yVal>
          <c:smooth val="1"/>
          <c:extLst>
            <c:ext xmlns:c15="http://schemas.microsoft.com/office/drawing/2012/chart" uri="{02D57815-91ED-43cb-92C2-25804820EDAC}">
              <c15:filteredSeriesTitle>
                <c15:tx>
                  <c:strRef>
                    <c:extLst>
                      <c:ext uri="{02D57815-91ED-43cb-92C2-25804820EDAC}">
                        <c15:formulaRef>
                          <c15:sqref>label 2</c15:sqref>
                        </c15:formulaRef>
                      </c:ext>
                    </c:extLst>
                    <c:strCache>
                      <c:ptCount val="1"/>
                      <c:pt idx="0">
                        <c:v>Aluminium</c:v>
                      </c:pt>
                    </c:strCache>
                  </c:strRef>
                </c15:tx>
              </c15:filteredSeriesTitle>
            </c:ext>
            <c:ext xmlns:c16="http://schemas.microsoft.com/office/drawing/2014/chart" uri="{C3380CC4-5D6E-409C-BE32-E72D297353CC}">
              <c16:uniqueId val="{00000001-9EA1-43FE-8FE6-7AAEB7008BC6}"/>
            </c:ext>
          </c:extLst>
        </c:ser>
        <c:ser>
          <c:idx val="2"/>
          <c:order val="2"/>
          <c:spPr>
            <a:ln w="28440">
              <a:solidFill>
                <a:srgbClr val="A5A5A5"/>
              </a:solidFill>
              <a:round/>
            </a:ln>
          </c:spPr>
          <c:marker>
            <c:symbol val="circle"/>
            <c:size val="5"/>
            <c:spPr>
              <a:solidFill>
                <a:srgbClr val="A5A5A5"/>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5</c:f>
              <c:numCache>
                <c:formatCode>General</c:formatCode>
                <c:ptCount val="5"/>
                <c:pt idx="0">
                  <c:v>2014</c:v>
                </c:pt>
                <c:pt idx="1">
                  <c:v>2019</c:v>
                </c:pt>
                <c:pt idx="2">
                  <c:v>2030</c:v>
                </c:pt>
                <c:pt idx="3">
                  <c:v>2049</c:v>
                </c:pt>
                <c:pt idx="4">
                  <c:v>2050</c:v>
                </c:pt>
              </c:numCache>
            </c:numRef>
          </c:xVal>
          <c:yVal>
            <c:numRef>
              <c:f>4</c:f>
              <c:numCache>
                <c:formatCode>General</c:formatCode>
                <c:ptCount val="5"/>
                <c:pt idx="0">
                  <c:v>4.9308939854920002</c:v>
                </c:pt>
                <c:pt idx="1">
                  <c:v>4.9143932954168603</c:v>
                </c:pt>
                <c:pt idx="2">
                  <c:v>4.61675521394758</c:v>
                </c:pt>
                <c:pt idx="3">
                  <c:v>3.2791772071073901</c:v>
                </c:pt>
                <c:pt idx="4">
                  <c:v>3.4196003247561801</c:v>
                </c:pt>
              </c:numCache>
            </c:numRef>
          </c:yVal>
          <c:smooth val="1"/>
          <c:extLst>
            <c:ext xmlns:c15="http://schemas.microsoft.com/office/drawing/2012/chart" uri="{02D57815-91ED-43cb-92C2-25804820EDAC}">
              <c15:filteredSeriesTitle>
                <c15:tx>
                  <c:strRef>
                    <c:extLst>
                      <c:ext uri="{02D57815-91ED-43cb-92C2-25804820EDAC}">
                        <c15:formulaRef>
                          <c15:sqref>label 4</c15:sqref>
                        </c15:formulaRef>
                      </c:ext>
                    </c:extLst>
                    <c:strCache>
                      <c:ptCount val="1"/>
                      <c:pt idx="0">
                        <c:v>Verre</c:v>
                      </c:pt>
                    </c:strCache>
                  </c:strRef>
                </c15:tx>
              </c15:filteredSeriesTitle>
            </c:ext>
            <c:ext xmlns:c16="http://schemas.microsoft.com/office/drawing/2014/chart" uri="{C3380CC4-5D6E-409C-BE32-E72D297353CC}">
              <c16:uniqueId val="{00000002-9EA1-43FE-8FE6-7AAEB7008BC6}"/>
            </c:ext>
          </c:extLst>
        </c:ser>
        <c:ser>
          <c:idx val="3"/>
          <c:order val="3"/>
          <c:spPr>
            <a:ln w="28440">
              <a:solidFill>
                <a:srgbClr val="FFC000"/>
              </a:solidFill>
              <a:round/>
            </a:ln>
          </c:spPr>
          <c:marker>
            <c:symbol val="circle"/>
            <c:size val="5"/>
            <c:spPr>
              <a:solidFill>
                <a:srgbClr val="FFC000"/>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7</c:f>
              <c:numCache>
                <c:formatCode>General</c:formatCode>
                <c:ptCount val="5"/>
                <c:pt idx="0">
                  <c:v>2014</c:v>
                </c:pt>
                <c:pt idx="1">
                  <c:v>2019</c:v>
                </c:pt>
                <c:pt idx="2">
                  <c:v>2030</c:v>
                </c:pt>
                <c:pt idx="3">
                  <c:v>2049</c:v>
                </c:pt>
                <c:pt idx="4">
                  <c:v>2050</c:v>
                </c:pt>
              </c:numCache>
            </c:numRef>
          </c:xVal>
          <c:yVal>
            <c:numRef>
              <c:f>6</c:f>
              <c:numCache>
                <c:formatCode>General</c:formatCode>
                <c:ptCount val="5"/>
                <c:pt idx="0">
                  <c:v>13.307546795161601</c:v>
                </c:pt>
                <c:pt idx="1">
                  <c:v>12.7800389170497</c:v>
                </c:pt>
                <c:pt idx="2">
                  <c:v>9.6707238614836903</c:v>
                </c:pt>
                <c:pt idx="3">
                  <c:v>6.3772983978803301</c:v>
                </c:pt>
                <c:pt idx="4">
                  <c:v>5.5291974020373802</c:v>
                </c:pt>
              </c:numCache>
            </c:numRef>
          </c:yVal>
          <c:smooth val="1"/>
          <c:extLst>
            <c:ext xmlns:c15="http://schemas.microsoft.com/office/drawing/2012/chart" uri="{02D57815-91ED-43cb-92C2-25804820EDAC}">
              <c15:filteredSeriesTitle>
                <c15:tx>
                  <c:strRef>
                    <c:extLst>
                      <c:ext uri="{02D57815-91ED-43cb-92C2-25804820EDAC}">
                        <c15:formulaRef>
                          <c15:sqref>label 6</c15:sqref>
                        </c15:formulaRef>
                      </c:ext>
                    </c:extLst>
                    <c:strCache>
                      <c:ptCount val="1"/>
                      <c:pt idx="0">
                        <c:v>Clinker</c:v>
                      </c:pt>
                    </c:strCache>
                  </c:strRef>
                </c15:tx>
              </c15:filteredSeriesTitle>
            </c:ext>
            <c:ext xmlns:c16="http://schemas.microsoft.com/office/drawing/2014/chart" uri="{C3380CC4-5D6E-409C-BE32-E72D297353CC}">
              <c16:uniqueId val="{00000003-9EA1-43FE-8FE6-7AAEB7008BC6}"/>
            </c:ext>
          </c:extLst>
        </c:ser>
        <c:ser>
          <c:idx val="4"/>
          <c:order val="4"/>
          <c:spPr>
            <a:ln w="28440">
              <a:solidFill>
                <a:srgbClr val="4472C4"/>
              </a:solidFill>
              <a:round/>
            </a:ln>
          </c:spPr>
          <c:marker>
            <c:symbol val="circle"/>
            <c:size val="5"/>
            <c:spPr>
              <a:solidFill>
                <a:srgbClr val="4472C4"/>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9</c:f>
              <c:numCache>
                <c:formatCode>General</c:formatCode>
                <c:ptCount val="5"/>
                <c:pt idx="0">
                  <c:v>2014</c:v>
                </c:pt>
                <c:pt idx="1">
                  <c:v>2019</c:v>
                </c:pt>
                <c:pt idx="2">
                  <c:v>2030</c:v>
                </c:pt>
                <c:pt idx="3">
                  <c:v>2049</c:v>
                </c:pt>
                <c:pt idx="4">
                  <c:v>2050</c:v>
                </c:pt>
              </c:numCache>
            </c:numRef>
          </c:xVal>
          <c:yVal>
            <c:numRef>
              <c:f>8</c:f>
              <c:numCache>
                <c:formatCode>General</c:formatCode>
                <c:ptCount val="5"/>
                <c:pt idx="0">
                  <c:v>2.1547622741316501</c:v>
                </c:pt>
                <c:pt idx="1">
                  <c:v>2.1408104023311298</c:v>
                </c:pt>
                <c:pt idx="2">
                  <c:v>1.88400540376148</c:v>
                </c:pt>
                <c:pt idx="3">
                  <c:v>1.27476297298898</c:v>
                </c:pt>
                <c:pt idx="4">
                  <c:v>1.24097278854042</c:v>
                </c:pt>
              </c:numCache>
            </c:numRef>
          </c:yVal>
          <c:smooth val="1"/>
          <c:extLst>
            <c:ext xmlns:c15="http://schemas.microsoft.com/office/drawing/2012/chart" uri="{02D57815-91ED-43cb-92C2-25804820EDAC}">
              <c15:filteredSeriesTitle>
                <c15:tx>
                  <c:strRef>
                    <c:extLst>
                      <c:ext uri="{02D57815-91ED-43cb-92C2-25804820EDAC}">
                        <c15:formulaRef>
                          <c15:sqref>label 8</c15:sqref>
                        </c15:formulaRef>
                      </c:ext>
                    </c:extLst>
                    <c:strCache>
                      <c:ptCount val="1"/>
                      <c:pt idx="0">
                        <c:v>Ammoniac</c:v>
                      </c:pt>
                    </c:strCache>
                  </c:strRef>
                </c15:tx>
              </c15:filteredSeriesTitle>
            </c:ext>
            <c:ext xmlns:c16="http://schemas.microsoft.com/office/drawing/2014/chart" uri="{C3380CC4-5D6E-409C-BE32-E72D297353CC}">
              <c16:uniqueId val="{00000004-9EA1-43FE-8FE6-7AAEB7008BC6}"/>
            </c:ext>
          </c:extLst>
        </c:ser>
        <c:ser>
          <c:idx val="5"/>
          <c:order val="5"/>
          <c:spPr>
            <a:ln w="28440">
              <a:solidFill>
                <a:srgbClr val="70AD47"/>
              </a:solidFill>
              <a:round/>
            </a:ln>
          </c:spPr>
          <c:marker>
            <c:symbol val="circle"/>
            <c:size val="5"/>
            <c:spPr>
              <a:solidFill>
                <a:srgbClr val="70AD47"/>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11</c:f>
              <c:numCache>
                <c:formatCode>General</c:formatCode>
                <c:ptCount val="5"/>
                <c:pt idx="0">
                  <c:v>2014</c:v>
                </c:pt>
                <c:pt idx="1">
                  <c:v>2019</c:v>
                </c:pt>
                <c:pt idx="2">
                  <c:v>2030</c:v>
                </c:pt>
                <c:pt idx="3">
                  <c:v>2049</c:v>
                </c:pt>
                <c:pt idx="4">
                  <c:v>2050</c:v>
                </c:pt>
              </c:numCache>
            </c:numRef>
          </c:xVal>
          <c:yVal>
            <c:numRef>
              <c:f>10</c:f>
              <c:numCache>
                <c:formatCode>General</c:formatCode>
                <c:ptCount val="5"/>
                <c:pt idx="0">
                  <c:v>1.1275837860370601</c:v>
                </c:pt>
                <c:pt idx="1">
                  <c:v>1.12630043737087</c:v>
                </c:pt>
                <c:pt idx="2">
                  <c:v>0.99013587607703302</c:v>
                </c:pt>
                <c:pt idx="3">
                  <c:v>0.77042100405091196</c:v>
                </c:pt>
                <c:pt idx="4">
                  <c:v>0.76547959132830001</c:v>
                </c:pt>
              </c:numCache>
            </c:numRef>
          </c:yVal>
          <c:smooth val="1"/>
          <c:extLst>
            <c:ext xmlns:c15="http://schemas.microsoft.com/office/drawing/2012/chart" uri="{02D57815-91ED-43cb-92C2-25804820EDAC}">
              <c15:filteredSeriesTitle>
                <c15:tx>
                  <c:strRef>
                    <c:extLst>
                      <c:ext uri="{02D57815-91ED-43cb-92C2-25804820EDAC}">
                        <c15:formulaRef>
                          <c15:sqref>label 10</c15:sqref>
                        </c15:formulaRef>
                      </c:ext>
                    </c:extLst>
                    <c:strCache>
                      <c:ptCount val="1"/>
                      <c:pt idx="0">
                        <c:v>Dichlore</c:v>
                      </c:pt>
                    </c:strCache>
                  </c:strRef>
                </c15:tx>
              </c15:filteredSeriesTitle>
            </c:ext>
            <c:ext xmlns:c16="http://schemas.microsoft.com/office/drawing/2014/chart" uri="{C3380CC4-5D6E-409C-BE32-E72D297353CC}">
              <c16:uniqueId val="{00000005-9EA1-43FE-8FE6-7AAEB7008BC6}"/>
            </c:ext>
          </c:extLst>
        </c:ser>
        <c:ser>
          <c:idx val="6"/>
          <c:order val="6"/>
          <c:spPr>
            <a:ln w="28440">
              <a:solidFill>
                <a:srgbClr val="255E91"/>
              </a:solidFill>
              <a:round/>
            </a:ln>
          </c:spPr>
          <c:marker>
            <c:symbol val="circle"/>
            <c:size val="5"/>
            <c:spPr>
              <a:solidFill>
                <a:srgbClr val="255E91"/>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13</c:f>
              <c:numCache>
                <c:formatCode>General</c:formatCode>
                <c:ptCount val="5"/>
                <c:pt idx="0">
                  <c:v>2014</c:v>
                </c:pt>
                <c:pt idx="1">
                  <c:v>2019</c:v>
                </c:pt>
                <c:pt idx="2">
                  <c:v>2030</c:v>
                </c:pt>
                <c:pt idx="3">
                  <c:v>2049</c:v>
                </c:pt>
                <c:pt idx="4">
                  <c:v>2050</c:v>
                </c:pt>
              </c:numCache>
            </c:numRef>
          </c:xVal>
          <c:yVal>
            <c:numRef>
              <c:f>12</c:f>
              <c:numCache>
                <c:formatCode>General</c:formatCode>
                <c:ptCount val="5"/>
                <c:pt idx="0">
                  <c:v>3.20181831480176</c:v>
                </c:pt>
                <c:pt idx="1">
                  <c:v>3.3011193757259001</c:v>
                </c:pt>
                <c:pt idx="2">
                  <c:v>2.06519215839992</c:v>
                </c:pt>
                <c:pt idx="3">
                  <c:v>1.1371054515788901</c:v>
                </c:pt>
                <c:pt idx="4">
                  <c:v>1.1061578532066501</c:v>
                </c:pt>
              </c:numCache>
            </c:numRef>
          </c:yVal>
          <c:smooth val="1"/>
          <c:extLst>
            <c:ext xmlns:c15="http://schemas.microsoft.com/office/drawing/2012/chart" uri="{02D57815-91ED-43cb-92C2-25804820EDAC}">
              <c15:filteredSeriesTitle>
                <c15:tx>
                  <c:strRef>
                    <c:extLst>
                      <c:ext uri="{02D57815-91ED-43cb-92C2-25804820EDAC}">
                        <c15:formulaRef>
                          <c15:sqref>label 12</c15:sqref>
                        </c15:formulaRef>
                      </c:ext>
                    </c:extLst>
                    <c:strCache>
                      <c:ptCount val="1"/>
                      <c:pt idx="0">
                        <c:v>Ethylène</c:v>
                      </c:pt>
                    </c:strCache>
                  </c:strRef>
                </c15:tx>
              </c15:filteredSeriesTitle>
            </c:ext>
            <c:ext xmlns:c16="http://schemas.microsoft.com/office/drawing/2014/chart" uri="{C3380CC4-5D6E-409C-BE32-E72D297353CC}">
              <c16:uniqueId val="{00000006-9EA1-43FE-8FE6-7AAEB7008BC6}"/>
            </c:ext>
          </c:extLst>
        </c:ser>
        <c:ser>
          <c:idx val="7"/>
          <c:order val="7"/>
          <c:spPr>
            <a:ln w="28440">
              <a:solidFill>
                <a:srgbClr val="9E480E"/>
              </a:solidFill>
              <a:round/>
            </a:ln>
          </c:spPr>
          <c:marker>
            <c:symbol val="circle"/>
            <c:size val="5"/>
            <c:spPr>
              <a:solidFill>
                <a:srgbClr val="9E480E"/>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15</c:f>
              <c:numCache>
                <c:formatCode>General</c:formatCode>
                <c:ptCount val="5"/>
                <c:pt idx="0">
                  <c:v>2014</c:v>
                </c:pt>
                <c:pt idx="1">
                  <c:v>2019</c:v>
                </c:pt>
                <c:pt idx="2">
                  <c:v>2030</c:v>
                </c:pt>
                <c:pt idx="3">
                  <c:v>2049</c:v>
                </c:pt>
                <c:pt idx="4">
                  <c:v>2050</c:v>
                </c:pt>
              </c:numCache>
            </c:numRef>
          </c:xVal>
          <c:yVal>
            <c:numRef>
              <c:f>14</c:f>
              <c:numCache>
                <c:formatCode>General</c:formatCode>
                <c:ptCount val="5"/>
                <c:pt idx="0">
                  <c:v>8.3467850000000006</c:v>
                </c:pt>
                <c:pt idx="1">
                  <c:v>8.7532724749066393</c:v>
                </c:pt>
                <c:pt idx="2">
                  <c:v>9.3315394438301098</c:v>
                </c:pt>
                <c:pt idx="3">
                  <c:v>10.5028185335908</c:v>
                </c:pt>
                <c:pt idx="4">
                  <c:v>9.0739291062920309</c:v>
                </c:pt>
              </c:numCache>
            </c:numRef>
          </c:yVal>
          <c:smooth val="1"/>
          <c:extLst>
            <c:ext xmlns:c15="http://schemas.microsoft.com/office/drawing/2012/chart" uri="{02D57815-91ED-43cb-92C2-25804820EDAC}">
              <c15:filteredSeriesTitle>
                <c15:tx>
                  <c:strRef>
                    <c:extLst>
                      <c:ext uri="{02D57815-91ED-43cb-92C2-25804820EDAC}">
                        <c15:formulaRef>
                          <c15:sqref>label 14</c15:sqref>
                        </c15:formulaRef>
                      </c:ext>
                    </c:extLst>
                    <c:strCache>
                      <c:ptCount val="1"/>
                      <c:pt idx="0">
                        <c:v>Papier</c:v>
                      </c:pt>
                    </c:strCache>
                  </c:strRef>
                </c15:tx>
              </c15:filteredSeriesTitle>
            </c:ext>
            <c:ext xmlns:c16="http://schemas.microsoft.com/office/drawing/2014/chart" uri="{C3380CC4-5D6E-409C-BE32-E72D297353CC}">
              <c16:uniqueId val="{00000007-9EA1-43FE-8FE6-7AAEB7008BC6}"/>
            </c:ext>
          </c:extLst>
        </c:ser>
        <c:ser>
          <c:idx val="8"/>
          <c:order val="8"/>
          <c:spPr>
            <a:ln w="28440">
              <a:solidFill>
                <a:srgbClr val="636363"/>
              </a:solidFill>
              <a:round/>
            </a:ln>
          </c:spPr>
          <c:marker>
            <c:symbol val="circle"/>
            <c:size val="5"/>
            <c:spPr>
              <a:solidFill>
                <a:srgbClr val="636363"/>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17</c:f>
              <c:numCache>
                <c:formatCode>General</c:formatCode>
                <c:ptCount val="5"/>
                <c:pt idx="0">
                  <c:v>2014</c:v>
                </c:pt>
                <c:pt idx="1">
                  <c:v>2019</c:v>
                </c:pt>
                <c:pt idx="2">
                  <c:v>2030</c:v>
                </c:pt>
                <c:pt idx="3">
                  <c:v>2049</c:v>
                </c:pt>
                <c:pt idx="4">
                  <c:v>2050</c:v>
                </c:pt>
              </c:numCache>
            </c:numRef>
          </c:xVal>
          <c:yVal>
            <c:numRef>
              <c:f>16</c:f>
              <c:numCache>
                <c:formatCode>General</c:formatCode>
                <c:ptCount val="5"/>
                <c:pt idx="0">
                  <c:v>3.7597692307692299</c:v>
                </c:pt>
                <c:pt idx="1">
                  <c:v>3.7980256048424001</c:v>
                </c:pt>
                <c:pt idx="2">
                  <c:v>3.70807614921201</c:v>
                </c:pt>
                <c:pt idx="3">
                  <c:v>3.31292250703018</c:v>
                </c:pt>
                <c:pt idx="4">
                  <c:v>3.2910233476989301</c:v>
                </c:pt>
              </c:numCache>
            </c:numRef>
          </c:yVal>
          <c:smooth val="1"/>
          <c:extLst>
            <c:ext xmlns:c15="http://schemas.microsoft.com/office/drawing/2012/chart" uri="{02D57815-91ED-43cb-92C2-25804820EDAC}">
              <c15:filteredSeriesTitle>
                <c15:tx>
                  <c:strRef>
                    <c:extLst>
                      <c:ext uri="{02D57815-91ED-43cb-92C2-25804820EDAC}">
                        <c15:formulaRef>
                          <c15:sqref>label 16</c15:sqref>
                        </c15:formulaRef>
                      </c:ext>
                    </c:extLst>
                    <c:strCache>
                      <c:ptCount val="1"/>
                      <c:pt idx="0">
                        <c:v>Sucre</c:v>
                      </c:pt>
                    </c:strCache>
                  </c:strRef>
                </c15:tx>
              </c15:filteredSeriesTitle>
            </c:ext>
            <c:ext xmlns:c16="http://schemas.microsoft.com/office/drawing/2014/chart" uri="{C3380CC4-5D6E-409C-BE32-E72D297353CC}">
              <c16:uniqueId val="{00000008-9EA1-43FE-8FE6-7AAEB7008BC6}"/>
            </c:ext>
          </c:extLst>
        </c:ser>
        <c:dLbls>
          <c:showLegendKey val="0"/>
          <c:showVal val="0"/>
          <c:showCatName val="0"/>
          <c:showSerName val="0"/>
          <c:showPercent val="0"/>
          <c:showBubbleSize val="0"/>
        </c:dLbls>
        <c:axId val="32746698"/>
        <c:axId val="80815900"/>
      </c:scatterChart>
      <c:valAx>
        <c:axId val="32746698"/>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fr-FR"/>
          </a:p>
        </c:txPr>
        <c:crossAx val="80815900"/>
        <c:crosses val="autoZero"/>
        <c:crossBetween val="midCat"/>
      </c:valAx>
      <c:valAx>
        <c:axId val="80815900"/>
        <c:scaling>
          <c:orientation val="minMax"/>
        </c:scaling>
        <c:delete val="0"/>
        <c:axPos val="l"/>
        <c:majorGridlines>
          <c:spPr>
            <a:ln w="9360">
              <a:solidFill>
                <a:srgbClr val="D9D9D9"/>
              </a:solidFill>
              <a:round/>
            </a:ln>
          </c:spPr>
        </c:majorGridlines>
        <c:title>
          <c:tx>
            <c:rich>
              <a:bodyPr rot="-5400000"/>
              <a:lstStyle/>
              <a:p>
                <a:pPr>
                  <a:defRPr sz="1000" b="0" strike="noStrike" spc="-1">
                    <a:solidFill>
                      <a:srgbClr val="595959"/>
                    </a:solidFill>
                    <a:latin typeface="Calibri"/>
                  </a:defRPr>
                </a:pPr>
                <a:r>
                  <a:rPr lang="fr-FR" sz="1000" b="0" strike="noStrike" spc="-1">
                    <a:solidFill>
                      <a:srgbClr val="595959"/>
                    </a:solidFill>
                    <a:latin typeface="Calibri"/>
                  </a:rPr>
                  <a:t>Mt</a:t>
                </a:r>
              </a:p>
            </c:rich>
          </c:tx>
          <c:overlay val="0"/>
          <c:spPr>
            <a:noFill/>
            <a:ln>
              <a:noFill/>
            </a:ln>
          </c:spPr>
        </c:title>
        <c:numFmt formatCode="0.00" sourceLinked="0"/>
        <c:majorTickMark val="none"/>
        <c:minorTickMark val="none"/>
        <c:tickLblPos val="nextTo"/>
        <c:spPr>
          <a:ln w="6480">
            <a:noFill/>
          </a:ln>
        </c:spPr>
        <c:txPr>
          <a:bodyPr/>
          <a:lstStyle/>
          <a:p>
            <a:pPr>
              <a:defRPr sz="900" b="0" strike="noStrike" spc="-1">
                <a:solidFill>
                  <a:srgbClr val="595959"/>
                </a:solidFill>
                <a:latin typeface="Calibri"/>
              </a:defRPr>
            </a:pPr>
            <a:endParaRPr lang="fr-FR"/>
          </a:p>
        </c:txPr>
        <c:crossAx val="32746698"/>
        <c:crosses val="autoZero"/>
        <c:crossBetween val="midCat"/>
      </c:valAx>
      <c:spPr>
        <a:noFill/>
        <a:ln>
          <a:noFill/>
        </a:ln>
      </c:spPr>
    </c:plotArea>
    <c:legend>
      <c:legendPos val="b"/>
      <c:overlay val="0"/>
      <c:spPr>
        <a:noFill/>
        <a:ln>
          <a:noFill/>
        </a:ln>
      </c:spPr>
      <c:txPr>
        <a:bodyPr/>
        <a:lstStyle/>
        <a:p>
          <a:pPr>
            <a:defRPr sz="900" b="0" strike="noStrike" spc="-1">
              <a:solidFill>
                <a:srgbClr val="595959"/>
              </a:solidFill>
              <a:latin typeface="Calibri"/>
            </a:defRPr>
          </a:pPr>
          <a:endParaRPr lang="fr-FR"/>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0" strike="noStrike" spc="-1">
                <a:solidFill>
                  <a:srgbClr val="595959"/>
                </a:solidFill>
                <a:latin typeface="Calibri"/>
              </a:defRPr>
            </a:pPr>
            <a:r>
              <a:rPr lang="fr-FR" sz="1400" b="0" strike="noStrike" spc="-1">
                <a:solidFill>
                  <a:srgbClr val="595959"/>
                </a:solidFill>
                <a:latin typeface="Calibri"/>
              </a:rPr>
              <a:t>Sorties Pepit0 non corrigées</a:t>
            </a:r>
          </a:p>
        </c:rich>
      </c:tx>
      <c:overlay val="0"/>
      <c:spPr>
        <a:noFill/>
        <a:ln>
          <a:noFill/>
        </a:ln>
      </c:spPr>
    </c:title>
    <c:autoTitleDeleted val="0"/>
    <c:plotArea>
      <c:layout/>
      <c:scatterChart>
        <c:scatterStyle val="lineMarker"/>
        <c:varyColors val="0"/>
        <c:ser>
          <c:idx val="0"/>
          <c:order val="0"/>
          <c:spPr>
            <a:ln w="28440">
              <a:solidFill>
                <a:srgbClr val="5B9BD5"/>
              </a:solidFill>
              <a:round/>
            </a:ln>
          </c:spPr>
          <c:marker>
            <c:symbol val="circle"/>
            <c:size val="5"/>
            <c:spPr>
              <a:solidFill>
                <a:srgbClr val="5B9BD5"/>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1</c:f>
              <c:numCache>
                <c:formatCode>General</c:formatCode>
                <c:ptCount val="5"/>
                <c:pt idx="0">
                  <c:v>2014</c:v>
                </c:pt>
                <c:pt idx="1">
                  <c:v>2019</c:v>
                </c:pt>
                <c:pt idx="2">
                  <c:v>2030</c:v>
                </c:pt>
                <c:pt idx="3">
                  <c:v>2049</c:v>
                </c:pt>
                <c:pt idx="4">
                  <c:v>2050</c:v>
                </c:pt>
              </c:numCache>
            </c:numRef>
          </c:xVal>
          <c:yVal>
            <c:numRef>
              <c:f>0</c:f>
              <c:numCache>
                <c:formatCode>General</c:formatCode>
                <c:ptCount val="5"/>
                <c:pt idx="0">
                  <c:v>12.4527173934811</c:v>
                </c:pt>
                <c:pt idx="1">
                  <c:v>12.364224140895001</c:v>
                </c:pt>
                <c:pt idx="2">
                  <c:v>11.522328188409</c:v>
                </c:pt>
                <c:pt idx="3">
                  <c:v>11.2108239819425</c:v>
                </c:pt>
                <c:pt idx="4">
                  <c:v>11.2024213802317</c:v>
                </c:pt>
              </c:numCache>
            </c:numRef>
          </c:yVal>
          <c:smooth val="1"/>
          <c:extLst>
            <c:ext xmlns:c15="http://schemas.microsoft.com/office/drawing/2012/chart" uri="{02D57815-91ED-43cb-92C2-25804820EDAC}">
              <c15:filteredSeriesTitle>
                <c15:tx>
                  <c:strRef>
                    <c:extLst>
                      <c:ext uri="{02D57815-91ED-43cb-92C2-25804820EDAC}">
                        <c15:formulaRef>
                          <c15:sqref>label 0</c15:sqref>
                        </c15:formulaRef>
                      </c:ext>
                    </c:extLst>
                    <c:strCache>
                      <c:ptCount val="1"/>
                      <c:pt idx="0">
                        <c:v>Acier</c:v>
                      </c:pt>
                    </c:strCache>
                  </c:strRef>
                </c15:tx>
              </c15:filteredSeriesTitle>
            </c:ext>
            <c:ext xmlns:c16="http://schemas.microsoft.com/office/drawing/2014/chart" uri="{C3380CC4-5D6E-409C-BE32-E72D297353CC}">
              <c16:uniqueId val="{00000000-48C4-437A-A69A-5B29D47055F5}"/>
            </c:ext>
          </c:extLst>
        </c:ser>
        <c:ser>
          <c:idx val="1"/>
          <c:order val="1"/>
          <c:spPr>
            <a:ln w="28440">
              <a:solidFill>
                <a:srgbClr val="ED7D31"/>
              </a:solidFill>
              <a:round/>
            </a:ln>
          </c:spPr>
          <c:marker>
            <c:symbol val="circle"/>
            <c:size val="5"/>
            <c:spPr>
              <a:solidFill>
                <a:srgbClr val="ED7D31"/>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3</c:f>
              <c:numCache>
                <c:formatCode>General</c:formatCode>
                <c:ptCount val="5"/>
                <c:pt idx="0">
                  <c:v>2014</c:v>
                </c:pt>
                <c:pt idx="1">
                  <c:v>2019</c:v>
                </c:pt>
                <c:pt idx="2">
                  <c:v>2030</c:v>
                </c:pt>
                <c:pt idx="3">
                  <c:v>2049</c:v>
                </c:pt>
                <c:pt idx="4">
                  <c:v>2050</c:v>
                </c:pt>
              </c:numCache>
            </c:numRef>
          </c:xVal>
          <c:yVal>
            <c:numRef>
              <c:f>2</c:f>
              <c:numCache>
                <c:formatCode>General</c:formatCode>
                <c:ptCount val="5"/>
                <c:pt idx="0">
                  <c:v>1.3666520990067801</c:v>
                </c:pt>
                <c:pt idx="1">
                  <c:v>1.44780839179386</c:v>
                </c:pt>
                <c:pt idx="2">
                  <c:v>1.64484567606376</c:v>
                </c:pt>
                <c:pt idx="3">
                  <c:v>2.1928645770194102</c:v>
                </c:pt>
                <c:pt idx="4">
                  <c:v>2.2210575996403001</c:v>
                </c:pt>
              </c:numCache>
            </c:numRef>
          </c:yVal>
          <c:smooth val="1"/>
          <c:extLst>
            <c:ext xmlns:c15="http://schemas.microsoft.com/office/drawing/2012/chart" uri="{02D57815-91ED-43cb-92C2-25804820EDAC}">
              <c15:filteredSeriesTitle>
                <c15:tx>
                  <c:strRef>
                    <c:extLst>
                      <c:ext uri="{02D57815-91ED-43cb-92C2-25804820EDAC}">
                        <c15:formulaRef>
                          <c15:sqref>label 2</c15:sqref>
                        </c15:formulaRef>
                      </c:ext>
                    </c:extLst>
                    <c:strCache>
                      <c:ptCount val="1"/>
                      <c:pt idx="0">
                        <c:v>Aluminium</c:v>
                      </c:pt>
                    </c:strCache>
                  </c:strRef>
                </c15:tx>
              </c15:filteredSeriesTitle>
            </c:ext>
            <c:ext xmlns:c16="http://schemas.microsoft.com/office/drawing/2014/chart" uri="{C3380CC4-5D6E-409C-BE32-E72D297353CC}">
              <c16:uniqueId val="{00000001-48C4-437A-A69A-5B29D47055F5}"/>
            </c:ext>
          </c:extLst>
        </c:ser>
        <c:ser>
          <c:idx val="2"/>
          <c:order val="2"/>
          <c:spPr>
            <a:ln w="28440">
              <a:solidFill>
                <a:srgbClr val="A5A5A5"/>
              </a:solidFill>
              <a:round/>
            </a:ln>
          </c:spPr>
          <c:marker>
            <c:symbol val="circle"/>
            <c:size val="5"/>
            <c:spPr>
              <a:solidFill>
                <a:srgbClr val="A5A5A5"/>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5</c:f>
              <c:numCache>
                <c:formatCode>General</c:formatCode>
                <c:ptCount val="5"/>
                <c:pt idx="0">
                  <c:v>2014</c:v>
                </c:pt>
                <c:pt idx="1">
                  <c:v>2019</c:v>
                </c:pt>
                <c:pt idx="2">
                  <c:v>2030</c:v>
                </c:pt>
                <c:pt idx="3">
                  <c:v>2049</c:v>
                </c:pt>
                <c:pt idx="4">
                  <c:v>2050</c:v>
                </c:pt>
              </c:numCache>
            </c:numRef>
          </c:xVal>
          <c:yVal>
            <c:numRef>
              <c:f>4</c:f>
              <c:numCache>
                <c:formatCode>General</c:formatCode>
                <c:ptCount val="5"/>
                <c:pt idx="0">
                  <c:v>4.9308939854920002</c:v>
                </c:pt>
                <c:pt idx="1">
                  <c:v>4.9143932954168603</c:v>
                </c:pt>
                <c:pt idx="2">
                  <c:v>4.61675521394758</c:v>
                </c:pt>
                <c:pt idx="3">
                  <c:v>3.2791772071073901</c:v>
                </c:pt>
                <c:pt idx="4">
                  <c:v>3.26097614417362</c:v>
                </c:pt>
              </c:numCache>
            </c:numRef>
          </c:yVal>
          <c:smooth val="1"/>
          <c:extLst>
            <c:ext xmlns:c15="http://schemas.microsoft.com/office/drawing/2012/chart" uri="{02D57815-91ED-43cb-92C2-25804820EDAC}">
              <c15:filteredSeriesTitle>
                <c15:tx>
                  <c:strRef>
                    <c:extLst>
                      <c:ext uri="{02D57815-91ED-43cb-92C2-25804820EDAC}">
                        <c15:formulaRef>
                          <c15:sqref>label 4</c15:sqref>
                        </c15:formulaRef>
                      </c:ext>
                    </c:extLst>
                    <c:strCache>
                      <c:ptCount val="1"/>
                      <c:pt idx="0">
                        <c:v>Verre</c:v>
                      </c:pt>
                    </c:strCache>
                  </c:strRef>
                </c15:tx>
              </c15:filteredSeriesTitle>
            </c:ext>
            <c:ext xmlns:c16="http://schemas.microsoft.com/office/drawing/2014/chart" uri="{C3380CC4-5D6E-409C-BE32-E72D297353CC}">
              <c16:uniqueId val="{00000002-48C4-437A-A69A-5B29D47055F5}"/>
            </c:ext>
          </c:extLst>
        </c:ser>
        <c:ser>
          <c:idx val="3"/>
          <c:order val="3"/>
          <c:spPr>
            <a:ln w="28440">
              <a:solidFill>
                <a:srgbClr val="FFC000"/>
              </a:solidFill>
              <a:round/>
            </a:ln>
          </c:spPr>
          <c:marker>
            <c:symbol val="circle"/>
            <c:size val="5"/>
            <c:spPr>
              <a:solidFill>
                <a:srgbClr val="FFC000"/>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7</c:f>
              <c:numCache>
                <c:formatCode>General</c:formatCode>
                <c:ptCount val="5"/>
                <c:pt idx="0">
                  <c:v>2014</c:v>
                </c:pt>
                <c:pt idx="1">
                  <c:v>2019</c:v>
                </c:pt>
                <c:pt idx="2">
                  <c:v>2030</c:v>
                </c:pt>
                <c:pt idx="3">
                  <c:v>2049</c:v>
                </c:pt>
                <c:pt idx="4">
                  <c:v>2050</c:v>
                </c:pt>
              </c:numCache>
            </c:numRef>
          </c:xVal>
          <c:yVal>
            <c:numRef>
              <c:f>6</c:f>
              <c:numCache>
                <c:formatCode>General</c:formatCode>
                <c:ptCount val="5"/>
                <c:pt idx="0">
                  <c:v>13.307546795161601</c:v>
                </c:pt>
                <c:pt idx="1">
                  <c:v>12.7800389170497</c:v>
                </c:pt>
                <c:pt idx="2">
                  <c:v>9.6707238614836903</c:v>
                </c:pt>
                <c:pt idx="3">
                  <c:v>6.3772983978803301</c:v>
                </c:pt>
                <c:pt idx="4">
                  <c:v>6.20832860947014</c:v>
                </c:pt>
              </c:numCache>
            </c:numRef>
          </c:yVal>
          <c:smooth val="1"/>
          <c:extLst>
            <c:ext xmlns:c15="http://schemas.microsoft.com/office/drawing/2012/chart" uri="{02D57815-91ED-43cb-92C2-25804820EDAC}">
              <c15:filteredSeriesTitle>
                <c15:tx>
                  <c:strRef>
                    <c:extLst>
                      <c:ext uri="{02D57815-91ED-43cb-92C2-25804820EDAC}">
                        <c15:formulaRef>
                          <c15:sqref>label 6</c15:sqref>
                        </c15:formulaRef>
                      </c:ext>
                    </c:extLst>
                    <c:strCache>
                      <c:ptCount val="1"/>
                      <c:pt idx="0">
                        <c:v>Clinker</c:v>
                      </c:pt>
                    </c:strCache>
                  </c:strRef>
                </c15:tx>
              </c15:filteredSeriesTitle>
            </c:ext>
            <c:ext xmlns:c16="http://schemas.microsoft.com/office/drawing/2014/chart" uri="{C3380CC4-5D6E-409C-BE32-E72D297353CC}">
              <c16:uniqueId val="{00000003-48C4-437A-A69A-5B29D47055F5}"/>
            </c:ext>
          </c:extLst>
        </c:ser>
        <c:ser>
          <c:idx val="4"/>
          <c:order val="4"/>
          <c:spPr>
            <a:ln w="28440">
              <a:solidFill>
                <a:srgbClr val="4472C4"/>
              </a:solidFill>
              <a:round/>
            </a:ln>
          </c:spPr>
          <c:marker>
            <c:symbol val="circle"/>
            <c:size val="5"/>
            <c:spPr>
              <a:solidFill>
                <a:srgbClr val="4472C4"/>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9</c:f>
              <c:numCache>
                <c:formatCode>General</c:formatCode>
                <c:ptCount val="5"/>
                <c:pt idx="0">
                  <c:v>2014</c:v>
                </c:pt>
                <c:pt idx="1">
                  <c:v>2019</c:v>
                </c:pt>
                <c:pt idx="2">
                  <c:v>2030</c:v>
                </c:pt>
                <c:pt idx="3">
                  <c:v>2049</c:v>
                </c:pt>
                <c:pt idx="4">
                  <c:v>2050</c:v>
                </c:pt>
              </c:numCache>
            </c:numRef>
          </c:xVal>
          <c:yVal>
            <c:numRef>
              <c:f>8</c:f>
              <c:numCache>
                <c:formatCode>General</c:formatCode>
                <c:ptCount val="5"/>
                <c:pt idx="0">
                  <c:v>2.1547622741316501</c:v>
                </c:pt>
                <c:pt idx="1">
                  <c:v>2.1408104023311298</c:v>
                </c:pt>
                <c:pt idx="2">
                  <c:v>1.88400540376148</c:v>
                </c:pt>
                <c:pt idx="3">
                  <c:v>1.27476297298898</c:v>
                </c:pt>
                <c:pt idx="4">
                  <c:v>1.24097278854042</c:v>
                </c:pt>
              </c:numCache>
            </c:numRef>
          </c:yVal>
          <c:smooth val="1"/>
          <c:extLst>
            <c:ext xmlns:c15="http://schemas.microsoft.com/office/drawing/2012/chart" uri="{02D57815-91ED-43cb-92C2-25804820EDAC}">
              <c15:filteredSeriesTitle>
                <c15:tx>
                  <c:strRef>
                    <c:extLst>
                      <c:ext uri="{02D57815-91ED-43cb-92C2-25804820EDAC}">
                        <c15:formulaRef>
                          <c15:sqref>label 8</c15:sqref>
                        </c15:formulaRef>
                      </c:ext>
                    </c:extLst>
                    <c:strCache>
                      <c:ptCount val="1"/>
                      <c:pt idx="0">
                        <c:v>Ammoniac</c:v>
                      </c:pt>
                    </c:strCache>
                  </c:strRef>
                </c15:tx>
              </c15:filteredSeriesTitle>
            </c:ext>
            <c:ext xmlns:c16="http://schemas.microsoft.com/office/drawing/2014/chart" uri="{C3380CC4-5D6E-409C-BE32-E72D297353CC}">
              <c16:uniqueId val="{00000004-48C4-437A-A69A-5B29D47055F5}"/>
            </c:ext>
          </c:extLst>
        </c:ser>
        <c:ser>
          <c:idx val="5"/>
          <c:order val="5"/>
          <c:spPr>
            <a:ln w="28440">
              <a:solidFill>
                <a:srgbClr val="70AD47"/>
              </a:solidFill>
              <a:round/>
            </a:ln>
          </c:spPr>
          <c:marker>
            <c:symbol val="circle"/>
            <c:size val="5"/>
            <c:spPr>
              <a:solidFill>
                <a:srgbClr val="70AD47"/>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11</c:f>
              <c:numCache>
                <c:formatCode>General</c:formatCode>
                <c:ptCount val="5"/>
                <c:pt idx="0">
                  <c:v>2014</c:v>
                </c:pt>
                <c:pt idx="1">
                  <c:v>2019</c:v>
                </c:pt>
                <c:pt idx="2">
                  <c:v>2030</c:v>
                </c:pt>
                <c:pt idx="3">
                  <c:v>2049</c:v>
                </c:pt>
                <c:pt idx="4">
                  <c:v>2050</c:v>
                </c:pt>
              </c:numCache>
            </c:numRef>
          </c:xVal>
          <c:yVal>
            <c:numRef>
              <c:f>10</c:f>
              <c:numCache>
                <c:formatCode>General</c:formatCode>
                <c:ptCount val="5"/>
                <c:pt idx="0">
                  <c:v>1.1275837860370601</c:v>
                </c:pt>
                <c:pt idx="1">
                  <c:v>1.12630043737087</c:v>
                </c:pt>
                <c:pt idx="2">
                  <c:v>0.99013587607703302</c:v>
                </c:pt>
                <c:pt idx="3">
                  <c:v>0.77042100405091196</c:v>
                </c:pt>
                <c:pt idx="4">
                  <c:v>0.76547959132830001</c:v>
                </c:pt>
              </c:numCache>
            </c:numRef>
          </c:yVal>
          <c:smooth val="1"/>
          <c:extLst>
            <c:ext xmlns:c15="http://schemas.microsoft.com/office/drawing/2012/chart" uri="{02D57815-91ED-43cb-92C2-25804820EDAC}">
              <c15:filteredSeriesTitle>
                <c15:tx>
                  <c:strRef>
                    <c:extLst>
                      <c:ext uri="{02D57815-91ED-43cb-92C2-25804820EDAC}">
                        <c15:formulaRef>
                          <c15:sqref>label 10</c15:sqref>
                        </c15:formulaRef>
                      </c:ext>
                    </c:extLst>
                    <c:strCache>
                      <c:ptCount val="1"/>
                      <c:pt idx="0">
                        <c:v>Dichlore</c:v>
                      </c:pt>
                    </c:strCache>
                  </c:strRef>
                </c15:tx>
              </c15:filteredSeriesTitle>
            </c:ext>
            <c:ext xmlns:c16="http://schemas.microsoft.com/office/drawing/2014/chart" uri="{C3380CC4-5D6E-409C-BE32-E72D297353CC}">
              <c16:uniqueId val="{00000005-48C4-437A-A69A-5B29D47055F5}"/>
            </c:ext>
          </c:extLst>
        </c:ser>
        <c:ser>
          <c:idx val="6"/>
          <c:order val="6"/>
          <c:spPr>
            <a:ln w="28440">
              <a:solidFill>
                <a:srgbClr val="255E91"/>
              </a:solidFill>
              <a:round/>
            </a:ln>
          </c:spPr>
          <c:marker>
            <c:symbol val="circle"/>
            <c:size val="5"/>
            <c:spPr>
              <a:solidFill>
                <a:srgbClr val="255E91"/>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13</c:f>
              <c:numCache>
                <c:formatCode>General</c:formatCode>
                <c:ptCount val="5"/>
                <c:pt idx="0">
                  <c:v>2014</c:v>
                </c:pt>
                <c:pt idx="1">
                  <c:v>2019</c:v>
                </c:pt>
                <c:pt idx="2">
                  <c:v>2030</c:v>
                </c:pt>
                <c:pt idx="3">
                  <c:v>2049</c:v>
                </c:pt>
                <c:pt idx="4">
                  <c:v>2050</c:v>
                </c:pt>
              </c:numCache>
            </c:numRef>
          </c:xVal>
          <c:yVal>
            <c:numRef>
              <c:f>12</c:f>
              <c:numCache>
                <c:formatCode>General</c:formatCode>
                <c:ptCount val="5"/>
                <c:pt idx="0">
                  <c:v>3.20181831480176</c:v>
                </c:pt>
                <c:pt idx="1">
                  <c:v>3.3011193757259001</c:v>
                </c:pt>
                <c:pt idx="2">
                  <c:v>2.06519215839992</c:v>
                </c:pt>
                <c:pt idx="3">
                  <c:v>1.1371054515788901</c:v>
                </c:pt>
                <c:pt idx="4">
                  <c:v>1.1061578532066501</c:v>
                </c:pt>
              </c:numCache>
            </c:numRef>
          </c:yVal>
          <c:smooth val="1"/>
          <c:extLst>
            <c:ext xmlns:c15="http://schemas.microsoft.com/office/drawing/2012/chart" uri="{02D57815-91ED-43cb-92C2-25804820EDAC}">
              <c15:filteredSeriesTitle>
                <c15:tx>
                  <c:strRef>
                    <c:extLst>
                      <c:ext uri="{02D57815-91ED-43cb-92C2-25804820EDAC}">
                        <c15:formulaRef>
                          <c15:sqref>label 12</c15:sqref>
                        </c15:formulaRef>
                      </c:ext>
                    </c:extLst>
                    <c:strCache>
                      <c:ptCount val="1"/>
                      <c:pt idx="0">
                        <c:v>Ethylène</c:v>
                      </c:pt>
                    </c:strCache>
                  </c:strRef>
                </c15:tx>
              </c15:filteredSeriesTitle>
            </c:ext>
            <c:ext xmlns:c16="http://schemas.microsoft.com/office/drawing/2014/chart" uri="{C3380CC4-5D6E-409C-BE32-E72D297353CC}">
              <c16:uniqueId val="{00000006-48C4-437A-A69A-5B29D47055F5}"/>
            </c:ext>
          </c:extLst>
        </c:ser>
        <c:ser>
          <c:idx val="7"/>
          <c:order val="7"/>
          <c:spPr>
            <a:ln w="28440">
              <a:solidFill>
                <a:srgbClr val="9E480E"/>
              </a:solidFill>
              <a:round/>
            </a:ln>
          </c:spPr>
          <c:marker>
            <c:symbol val="circle"/>
            <c:size val="5"/>
            <c:spPr>
              <a:solidFill>
                <a:srgbClr val="9E480E"/>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15</c:f>
              <c:numCache>
                <c:formatCode>General</c:formatCode>
                <c:ptCount val="5"/>
                <c:pt idx="0">
                  <c:v>2014</c:v>
                </c:pt>
                <c:pt idx="1">
                  <c:v>2019</c:v>
                </c:pt>
                <c:pt idx="2">
                  <c:v>2030</c:v>
                </c:pt>
                <c:pt idx="3">
                  <c:v>2049</c:v>
                </c:pt>
                <c:pt idx="4">
                  <c:v>2050</c:v>
                </c:pt>
              </c:numCache>
            </c:numRef>
          </c:xVal>
          <c:yVal>
            <c:numRef>
              <c:f>14</c:f>
              <c:numCache>
                <c:formatCode>General</c:formatCode>
                <c:ptCount val="5"/>
                <c:pt idx="0">
                  <c:v>8.3467850000000006</c:v>
                </c:pt>
                <c:pt idx="1">
                  <c:v>8.7532724749066393</c:v>
                </c:pt>
                <c:pt idx="2">
                  <c:v>9.3315394438301098</c:v>
                </c:pt>
                <c:pt idx="3">
                  <c:v>10.5028185335908</c:v>
                </c:pt>
                <c:pt idx="4">
                  <c:v>10.565503499921901</c:v>
                </c:pt>
              </c:numCache>
            </c:numRef>
          </c:yVal>
          <c:smooth val="1"/>
          <c:extLst>
            <c:ext xmlns:c15="http://schemas.microsoft.com/office/drawing/2012/chart" uri="{02D57815-91ED-43cb-92C2-25804820EDAC}">
              <c15:filteredSeriesTitle>
                <c15:tx>
                  <c:strRef>
                    <c:extLst>
                      <c:ext uri="{02D57815-91ED-43cb-92C2-25804820EDAC}">
                        <c15:formulaRef>
                          <c15:sqref>label 14</c15:sqref>
                        </c15:formulaRef>
                      </c:ext>
                    </c:extLst>
                    <c:strCache>
                      <c:ptCount val="1"/>
                      <c:pt idx="0">
                        <c:v>Papier</c:v>
                      </c:pt>
                    </c:strCache>
                  </c:strRef>
                </c15:tx>
              </c15:filteredSeriesTitle>
            </c:ext>
            <c:ext xmlns:c16="http://schemas.microsoft.com/office/drawing/2014/chart" uri="{C3380CC4-5D6E-409C-BE32-E72D297353CC}">
              <c16:uniqueId val="{00000007-48C4-437A-A69A-5B29D47055F5}"/>
            </c:ext>
          </c:extLst>
        </c:ser>
        <c:ser>
          <c:idx val="8"/>
          <c:order val="8"/>
          <c:spPr>
            <a:ln w="28440">
              <a:solidFill>
                <a:srgbClr val="636363"/>
              </a:solidFill>
              <a:round/>
            </a:ln>
          </c:spPr>
          <c:marker>
            <c:symbol val="circle"/>
            <c:size val="5"/>
            <c:spPr>
              <a:solidFill>
                <a:srgbClr val="636363"/>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17</c:f>
              <c:numCache>
                <c:formatCode>General</c:formatCode>
                <c:ptCount val="5"/>
                <c:pt idx="0">
                  <c:v>2014</c:v>
                </c:pt>
                <c:pt idx="1">
                  <c:v>2019</c:v>
                </c:pt>
                <c:pt idx="2">
                  <c:v>2030</c:v>
                </c:pt>
                <c:pt idx="3">
                  <c:v>2049</c:v>
                </c:pt>
                <c:pt idx="4">
                  <c:v>2050</c:v>
                </c:pt>
              </c:numCache>
            </c:numRef>
          </c:xVal>
          <c:yVal>
            <c:numRef>
              <c:f>16</c:f>
              <c:numCache>
                <c:formatCode>General</c:formatCode>
                <c:ptCount val="5"/>
                <c:pt idx="0">
                  <c:v>3.7597692307692299</c:v>
                </c:pt>
                <c:pt idx="1">
                  <c:v>3.7980256048424001</c:v>
                </c:pt>
                <c:pt idx="2">
                  <c:v>3.70807614921201</c:v>
                </c:pt>
                <c:pt idx="3">
                  <c:v>3.31292250703018</c:v>
                </c:pt>
                <c:pt idx="4">
                  <c:v>3.2910233476989301</c:v>
                </c:pt>
              </c:numCache>
            </c:numRef>
          </c:yVal>
          <c:smooth val="1"/>
          <c:extLst>
            <c:ext xmlns:c15="http://schemas.microsoft.com/office/drawing/2012/chart" uri="{02D57815-91ED-43cb-92C2-25804820EDAC}">
              <c15:filteredSeriesTitle>
                <c15:tx>
                  <c:strRef>
                    <c:extLst>
                      <c:ext uri="{02D57815-91ED-43cb-92C2-25804820EDAC}">
                        <c15:formulaRef>
                          <c15:sqref>label 16</c15:sqref>
                        </c15:formulaRef>
                      </c:ext>
                    </c:extLst>
                    <c:strCache>
                      <c:ptCount val="1"/>
                      <c:pt idx="0">
                        <c:v>Sucre</c:v>
                      </c:pt>
                    </c:strCache>
                  </c:strRef>
                </c15:tx>
              </c15:filteredSeriesTitle>
            </c:ext>
            <c:ext xmlns:c16="http://schemas.microsoft.com/office/drawing/2014/chart" uri="{C3380CC4-5D6E-409C-BE32-E72D297353CC}">
              <c16:uniqueId val="{00000008-48C4-437A-A69A-5B29D47055F5}"/>
            </c:ext>
          </c:extLst>
        </c:ser>
        <c:dLbls>
          <c:showLegendKey val="0"/>
          <c:showVal val="0"/>
          <c:showCatName val="0"/>
          <c:showSerName val="0"/>
          <c:showPercent val="0"/>
          <c:showBubbleSize val="0"/>
        </c:dLbls>
        <c:axId val="6268799"/>
        <c:axId val="40302067"/>
      </c:scatterChart>
      <c:valAx>
        <c:axId val="6268799"/>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fr-FR"/>
          </a:p>
        </c:txPr>
        <c:crossAx val="40302067"/>
        <c:crosses val="autoZero"/>
        <c:crossBetween val="midCat"/>
      </c:valAx>
      <c:valAx>
        <c:axId val="40302067"/>
        <c:scaling>
          <c:orientation val="minMax"/>
        </c:scaling>
        <c:delete val="0"/>
        <c:axPos val="l"/>
        <c:majorGridlines>
          <c:spPr>
            <a:ln w="9360">
              <a:solidFill>
                <a:srgbClr val="D9D9D9"/>
              </a:solidFill>
              <a:round/>
            </a:ln>
          </c:spPr>
        </c:majorGridlines>
        <c:title>
          <c:tx>
            <c:rich>
              <a:bodyPr rot="-5400000"/>
              <a:lstStyle/>
              <a:p>
                <a:pPr>
                  <a:defRPr sz="1000" b="0" strike="noStrike" spc="-1">
                    <a:solidFill>
                      <a:srgbClr val="595959"/>
                    </a:solidFill>
                    <a:latin typeface="Calibri"/>
                  </a:defRPr>
                </a:pPr>
                <a:r>
                  <a:rPr lang="fr-FR" sz="1000" b="0" strike="noStrike" spc="-1">
                    <a:solidFill>
                      <a:srgbClr val="595959"/>
                    </a:solidFill>
                    <a:latin typeface="Calibri"/>
                  </a:rPr>
                  <a:t>Mt</a:t>
                </a:r>
              </a:p>
            </c:rich>
          </c:tx>
          <c:overlay val="0"/>
          <c:spPr>
            <a:noFill/>
            <a:ln>
              <a:noFill/>
            </a:ln>
          </c:spPr>
        </c:title>
        <c:numFmt formatCode="0.00" sourceLinked="0"/>
        <c:majorTickMark val="none"/>
        <c:minorTickMark val="none"/>
        <c:tickLblPos val="nextTo"/>
        <c:spPr>
          <a:ln w="6480">
            <a:noFill/>
          </a:ln>
        </c:spPr>
        <c:txPr>
          <a:bodyPr/>
          <a:lstStyle/>
          <a:p>
            <a:pPr>
              <a:defRPr sz="900" b="0" strike="noStrike" spc="-1">
                <a:solidFill>
                  <a:srgbClr val="595959"/>
                </a:solidFill>
                <a:latin typeface="Calibri"/>
              </a:defRPr>
            </a:pPr>
            <a:endParaRPr lang="fr-FR"/>
          </a:p>
        </c:txPr>
        <c:crossAx val="6268799"/>
        <c:crosses val="autoZero"/>
        <c:crossBetween val="midCat"/>
      </c:valAx>
      <c:spPr>
        <a:noFill/>
        <a:ln>
          <a:noFill/>
        </a:ln>
      </c:spPr>
    </c:plotArea>
    <c:legend>
      <c:legendPos val="b"/>
      <c:overlay val="0"/>
      <c:spPr>
        <a:noFill/>
        <a:ln>
          <a:noFill/>
        </a:ln>
      </c:spPr>
      <c:txPr>
        <a:bodyPr/>
        <a:lstStyle/>
        <a:p>
          <a:pPr>
            <a:defRPr sz="900" b="0" strike="noStrike" spc="-1">
              <a:solidFill>
                <a:srgbClr val="595959"/>
              </a:solidFill>
              <a:latin typeface="Calibri"/>
            </a:defRPr>
          </a:pPr>
          <a:endParaRPr lang="fr-FR"/>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fr-FR"/>
  <c:roundedCorners val="0"/>
  <c:style val="2"/>
  <c:chart>
    <c:title>
      <c:tx>
        <c:rich>
          <a:bodyPr rot="0"/>
          <a:lstStyle/>
          <a:p>
            <a:pPr>
              <a:defRPr sz="1400" b="0" strike="noStrike" spc="-1">
                <a:solidFill>
                  <a:srgbClr val="595959"/>
                </a:solidFill>
                <a:latin typeface="Calibri"/>
              </a:defRPr>
            </a:pPr>
            <a:r>
              <a:rPr lang="fr-FR" sz="1400" b="0" strike="noStrike" spc="-1">
                <a:solidFill>
                  <a:srgbClr val="595959"/>
                </a:solidFill>
                <a:latin typeface="Calibri"/>
              </a:rPr>
              <a:t>ACIER</a:t>
            </a:r>
          </a:p>
        </c:rich>
      </c:tx>
      <c:overlay val="0"/>
      <c:spPr>
        <a:noFill/>
        <a:ln>
          <a:noFill/>
        </a:ln>
      </c:spPr>
    </c:title>
    <c:autoTitleDeleted val="0"/>
    <c:plotArea>
      <c:layout/>
      <c:barChart>
        <c:barDir val="col"/>
        <c:grouping val="clustered"/>
        <c:varyColors val="0"/>
        <c:dLbls>
          <c:showLegendKey val="0"/>
          <c:showVal val="0"/>
          <c:showCatName val="0"/>
          <c:showSerName val="0"/>
          <c:showPercent val="0"/>
          <c:showBubbleSize val="0"/>
        </c:dLbls>
        <c:gapWidth val="100"/>
        <c:axId val="26385490"/>
        <c:axId val="46471167"/>
      </c:barChart>
      <c:catAx>
        <c:axId val="26385490"/>
        <c:scaling>
          <c:orientation val="minMax"/>
        </c:scaling>
        <c:delete val="1"/>
        <c:axPos val="b"/>
        <c:numFmt formatCode="dd/mm/yyyy" sourceLinked="1"/>
        <c:majorTickMark val="out"/>
        <c:minorTickMark val="none"/>
        <c:tickLblPos val="none"/>
        <c:crossAx val="46471167"/>
        <c:crossesAt val="0"/>
        <c:auto val="1"/>
        <c:lblAlgn val="ctr"/>
        <c:lblOffset val="100"/>
        <c:noMultiLvlLbl val="1"/>
      </c:catAx>
      <c:valAx>
        <c:axId val="46471167"/>
        <c:scaling>
          <c:orientation val="minMax"/>
        </c:scaling>
        <c:delete val="1"/>
        <c:axPos val="l"/>
        <c:numFmt formatCode="General" sourceLinked="1"/>
        <c:majorTickMark val="out"/>
        <c:minorTickMark val="none"/>
        <c:tickLblPos val="none"/>
        <c:crossAx val="26385490"/>
        <c:crosses val="min"/>
        <c:crossBetween val="between"/>
      </c:valAx>
      <c:spPr>
        <a:noFill/>
        <a:ln>
          <a:noFill/>
        </a:ln>
      </c:spPr>
    </c:plotArea>
    <c:legend>
      <c:legendPos val="b"/>
      <c:overlay val="0"/>
      <c:spPr>
        <a:noFill/>
        <a:ln>
          <a:noFill/>
        </a:ln>
      </c:spPr>
      <c:txPr>
        <a:bodyPr/>
        <a:lstStyle/>
        <a:p>
          <a:pPr>
            <a:defRPr sz="900" b="0" strike="noStrike" spc="-1">
              <a:solidFill>
                <a:srgbClr val="595959"/>
              </a:solidFill>
              <a:latin typeface="Calibri"/>
            </a:defRPr>
          </a:pPr>
          <a:endParaRPr lang="fr-FR"/>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fr-FR"/>
  <c:roundedCorners val="0"/>
  <c:style val="2"/>
  <c:chart>
    <c:title>
      <c:tx>
        <c:rich>
          <a:bodyPr rot="0"/>
          <a:lstStyle/>
          <a:p>
            <a:pPr>
              <a:defRPr sz="1400" b="0" strike="noStrike" spc="-1">
                <a:solidFill>
                  <a:srgbClr val="595959"/>
                </a:solidFill>
                <a:latin typeface="Calibri"/>
              </a:defRPr>
            </a:pPr>
            <a:r>
              <a:rPr lang="fr-FR" sz="1400" b="0" strike="noStrike" spc="-1">
                <a:solidFill>
                  <a:srgbClr val="595959"/>
                </a:solidFill>
                <a:latin typeface="Calibri"/>
              </a:rPr>
              <a:t>ALUMINIUM</a:t>
            </a:r>
          </a:p>
        </c:rich>
      </c:tx>
      <c:overlay val="0"/>
      <c:spPr>
        <a:noFill/>
        <a:ln>
          <a:noFill/>
        </a:ln>
      </c:spPr>
    </c:title>
    <c:autoTitleDeleted val="0"/>
    <c:plotArea>
      <c:layout/>
      <c:barChart>
        <c:barDir val="col"/>
        <c:grouping val="clustered"/>
        <c:varyColors val="0"/>
        <c:dLbls>
          <c:showLegendKey val="0"/>
          <c:showVal val="0"/>
          <c:showCatName val="0"/>
          <c:showSerName val="0"/>
          <c:showPercent val="0"/>
          <c:showBubbleSize val="0"/>
        </c:dLbls>
        <c:gapWidth val="100"/>
        <c:axId val="71546718"/>
        <c:axId val="9972313"/>
      </c:barChart>
      <c:catAx>
        <c:axId val="71546718"/>
        <c:scaling>
          <c:orientation val="minMax"/>
        </c:scaling>
        <c:delete val="1"/>
        <c:axPos val="b"/>
        <c:numFmt formatCode="dd/mm/yyyy" sourceLinked="1"/>
        <c:majorTickMark val="out"/>
        <c:minorTickMark val="none"/>
        <c:tickLblPos val="none"/>
        <c:crossAx val="9972313"/>
        <c:crossesAt val="0"/>
        <c:auto val="1"/>
        <c:lblAlgn val="ctr"/>
        <c:lblOffset val="100"/>
        <c:noMultiLvlLbl val="1"/>
      </c:catAx>
      <c:valAx>
        <c:axId val="9972313"/>
        <c:scaling>
          <c:orientation val="minMax"/>
        </c:scaling>
        <c:delete val="1"/>
        <c:axPos val="l"/>
        <c:numFmt formatCode="General" sourceLinked="1"/>
        <c:majorTickMark val="out"/>
        <c:minorTickMark val="none"/>
        <c:tickLblPos val="none"/>
        <c:crossAx val="71546718"/>
        <c:crosses val="min"/>
        <c:crossBetween val="between"/>
      </c:valAx>
      <c:spPr>
        <a:noFill/>
        <a:ln>
          <a:noFill/>
        </a:ln>
      </c:spPr>
    </c:plotArea>
    <c:legend>
      <c:legendPos val="b"/>
      <c:overlay val="0"/>
      <c:spPr>
        <a:noFill/>
        <a:ln>
          <a:noFill/>
        </a:ln>
      </c:spPr>
      <c:txPr>
        <a:bodyPr/>
        <a:lstStyle/>
        <a:p>
          <a:pPr>
            <a:defRPr sz="900" b="0" strike="noStrike" spc="-1">
              <a:solidFill>
                <a:srgbClr val="595959"/>
              </a:solidFill>
              <a:latin typeface="Calibri"/>
            </a:defRPr>
          </a:pPr>
          <a:endParaRPr lang="fr-FR"/>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fr-FR"/>
  <c:roundedCorners val="0"/>
  <c:style val="2"/>
  <c:chart>
    <c:title>
      <c:tx>
        <c:rich>
          <a:bodyPr rot="0"/>
          <a:lstStyle/>
          <a:p>
            <a:pPr>
              <a:defRPr sz="1400" b="0" strike="noStrike" spc="-1">
                <a:solidFill>
                  <a:srgbClr val="595959"/>
                </a:solidFill>
                <a:latin typeface="Calibri"/>
              </a:defRPr>
            </a:pPr>
            <a:r>
              <a:rPr lang="fr-FR" sz="1400" b="0" strike="noStrike" spc="-1">
                <a:solidFill>
                  <a:srgbClr val="595959"/>
                </a:solidFill>
                <a:latin typeface="Calibri"/>
              </a:rPr>
              <a:t>VERRE</a:t>
            </a:r>
          </a:p>
        </c:rich>
      </c:tx>
      <c:overlay val="0"/>
      <c:spPr>
        <a:noFill/>
        <a:ln>
          <a:noFill/>
        </a:ln>
      </c:spPr>
    </c:title>
    <c:autoTitleDeleted val="0"/>
    <c:plotArea>
      <c:layout/>
      <c:barChart>
        <c:barDir val="col"/>
        <c:grouping val="clustered"/>
        <c:varyColors val="0"/>
        <c:dLbls>
          <c:showLegendKey val="0"/>
          <c:showVal val="0"/>
          <c:showCatName val="0"/>
          <c:showSerName val="0"/>
          <c:showPercent val="0"/>
          <c:showBubbleSize val="0"/>
        </c:dLbls>
        <c:gapWidth val="100"/>
        <c:axId val="79265956"/>
        <c:axId val="2685807"/>
      </c:barChart>
      <c:catAx>
        <c:axId val="79265956"/>
        <c:scaling>
          <c:orientation val="minMax"/>
        </c:scaling>
        <c:delete val="1"/>
        <c:axPos val="b"/>
        <c:numFmt formatCode="dd/mm/yyyy" sourceLinked="1"/>
        <c:majorTickMark val="out"/>
        <c:minorTickMark val="none"/>
        <c:tickLblPos val="none"/>
        <c:crossAx val="2685807"/>
        <c:crossesAt val="0"/>
        <c:auto val="1"/>
        <c:lblAlgn val="ctr"/>
        <c:lblOffset val="100"/>
        <c:noMultiLvlLbl val="1"/>
      </c:catAx>
      <c:valAx>
        <c:axId val="2685807"/>
        <c:scaling>
          <c:orientation val="minMax"/>
        </c:scaling>
        <c:delete val="1"/>
        <c:axPos val="l"/>
        <c:numFmt formatCode="General" sourceLinked="1"/>
        <c:majorTickMark val="out"/>
        <c:minorTickMark val="none"/>
        <c:tickLblPos val="none"/>
        <c:crossAx val="79265956"/>
        <c:crosses val="min"/>
        <c:crossBetween val="between"/>
      </c:valAx>
      <c:spPr>
        <a:noFill/>
        <a:ln>
          <a:noFill/>
        </a:ln>
      </c:spPr>
    </c:plotArea>
    <c:legend>
      <c:legendPos val="b"/>
      <c:overlay val="0"/>
      <c:spPr>
        <a:noFill/>
        <a:ln>
          <a:noFill/>
        </a:ln>
      </c:spPr>
      <c:txPr>
        <a:bodyPr/>
        <a:lstStyle/>
        <a:p>
          <a:pPr>
            <a:defRPr sz="900" b="0" strike="noStrike" spc="-1">
              <a:solidFill>
                <a:srgbClr val="595959"/>
              </a:solidFill>
              <a:latin typeface="Calibri"/>
            </a:defRPr>
          </a:pPr>
          <a:endParaRPr lang="fr-FR"/>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fr-FR"/>
  <c:roundedCorners val="0"/>
  <c:style val="2"/>
  <c:chart>
    <c:title>
      <c:tx>
        <c:rich>
          <a:bodyPr rot="0"/>
          <a:lstStyle/>
          <a:p>
            <a:pPr>
              <a:defRPr sz="1400" b="0" strike="noStrike" spc="-1">
                <a:solidFill>
                  <a:srgbClr val="595959"/>
                </a:solidFill>
                <a:latin typeface="Calibri"/>
              </a:defRPr>
            </a:pPr>
            <a:r>
              <a:rPr lang="fr-FR" sz="1400" b="0" strike="noStrike" spc="-1">
                <a:solidFill>
                  <a:srgbClr val="595959"/>
                </a:solidFill>
                <a:latin typeface="Calibri"/>
              </a:rPr>
              <a:t>CLINKER</a:t>
            </a:r>
          </a:p>
        </c:rich>
      </c:tx>
      <c:overlay val="0"/>
      <c:spPr>
        <a:noFill/>
        <a:ln>
          <a:noFill/>
        </a:ln>
      </c:spPr>
    </c:title>
    <c:autoTitleDeleted val="0"/>
    <c:plotArea>
      <c:layout/>
      <c:barChart>
        <c:barDir val="col"/>
        <c:grouping val="clustered"/>
        <c:varyColors val="0"/>
        <c:dLbls>
          <c:showLegendKey val="0"/>
          <c:showVal val="0"/>
          <c:showCatName val="0"/>
          <c:showSerName val="0"/>
          <c:showPercent val="0"/>
          <c:showBubbleSize val="0"/>
        </c:dLbls>
        <c:gapWidth val="100"/>
        <c:axId val="25945278"/>
        <c:axId val="30341592"/>
      </c:barChart>
      <c:catAx>
        <c:axId val="25945278"/>
        <c:scaling>
          <c:orientation val="minMax"/>
        </c:scaling>
        <c:delete val="1"/>
        <c:axPos val="b"/>
        <c:numFmt formatCode="dd/mm/yyyy" sourceLinked="1"/>
        <c:majorTickMark val="out"/>
        <c:minorTickMark val="none"/>
        <c:tickLblPos val="none"/>
        <c:crossAx val="30341592"/>
        <c:crossesAt val="0"/>
        <c:auto val="1"/>
        <c:lblAlgn val="ctr"/>
        <c:lblOffset val="100"/>
        <c:noMultiLvlLbl val="1"/>
      </c:catAx>
      <c:valAx>
        <c:axId val="30341592"/>
        <c:scaling>
          <c:orientation val="minMax"/>
        </c:scaling>
        <c:delete val="1"/>
        <c:axPos val="l"/>
        <c:numFmt formatCode="General" sourceLinked="1"/>
        <c:majorTickMark val="out"/>
        <c:minorTickMark val="none"/>
        <c:tickLblPos val="none"/>
        <c:crossAx val="25945278"/>
        <c:crosses val="min"/>
        <c:crossBetween val="between"/>
      </c:valAx>
      <c:spPr>
        <a:noFill/>
        <a:ln>
          <a:noFill/>
        </a:ln>
      </c:spPr>
    </c:plotArea>
    <c:legend>
      <c:legendPos val="b"/>
      <c:overlay val="0"/>
      <c:spPr>
        <a:noFill/>
        <a:ln>
          <a:noFill/>
        </a:ln>
      </c:spPr>
      <c:txPr>
        <a:bodyPr/>
        <a:lstStyle/>
        <a:p>
          <a:pPr>
            <a:defRPr sz="900" b="0" strike="noStrike" spc="-1">
              <a:solidFill>
                <a:srgbClr val="595959"/>
              </a:solidFill>
              <a:latin typeface="Calibri"/>
            </a:defRPr>
          </a:pPr>
          <a:endParaRPr lang="fr-FR"/>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fr-FR"/>
  <c:roundedCorners val="0"/>
  <c:style val="2"/>
  <c:chart>
    <c:title>
      <c:tx>
        <c:rich>
          <a:bodyPr rot="0"/>
          <a:lstStyle/>
          <a:p>
            <a:pPr>
              <a:defRPr sz="1400" b="0" strike="noStrike" spc="-1">
                <a:solidFill>
                  <a:srgbClr val="595959"/>
                </a:solidFill>
                <a:latin typeface="Calibri"/>
              </a:defRPr>
            </a:pPr>
            <a:r>
              <a:rPr lang="fr-FR" sz="1400" b="0" strike="noStrike" spc="-1">
                <a:solidFill>
                  <a:srgbClr val="595959"/>
                </a:solidFill>
                <a:latin typeface="Calibri"/>
              </a:rPr>
              <a:t>AMMONIAC</a:t>
            </a:r>
          </a:p>
        </c:rich>
      </c:tx>
      <c:overlay val="0"/>
      <c:spPr>
        <a:noFill/>
        <a:ln>
          <a:noFill/>
        </a:ln>
      </c:spPr>
    </c:title>
    <c:autoTitleDeleted val="0"/>
    <c:plotArea>
      <c:layout/>
      <c:barChart>
        <c:barDir val="col"/>
        <c:grouping val="clustered"/>
        <c:varyColors val="0"/>
        <c:dLbls>
          <c:showLegendKey val="0"/>
          <c:showVal val="0"/>
          <c:showCatName val="0"/>
          <c:showSerName val="0"/>
          <c:showPercent val="0"/>
          <c:showBubbleSize val="0"/>
        </c:dLbls>
        <c:gapWidth val="100"/>
        <c:axId val="27829519"/>
        <c:axId val="7814256"/>
      </c:barChart>
      <c:catAx>
        <c:axId val="27829519"/>
        <c:scaling>
          <c:orientation val="minMax"/>
        </c:scaling>
        <c:delete val="1"/>
        <c:axPos val="b"/>
        <c:numFmt formatCode="dd/mm/yyyy" sourceLinked="1"/>
        <c:majorTickMark val="out"/>
        <c:minorTickMark val="none"/>
        <c:tickLblPos val="none"/>
        <c:crossAx val="7814256"/>
        <c:crossesAt val="0"/>
        <c:auto val="1"/>
        <c:lblAlgn val="ctr"/>
        <c:lblOffset val="100"/>
        <c:noMultiLvlLbl val="1"/>
      </c:catAx>
      <c:valAx>
        <c:axId val="7814256"/>
        <c:scaling>
          <c:orientation val="minMax"/>
        </c:scaling>
        <c:delete val="1"/>
        <c:axPos val="l"/>
        <c:numFmt formatCode="General" sourceLinked="1"/>
        <c:majorTickMark val="out"/>
        <c:minorTickMark val="none"/>
        <c:tickLblPos val="none"/>
        <c:crossAx val="27829519"/>
        <c:crosses val="min"/>
        <c:crossBetween val="between"/>
      </c:valAx>
      <c:spPr>
        <a:noFill/>
        <a:ln>
          <a:noFill/>
        </a:ln>
      </c:spPr>
    </c:plotArea>
    <c:legend>
      <c:legendPos val="b"/>
      <c:overlay val="0"/>
      <c:spPr>
        <a:noFill/>
        <a:ln>
          <a:noFill/>
        </a:ln>
      </c:spPr>
      <c:txPr>
        <a:bodyPr/>
        <a:lstStyle/>
        <a:p>
          <a:pPr>
            <a:defRPr sz="900" b="0" strike="noStrike" spc="-1">
              <a:solidFill>
                <a:srgbClr val="595959"/>
              </a:solidFill>
              <a:latin typeface="Calibri"/>
            </a:defRPr>
          </a:pPr>
          <a:endParaRPr lang="fr-FR"/>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fr-FR"/>
  <c:roundedCorners val="0"/>
  <c:style val="2"/>
  <c:chart>
    <c:title>
      <c:tx>
        <c:rich>
          <a:bodyPr rot="0"/>
          <a:lstStyle/>
          <a:p>
            <a:pPr>
              <a:defRPr sz="1400" b="0" strike="noStrike" spc="-1">
                <a:solidFill>
                  <a:srgbClr val="595959"/>
                </a:solidFill>
                <a:latin typeface="Calibri"/>
              </a:defRPr>
            </a:pPr>
            <a:r>
              <a:rPr lang="fr-FR" sz="1400" b="0" strike="noStrike" spc="-1">
                <a:solidFill>
                  <a:srgbClr val="595959"/>
                </a:solidFill>
                <a:latin typeface="Calibri"/>
              </a:rPr>
              <a:t>DICHLORE</a:t>
            </a:r>
          </a:p>
        </c:rich>
      </c:tx>
      <c:overlay val="0"/>
      <c:spPr>
        <a:noFill/>
        <a:ln>
          <a:noFill/>
        </a:ln>
      </c:spPr>
    </c:title>
    <c:autoTitleDeleted val="0"/>
    <c:plotArea>
      <c:layout/>
      <c:barChart>
        <c:barDir val="col"/>
        <c:grouping val="clustered"/>
        <c:varyColors val="0"/>
        <c:dLbls>
          <c:showLegendKey val="0"/>
          <c:showVal val="0"/>
          <c:showCatName val="0"/>
          <c:showSerName val="0"/>
          <c:showPercent val="0"/>
          <c:showBubbleSize val="0"/>
        </c:dLbls>
        <c:gapWidth val="100"/>
        <c:axId val="83043130"/>
        <c:axId val="23647100"/>
      </c:barChart>
      <c:catAx>
        <c:axId val="83043130"/>
        <c:scaling>
          <c:orientation val="minMax"/>
        </c:scaling>
        <c:delete val="1"/>
        <c:axPos val="b"/>
        <c:numFmt formatCode="dd/mm/yyyy" sourceLinked="1"/>
        <c:majorTickMark val="out"/>
        <c:minorTickMark val="none"/>
        <c:tickLblPos val="none"/>
        <c:crossAx val="23647100"/>
        <c:crossesAt val="0"/>
        <c:auto val="1"/>
        <c:lblAlgn val="ctr"/>
        <c:lblOffset val="100"/>
        <c:noMultiLvlLbl val="1"/>
      </c:catAx>
      <c:valAx>
        <c:axId val="23647100"/>
        <c:scaling>
          <c:orientation val="minMax"/>
        </c:scaling>
        <c:delete val="1"/>
        <c:axPos val="l"/>
        <c:numFmt formatCode="General" sourceLinked="1"/>
        <c:majorTickMark val="out"/>
        <c:minorTickMark val="none"/>
        <c:tickLblPos val="none"/>
        <c:crossAx val="83043130"/>
        <c:crosses val="min"/>
        <c:crossBetween val="between"/>
      </c:valAx>
      <c:spPr>
        <a:noFill/>
        <a:ln>
          <a:noFill/>
        </a:ln>
      </c:spPr>
    </c:plotArea>
    <c:legend>
      <c:legendPos val="b"/>
      <c:overlay val="0"/>
      <c:spPr>
        <a:noFill/>
        <a:ln>
          <a:noFill/>
        </a:ln>
      </c:spPr>
      <c:txPr>
        <a:bodyPr/>
        <a:lstStyle/>
        <a:p>
          <a:pPr>
            <a:defRPr sz="900" b="0" strike="noStrike" spc="-1">
              <a:solidFill>
                <a:srgbClr val="595959"/>
              </a:solidFill>
              <a:latin typeface="Calibri"/>
            </a:defRPr>
          </a:pPr>
          <a:endParaRPr lang="fr-FR"/>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'A renseigner'!$B$333</c:f>
              <c:strCache>
                <c:ptCount val="1"/>
                <c:pt idx="0">
                  <c:v>Carbone utilisé</c:v>
                </c:pt>
              </c:strCache>
            </c:strRef>
          </c:tx>
          <c:spPr>
            <a:solidFill>
              <a:schemeClr val="accent1"/>
            </a:solidFill>
            <a:ln>
              <a:noFill/>
            </a:ln>
            <a:effectLst/>
          </c:spPr>
          <c:invertIfNegative val="0"/>
          <c:cat>
            <c:numRef>
              <c:f>'A renseigner'!$C$277:$H$277</c:f>
              <c:numCache>
                <c:formatCode>0</c:formatCode>
                <c:ptCount val="6"/>
                <c:pt idx="0">
                  <c:v>2025</c:v>
                </c:pt>
                <c:pt idx="1">
                  <c:v>2030</c:v>
                </c:pt>
                <c:pt idx="2">
                  <c:v>2035</c:v>
                </c:pt>
                <c:pt idx="3">
                  <c:v>2040</c:v>
                </c:pt>
                <c:pt idx="4">
                  <c:v>2045</c:v>
                </c:pt>
                <c:pt idx="5">
                  <c:v>2050</c:v>
                </c:pt>
              </c:numCache>
            </c:numRef>
          </c:cat>
          <c:val>
            <c:numRef>
              <c:f>'A renseigner'!$C$333:$H$333</c:f>
              <c:numCache>
                <c:formatCode>0.0</c:formatCode>
                <c:ptCount val="6"/>
                <c:pt idx="0">
                  <c:v>0</c:v>
                </c:pt>
                <c:pt idx="1">
                  <c:v>0.65999999999999992</c:v>
                </c:pt>
                <c:pt idx="2">
                  <c:v>2.1189999999999998</c:v>
                </c:pt>
                <c:pt idx="3">
                  <c:v>5.4424999999999999</c:v>
                </c:pt>
                <c:pt idx="4">
                  <c:v>8.4583999999999993</c:v>
                </c:pt>
                <c:pt idx="5" formatCode="0.00">
                  <c:v>14.8506</c:v>
                </c:pt>
              </c:numCache>
            </c:numRef>
          </c:val>
          <c:extLst>
            <c:ext xmlns:c16="http://schemas.microsoft.com/office/drawing/2014/chart" uri="{C3380CC4-5D6E-409C-BE32-E72D297353CC}">
              <c16:uniqueId val="{00000000-5116-443C-B548-C861842F4DA5}"/>
            </c:ext>
          </c:extLst>
        </c:ser>
        <c:ser>
          <c:idx val="1"/>
          <c:order val="1"/>
          <c:tx>
            <c:strRef>
              <c:f>'A renseigner'!$B$334</c:f>
              <c:strCache>
                <c:ptCount val="1"/>
                <c:pt idx="0">
                  <c:v>Carbone fossile stocké</c:v>
                </c:pt>
              </c:strCache>
            </c:strRef>
          </c:tx>
          <c:spPr>
            <a:solidFill>
              <a:schemeClr val="accent2"/>
            </a:solidFill>
            <a:ln>
              <a:noFill/>
            </a:ln>
            <a:effectLst/>
          </c:spPr>
          <c:invertIfNegative val="0"/>
          <c:cat>
            <c:numRef>
              <c:f>'A renseigner'!$C$277:$H$277</c:f>
              <c:numCache>
                <c:formatCode>0</c:formatCode>
                <c:ptCount val="6"/>
                <c:pt idx="0">
                  <c:v>2025</c:v>
                </c:pt>
                <c:pt idx="1">
                  <c:v>2030</c:v>
                </c:pt>
                <c:pt idx="2">
                  <c:v>2035</c:v>
                </c:pt>
                <c:pt idx="3">
                  <c:v>2040</c:v>
                </c:pt>
                <c:pt idx="4">
                  <c:v>2045</c:v>
                </c:pt>
                <c:pt idx="5">
                  <c:v>2050</c:v>
                </c:pt>
              </c:numCache>
            </c:numRef>
          </c:cat>
          <c:val>
            <c:numRef>
              <c:f>'A renseigner'!$C$334:$H$334</c:f>
              <c:numCache>
                <c:formatCode>0.0</c:formatCode>
                <c:ptCount val="6"/>
                <c:pt idx="0">
                  <c:v>0</c:v>
                </c:pt>
                <c:pt idx="1">
                  <c:v>4.8995999999999995</c:v>
                </c:pt>
                <c:pt idx="2">
                  <c:v>7.6826854999999989</c:v>
                </c:pt>
                <c:pt idx="3">
                  <c:v>8.3161125000000009</c:v>
                </c:pt>
                <c:pt idx="4">
                  <c:v>8.3609240000000007</c:v>
                </c:pt>
                <c:pt idx="5">
                  <c:v>7.6289100000000003</c:v>
                </c:pt>
              </c:numCache>
            </c:numRef>
          </c:val>
          <c:extLst>
            <c:ext xmlns:c16="http://schemas.microsoft.com/office/drawing/2014/chart" uri="{C3380CC4-5D6E-409C-BE32-E72D297353CC}">
              <c16:uniqueId val="{00000001-5116-443C-B548-C861842F4DA5}"/>
            </c:ext>
          </c:extLst>
        </c:ser>
        <c:ser>
          <c:idx val="2"/>
          <c:order val="2"/>
          <c:tx>
            <c:strRef>
              <c:f>'A renseigner'!$B$335</c:f>
              <c:strCache>
                <c:ptCount val="1"/>
                <c:pt idx="0">
                  <c:v>émissions négatives</c:v>
                </c:pt>
              </c:strCache>
            </c:strRef>
          </c:tx>
          <c:spPr>
            <a:solidFill>
              <a:schemeClr val="accent3"/>
            </a:solidFill>
            <a:ln>
              <a:noFill/>
            </a:ln>
            <a:effectLst/>
          </c:spPr>
          <c:invertIfNegative val="0"/>
          <c:cat>
            <c:numRef>
              <c:f>'A renseigner'!$C$277:$H$277</c:f>
              <c:numCache>
                <c:formatCode>0</c:formatCode>
                <c:ptCount val="6"/>
                <c:pt idx="0">
                  <c:v>2025</c:v>
                </c:pt>
                <c:pt idx="1">
                  <c:v>2030</c:v>
                </c:pt>
                <c:pt idx="2">
                  <c:v>2035</c:v>
                </c:pt>
                <c:pt idx="3">
                  <c:v>2040</c:v>
                </c:pt>
                <c:pt idx="4">
                  <c:v>2045</c:v>
                </c:pt>
                <c:pt idx="5">
                  <c:v>2050</c:v>
                </c:pt>
              </c:numCache>
            </c:numRef>
          </c:cat>
          <c:val>
            <c:numRef>
              <c:f>'A renseigner'!$C$335:$H$335</c:f>
              <c:numCache>
                <c:formatCode>0.0</c:formatCode>
                <c:ptCount val="6"/>
                <c:pt idx="0">
                  <c:v>0</c:v>
                </c:pt>
                <c:pt idx="1">
                  <c:v>1.0404</c:v>
                </c:pt>
                <c:pt idx="2">
                  <c:v>3.7483144999999993</c:v>
                </c:pt>
                <c:pt idx="3">
                  <c:v>5.6113874999999993</c:v>
                </c:pt>
                <c:pt idx="4">
                  <c:v>8.5506760000000011</c:v>
                </c:pt>
                <c:pt idx="5">
                  <c:v>11.39049</c:v>
                </c:pt>
              </c:numCache>
            </c:numRef>
          </c:val>
          <c:extLst>
            <c:ext xmlns:c16="http://schemas.microsoft.com/office/drawing/2014/chart" uri="{C3380CC4-5D6E-409C-BE32-E72D297353CC}">
              <c16:uniqueId val="{00000002-5116-443C-B548-C861842F4DA5}"/>
            </c:ext>
          </c:extLst>
        </c:ser>
        <c:dLbls>
          <c:showLegendKey val="0"/>
          <c:showVal val="0"/>
          <c:showCatName val="0"/>
          <c:showSerName val="0"/>
          <c:showPercent val="0"/>
          <c:showBubbleSize val="0"/>
        </c:dLbls>
        <c:gapWidth val="150"/>
        <c:overlap val="100"/>
        <c:axId val="1525908368"/>
        <c:axId val="1525887984"/>
      </c:barChart>
      <c:catAx>
        <c:axId val="1525908368"/>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525887984"/>
        <c:crosses val="autoZero"/>
        <c:auto val="1"/>
        <c:lblAlgn val="ctr"/>
        <c:lblOffset val="100"/>
        <c:noMultiLvlLbl val="0"/>
      </c:catAx>
      <c:valAx>
        <c:axId val="152588798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5259083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fr-FR"/>
  <c:roundedCorners val="0"/>
  <c:style val="2"/>
  <c:chart>
    <c:title>
      <c:tx>
        <c:rich>
          <a:bodyPr rot="0"/>
          <a:lstStyle/>
          <a:p>
            <a:pPr>
              <a:defRPr sz="1400" b="0" strike="noStrike" spc="-1">
                <a:solidFill>
                  <a:srgbClr val="595959"/>
                </a:solidFill>
                <a:latin typeface="Calibri"/>
              </a:defRPr>
            </a:pPr>
            <a:r>
              <a:rPr lang="fr-FR" sz="1400" b="0" strike="noStrike" spc="-1">
                <a:solidFill>
                  <a:srgbClr val="595959"/>
                </a:solidFill>
                <a:latin typeface="Calibri"/>
              </a:rPr>
              <a:t>Ethylène</a:t>
            </a:r>
          </a:p>
        </c:rich>
      </c:tx>
      <c:overlay val="0"/>
      <c:spPr>
        <a:noFill/>
        <a:ln>
          <a:noFill/>
        </a:ln>
      </c:spPr>
    </c:title>
    <c:autoTitleDeleted val="0"/>
    <c:plotArea>
      <c:layout/>
      <c:barChart>
        <c:barDir val="col"/>
        <c:grouping val="clustered"/>
        <c:varyColors val="0"/>
        <c:dLbls>
          <c:showLegendKey val="0"/>
          <c:showVal val="0"/>
          <c:showCatName val="0"/>
          <c:showSerName val="0"/>
          <c:showPercent val="0"/>
          <c:showBubbleSize val="0"/>
        </c:dLbls>
        <c:gapWidth val="100"/>
        <c:axId val="78472902"/>
        <c:axId val="89244922"/>
      </c:barChart>
      <c:catAx>
        <c:axId val="78472902"/>
        <c:scaling>
          <c:orientation val="minMax"/>
        </c:scaling>
        <c:delete val="1"/>
        <c:axPos val="b"/>
        <c:numFmt formatCode="dd/mm/yyyy" sourceLinked="1"/>
        <c:majorTickMark val="out"/>
        <c:minorTickMark val="none"/>
        <c:tickLblPos val="none"/>
        <c:crossAx val="89244922"/>
        <c:crossesAt val="0"/>
        <c:auto val="1"/>
        <c:lblAlgn val="ctr"/>
        <c:lblOffset val="100"/>
        <c:noMultiLvlLbl val="1"/>
      </c:catAx>
      <c:valAx>
        <c:axId val="89244922"/>
        <c:scaling>
          <c:orientation val="minMax"/>
        </c:scaling>
        <c:delete val="1"/>
        <c:axPos val="l"/>
        <c:numFmt formatCode="General" sourceLinked="1"/>
        <c:majorTickMark val="out"/>
        <c:minorTickMark val="none"/>
        <c:tickLblPos val="none"/>
        <c:crossAx val="78472902"/>
        <c:crosses val="min"/>
        <c:crossBetween val="between"/>
      </c:valAx>
      <c:spPr>
        <a:noFill/>
        <a:ln>
          <a:noFill/>
        </a:ln>
      </c:spPr>
    </c:plotArea>
    <c:legend>
      <c:legendPos val="b"/>
      <c:overlay val="0"/>
      <c:spPr>
        <a:noFill/>
        <a:ln>
          <a:noFill/>
        </a:ln>
      </c:spPr>
      <c:txPr>
        <a:bodyPr/>
        <a:lstStyle/>
        <a:p>
          <a:pPr>
            <a:defRPr sz="900" b="0" strike="noStrike" spc="-1">
              <a:solidFill>
                <a:srgbClr val="595959"/>
              </a:solidFill>
              <a:latin typeface="Calibri"/>
            </a:defRPr>
          </a:pPr>
          <a:endParaRPr lang="fr-FR"/>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fr-FR"/>
  <c:roundedCorners val="0"/>
  <c:style val="2"/>
  <c:chart>
    <c:title>
      <c:tx>
        <c:rich>
          <a:bodyPr rot="0"/>
          <a:lstStyle/>
          <a:p>
            <a:pPr>
              <a:defRPr sz="1400" b="0" strike="noStrike" spc="-1">
                <a:solidFill>
                  <a:srgbClr val="595959"/>
                </a:solidFill>
                <a:latin typeface="Calibri"/>
              </a:defRPr>
            </a:pPr>
            <a:r>
              <a:rPr lang="fr-FR" sz="1400" b="0" strike="noStrike" spc="-1">
                <a:solidFill>
                  <a:srgbClr val="595959"/>
                </a:solidFill>
                <a:latin typeface="Calibri"/>
              </a:rPr>
              <a:t>Papier</a:t>
            </a:r>
          </a:p>
        </c:rich>
      </c:tx>
      <c:overlay val="0"/>
      <c:spPr>
        <a:noFill/>
        <a:ln>
          <a:noFill/>
        </a:ln>
      </c:spPr>
    </c:title>
    <c:autoTitleDeleted val="0"/>
    <c:plotArea>
      <c:layout/>
      <c:barChart>
        <c:barDir val="col"/>
        <c:grouping val="clustered"/>
        <c:varyColors val="0"/>
        <c:dLbls>
          <c:showLegendKey val="0"/>
          <c:showVal val="0"/>
          <c:showCatName val="0"/>
          <c:showSerName val="0"/>
          <c:showPercent val="0"/>
          <c:showBubbleSize val="0"/>
        </c:dLbls>
        <c:gapWidth val="100"/>
        <c:axId val="52870717"/>
        <c:axId val="97247323"/>
      </c:barChart>
      <c:catAx>
        <c:axId val="52870717"/>
        <c:scaling>
          <c:orientation val="minMax"/>
        </c:scaling>
        <c:delete val="1"/>
        <c:axPos val="b"/>
        <c:numFmt formatCode="dd/mm/yyyy" sourceLinked="1"/>
        <c:majorTickMark val="out"/>
        <c:minorTickMark val="none"/>
        <c:tickLblPos val="none"/>
        <c:crossAx val="97247323"/>
        <c:crossesAt val="0"/>
        <c:auto val="1"/>
        <c:lblAlgn val="ctr"/>
        <c:lblOffset val="100"/>
        <c:noMultiLvlLbl val="1"/>
      </c:catAx>
      <c:valAx>
        <c:axId val="97247323"/>
        <c:scaling>
          <c:orientation val="minMax"/>
        </c:scaling>
        <c:delete val="1"/>
        <c:axPos val="l"/>
        <c:numFmt formatCode="General" sourceLinked="1"/>
        <c:majorTickMark val="out"/>
        <c:minorTickMark val="none"/>
        <c:tickLblPos val="none"/>
        <c:crossAx val="52870717"/>
        <c:crosses val="min"/>
        <c:crossBetween val="between"/>
      </c:valAx>
      <c:spPr>
        <a:noFill/>
        <a:ln>
          <a:noFill/>
        </a:ln>
      </c:spPr>
    </c:plotArea>
    <c:legend>
      <c:legendPos val="b"/>
      <c:overlay val="0"/>
      <c:spPr>
        <a:noFill/>
        <a:ln>
          <a:noFill/>
        </a:ln>
      </c:spPr>
      <c:txPr>
        <a:bodyPr/>
        <a:lstStyle/>
        <a:p>
          <a:pPr>
            <a:defRPr sz="900" b="0" strike="noStrike" spc="-1">
              <a:solidFill>
                <a:srgbClr val="595959"/>
              </a:solidFill>
              <a:latin typeface="Calibri"/>
            </a:defRPr>
          </a:pPr>
          <a:endParaRPr lang="fr-FR"/>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fr-FR"/>
  <c:roundedCorners val="0"/>
  <c:style val="2"/>
  <c:chart>
    <c:title>
      <c:tx>
        <c:rich>
          <a:bodyPr rot="0"/>
          <a:lstStyle/>
          <a:p>
            <a:pPr>
              <a:defRPr sz="1400" b="0" strike="noStrike" spc="-1">
                <a:solidFill>
                  <a:srgbClr val="595959"/>
                </a:solidFill>
                <a:latin typeface="Calibri"/>
              </a:defRPr>
            </a:pPr>
            <a:r>
              <a:rPr lang="fr-FR" sz="1400" b="0" strike="noStrike" spc="-1">
                <a:solidFill>
                  <a:srgbClr val="595959"/>
                </a:solidFill>
                <a:latin typeface="Calibri"/>
              </a:rPr>
              <a:t>Sucre</a:t>
            </a:r>
          </a:p>
        </c:rich>
      </c:tx>
      <c:overlay val="0"/>
      <c:spPr>
        <a:noFill/>
        <a:ln>
          <a:noFill/>
        </a:ln>
      </c:spPr>
    </c:title>
    <c:autoTitleDeleted val="0"/>
    <c:plotArea>
      <c:layout/>
      <c:barChart>
        <c:barDir val="col"/>
        <c:grouping val="clustered"/>
        <c:varyColors val="0"/>
        <c:dLbls>
          <c:showLegendKey val="0"/>
          <c:showVal val="0"/>
          <c:showCatName val="0"/>
          <c:showSerName val="0"/>
          <c:showPercent val="0"/>
          <c:showBubbleSize val="0"/>
        </c:dLbls>
        <c:gapWidth val="100"/>
        <c:axId val="77859548"/>
        <c:axId val="71494358"/>
      </c:barChart>
      <c:catAx>
        <c:axId val="77859548"/>
        <c:scaling>
          <c:orientation val="minMax"/>
        </c:scaling>
        <c:delete val="1"/>
        <c:axPos val="b"/>
        <c:numFmt formatCode="dd/mm/yyyy" sourceLinked="1"/>
        <c:majorTickMark val="out"/>
        <c:minorTickMark val="none"/>
        <c:tickLblPos val="none"/>
        <c:crossAx val="71494358"/>
        <c:crossesAt val="0"/>
        <c:auto val="1"/>
        <c:lblAlgn val="ctr"/>
        <c:lblOffset val="100"/>
        <c:noMultiLvlLbl val="1"/>
      </c:catAx>
      <c:valAx>
        <c:axId val="71494358"/>
        <c:scaling>
          <c:orientation val="minMax"/>
        </c:scaling>
        <c:delete val="1"/>
        <c:axPos val="l"/>
        <c:numFmt formatCode="General" sourceLinked="1"/>
        <c:majorTickMark val="out"/>
        <c:minorTickMark val="none"/>
        <c:tickLblPos val="none"/>
        <c:crossAx val="77859548"/>
        <c:crosses val="min"/>
        <c:crossBetween val="between"/>
      </c:valAx>
      <c:spPr>
        <a:noFill/>
        <a:ln>
          <a:noFill/>
        </a:ln>
      </c:spPr>
    </c:plotArea>
    <c:legend>
      <c:legendPos val="b"/>
      <c:overlay val="0"/>
      <c:spPr>
        <a:noFill/>
        <a:ln>
          <a:noFill/>
        </a:ln>
      </c:spPr>
      <c:txPr>
        <a:bodyPr/>
        <a:lstStyle/>
        <a:p>
          <a:pPr>
            <a:defRPr sz="900" b="0" strike="noStrike" spc="-1">
              <a:solidFill>
                <a:srgbClr val="595959"/>
              </a:solidFill>
              <a:latin typeface="Calibri"/>
            </a:defRPr>
          </a:pPr>
          <a:endParaRPr lang="fr-FR"/>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0" strike="noStrike" spc="-1">
                <a:solidFill>
                  <a:srgbClr val="595959"/>
                </a:solidFill>
                <a:latin typeface="Calibri"/>
              </a:defRPr>
            </a:pPr>
            <a:r>
              <a:rPr lang="fr-FR" sz="1400" b="0" strike="noStrike" spc="-1">
                <a:solidFill>
                  <a:srgbClr val="595959"/>
                </a:solidFill>
                <a:latin typeface="Calibri"/>
              </a:rPr>
              <a:t>Evolution des niveaux de production (indice 2019)</a:t>
            </a:r>
          </a:p>
        </c:rich>
      </c:tx>
      <c:overlay val="0"/>
      <c:spPr>
        <a:noFill/>
        <a:ln>
          <a:noFill/>
        </a:ln>
      </c:spPr>
    </c:title>
    <c:autoTitleDeleted val="0"/>
    <c:plotArea>
      <c:layout>
        <c:manualLayout>
          <c:layoutTarget val="inner"/>
          <c:xMode val="edge"/>
          <c:yMode val="edge"/>
          <c:x val="6.8738110336081196E-2"/>
          <c:y val="0.13943496940502501"/>
          <c:w val="0.87818642993024698"/>
          <c:h val="0.66098164301523199"/>
        </c:manualLayout>
      </c:layout>
      <c:scatterChart>
        <c:scatterStyle val="lineMarker"/>
        <c:varyColors val="0"/>
        <c:ser>
          <c:idx val="0"/>
          <c:order val="0"/>
          <c:tx>
            <c:strRef>
              <c:f>IGCE!$B$143</c:f>
              <c:strCache>
                <c:ptCount val="1"/>
                <c:pt idx="0">
                  <c:v>IGCE AMS</c:v>
                </c:pt>
              </c:strCache>
            </c:strRef>
          </c:tx>
          <c:spPr>
            <a:ln w="19080">
              <a:solidFill>
                <a:srgbClr val="5B9BD5"/>
              </a:solidFill>
              <a:round/>
            </a:ln>
          </c:spPr>
          <c:marker>
            <c:symbol val="circle"/>
            <c:size val="5"/>
            <c:spPr>
              <a:solidFill>
                <a:srgbClr val="5B9BD5"/>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IGCE!$C$119:$K$119</c:f>
              <c:numCache>
                <c:formatCode>General</c:formatCode>
                <c:ptCount val="9"/>
                <c:pt idx="0">
                  <c:v>2019</c:v>
                </c:pt>
                <c:pt idx="1">
                  <c:v>2020</c:v>
                </c:pt>
                <c:pt idx="2">
                  <c:v>2021</c:v>
                </c:pt>
                <c:pt idx="3">
                  <c:v>2025</c:v>
                </c:pt>
                <c:pt idx="4">
                  <c:v>2030</c:v>
                </c:pt>
                <c:pt idx="5">
                  <c:v>2035</c:v>
                </c:pt>
                <c:pt idx="6">
                  <c:v>2040</c:v>
                </c:pt>
                <c:pt idx="7">
                  <c:v>2045</c:v>
                </c:pt>
                <c:pt idx="8">
                  <c:v>2050</c:v>
                </c:pt>
              </c:numCache>
            </c:numRef>
          </c:xVal>
          <c:yVal>
            <c:numRef>
              <c:f>IGCE!$C$135:$K$135</c:f>
              <c:numCache>
                <c:formatCode>General</c:formatCode>
                <c:ptCount val="9"/>
                <c:pt idx="0">
                  <c:v>1</c:v>
                </c:pt>
                <c:pt idx="1">
                  <c:v>0.85687239358304124</c:v>
                </c:pt>
                <c:pt idx="2">
                  <c:v>0.94587776835412229</c:v>
                </c:pt>
                <c:pt idx="3">
                  <c:v>1.0058443019808645</c:v>
                </c:pt>
                <c:pt idx="4">
                  <c:v>1.0077661080444298</c:v>
                </c:pt>
                <c:pt idx="5">
                  <c:v>1.0022332103511109</c:v>
                </c:pt>
                <c:pt idx="6">
                  <c:v>0.99174998959843019</c:v>
                </c:pt>
                <c:pt idx="7">
                  <c:v>0.97748632834645477</c:v>
                </c:pt>
                <c:pt idx="8">
                  <c:v>0.96877846501108844</c:v>
                </c:pt>
              </c:numCache>
            </c:numRef>
          </c:yVal>
          <c:smooth val="1"/>
          <c:extLst>
            <c:ext xmlns:c16="http://schemas.microsoft.com/office/drawing/2014/chart" uri="{C3380CC4-5D6E-409C-BE32-E72D297353CC}">
              <c16:uniqueId val="{00000000-5500-4DC4-8946-4F05C21D521F}"/>
            </c:ext>
          </c:extLst>
        </c:ser>
        <c:ser>
          <c:idx val="1"/>
          <c:order val="1"/>
          <c:tx>
            <c:strRef>
              <c:f>IGCE!$B$145</c:f>
              <c:strCache>
                <c:ptCount val="1"/>
                <c:pt idx="0">
                  <c:v>Diffus AMS</c:v>
                </c:pt>
              </c:strCache>
            </c:strRef>
          </c:tx>
          <c:spPr>
            <a:ln w="19080">
              <a:solidFill>
                <a:srgbClr val="ED7D31"/>
              </a:solidFill>
              <a:round/>
            </a:ln>
          </c:spPr>
          <c:marker>
            <c:symbol val="circle"/>
            <c:size val="5"/>
            <c:spPr>
              <a:solidFill>
                <a:srgbClr val="ED7D31"/>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Diffus!$C$96:$K$96</c:f>
              <c:numCache>
                <c:formatCode>General</c:formatCode>
                <c:ptCount val="9"/>
                <c:pt idx="0">
                  <c:v>2019</c:v>
                </c:pt>
                <c:pt idx="1">
                  <c:v>2020</c:v>
                </c:pt>
                <c:pt idx="2">
                  <c:v>2021</c:v>
                </c:pt>
                <c:pt idx="3">
                  <c:v>2025</c:v>
                </c:pt>
                <c:pt idx="4">
                  <c:v>2030</c:v>
                </c:pt>
                <c:pt idx="5">
                  <c:v>2035</c:v>
                </c:pt>
                <c:pt idx="6">
                  <c:v>2040</c:v>
                </c:pt>
                <c:pt idx="7">
                  <c:v>2045</c:v>
                </c:pt>
                <c:pt idx="8">
                  <c:v>2050</c:v>
                </c:pt>
              </c:numCache>
            </c:numRef>
          </c:xVal>
          <c:yVal>
            <c:numRef>
              <c:f>Diffus!$C$107:$K$107</c:f>
              <c:numCache>
                <c:formatCode>0.00</c:formatCode>
                <c:ptCount val="9"/>
                <c:pt idx="0" formatCode="General">
                  <c:v>1</c:v>
                </c:pt>
                <c:pt idx="1">
                  <c:v>0.88874681028759828</c:v>
                </c:pt>
                <c:pt idx="2">
                  <c:v>0.93545956653035933</c:v>
                </c:pt>
                <c:pt idx="3">
                  <c:v>0.96774279421601694</c:v>
                </c:pt>
                <c:pt idx="4">
                  <c:v>0.99634846397701426</c:v>
                </c:pt>
                <c:pt idx="5">
                  <c:v>1.0107919562358603</c:v>
                </c:pt>
                <c:pt idx="6">
                  <c:v>1.0487325238903806</c:v>
                </c:pt>
                <c:pt idx="7">
                  <c:v>1.1028844528467621</c:v>
                </c:pt>
                <c:pt idx="8">
                  <c:v>1.1677789652835255</c:v>
                </c:pt>
              </c:numCache>
            </c:numRef>
          </c:yVal>
          <c:smooth val="1"/>
          <c:extLst>
            <c:ext xmlns:c16="http://schemas.microsoft.com/office/drawing/2014/chart" uri="{C3380CC4-5D6E-409C-BE32-E72D297353CC}">
              <c16:uniqueId val="{00000001-5500-4DC4-8946-4F05C21D521F}"/>
            </c:ext>
          </c:extLst>
        </c:ser>
        <c:ser>
          <c:idx val="2"/>
          <c:order val="2"/>
          <c:tx>
            <c:strRef>
              <c:f>IGCE!$B$142</c:f>
              <c:strCache>
                <c:ptCount val="1"/>
                <c:pt idx="0">
                  <c:v>IGCE AME</c:v>
                </c:pt>
              </c:strCache>
            </c:strRef>
          </c:tx>
          <c:spPr>
            <a:ln w="19080">
              <a:solidFill>
                <a:srgbClr val="5B9BD5"/>
              </a:solidFill>
              <a:round/>
            </a:ln>
          </c:spPr>
          <c:marker>
            <c:symbol val="circle"/>
            <c:size val="5"/>
            <c:spPr>
              <a:solidFill>
                <a:srgbClr val="5B9BD5"/>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IGCE!$C$100:$K$100</c:f>
              <c:numCache>
                <c:formatCode>General</c:formatCode>
                <c:ptCount val="9"/>
                <c:pt idx="0">
                  <c:v>2019</c:v>
                </c:pt>
                <c:pt idx="1">
                  <c:v>2020</c:v>
                </c:pt>
                <c:pt idx="2">
                  <c:v>2021</c:v>
                </c:pt>
                <c:pt idx="3">
                  <c:v>2025</c:v>
                </c:pt>
                <c:pt idx="4">
                  <c:v>2030</c:v>
                </c:pt>
                <c:pt idx="5">
                  <c:v>2035</c:v>
                </c:pt>
                <c:pt idx="6">
                  <c:v>2040</c:v>
                </c:pt>
                <c:pt idx="7">
                  <c:v>2045</c:v>
                </c:pt>
                <c:pt idx="8">
                  <c:v>2050</c:v>
                </c:pt>
              </c:numCache>
            </c:numRef>
          </c:xVal>
          <c:yVal>
            <c:numRef>
              <c:f>IGCE!$C$116:$K$116</c:f>
              <c:numCache>
                <c:formatCode>0.00</c:formatCode>
                <c:ptCount val="9"/>
                <c:pt idx="0">
                  <c:v>1</c:v>
                </c:pt>
                <c:pt idx="1">
                  <c:v>0.85749020219596384</c:v>
                </c:pt>
                <c:pt idx="2">
                  <c:v>0.9502002994354164</c:v>
                </c:pt>
                <c:pt idx="3">
                  <c:v>0.99561983960066369</c:v>
                </c:pt>
                <c:pt idx="4">
                  <c:v>0.9935804706753073</c:v>
                </c:pt>
                <c:pt idx="5">
                  <c:v>0.98842894233865908</c:v>
                </c:pt>
                <c:pt idx="6">
                  <c:v>0.98327741400201074</c:v>
                </c:pt>
                <c:pt idx="7">
                  <c:v>0.97812588566536229</c:v>
                </c:pt>
                <c:pt idx="8">
                  <c:v>0.97297435732871385</c:v>
                </c:pt>
              </c:numCache>
            </c:numRef>
          </c:yVal>
          <c:smooth val="1"/>
          <c:extLst>
            <c:ext xmlns:c16="http://schemas.microsoft.com/office/drawing/2014/chart" uri="{C3380CC4-5D6E-409C-BE32-E72D297353CC}">
              <c16:uniqueId val="{00000002-5500-4DC4-8946-4F05C21D521F}"/>
            </c:ext>
          </c:extLst>
        </c:ser>
        <c:ser>
          <c:idx val="3"/>
          <c:order val="3"/>
          <c:tx>
            <c:strRef>
              <c:f>IGCE!$B$144</c:f>
              <c:strCache>
                <c:ptCount val="1"/>
                <c:pt idx="0">
                  <c:v>Diffus AME</c:v>
                </c:pt>
              </c:strCache>
            </c:strRef>
          </c:tx>
          <c:spPr>
            <a:ln w="19080">
              <a:solidFill>
                <a:srgbClr val="ED7D31"/>
              </a:solidFill>
              <a:round/>
            </a:ln>
          </c:spPr>
          <c:marker>
            <c:symbol val="circle"/>
            <c:size val="5"/>
            <c:spPr>
              <a:solidFill>
                <a:srgbClr val="ED7D31"/>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Diffus!$C$83:$K$83</c:f>
              <c:numCache>
                <c:formatCode>General</c:formatCode>
                <c:ptCount val="9"/>
                <c:pt idx="0">
                  <c:v>2019</c:v>
                </c:pt>
                <c:pt idx="1">
                  <c:v>2020</c:v>
                </c:pt>
                <c:pt idx="2">
                  <c:v>2021</c:v>
                </c:pt>
                <c:pt idx="3">
                  <c:v>2025</c:v>
                </c:pt>
                <c:pt idx="4">
                  <c:v>2030</c:v>
                </c:pt>
                <c:pt idx="5">
                  <c:v>2035</c:v>
                </c:pt>
                <c:pt idx="6">
                  <c:v>2040</c:v>
                </c:pt>
                <c:pt idx="7">
                  <c:v>2045</c:v>
                </c:pt>
                <c:pt idx="8">
                  <c:v>2050</c:v>
                </c:pt>
              </c:numCache>
            </c:numRef>
          </c:xVal>
          <c:yVal>
            <c:numRef>
              <c:f>Diffus!$C$94:$K$94</c:f>
              <c:numCache>
                <c:formatCode>0.00</c:formatCode>
                <c:ptCount val="9"/>
                <c:pt idx="0" formatCode="General">
                  <c:v>1</c:v>
                </c:pt>
                <c:pt idx="1">
                  <c:v>0.88874681028759828</c:v>
                </c:pt>
                <c:pt idx="2">
                  <c:v>0.92451305662710703</c:v>
                </c:pt>
                <c:pt idx="3">
                  <c:v>0.91284691968435039</c:v>
                </c:pt>
                <c:pt idx="4">
                  <c:v>0.92305072758504514</c:v>
                </c:pt>
                <c:pt idx="5">
                  <c:v>0.94543379360509139</c:v>
                </c:pt>
                <c:pt idx="6">
                  <c:v>0.97932396901719698</c:v>
                </c:pt>
                <c:pt idx="7">
                  <c:v>1.0305772359074441</c:v>
                </c:pt>
                <c:pt idx="8">
                  <c:v>1.0889098567611413</c:v>
                </c:pt>
              </c:numCache>
            </c:numRef>
          </c:yVal>
          <c:smooth val="1"/>
          <c:extLst>
            <c:ext xmlns:c16="http://schemas.microsoft.com/office/drawing/2014/chart" uri="{C3380CC4-5D6E-409C-BE32-E72D297353CC}">
              <c16:uniqueId val="{00000003-5500-4DC4-8946-4F05C21D521F}"/>
            </c:ext>
          </c:extLst>
        </c:ser>
        <c:dLbls>
          <c:showLegendKey val="0"/>
          <c:showVal val="0"/>
          <c:showCatName val="0"/>
          <c:showSerName val="0"/>
          <c:showPercent val="0"/>
          <c:showBubbleSize val="0"/>
        </c:dLbls>
        <c:axId val="27900982"/>
        <c:axId val="90933234"/>
      </c:scatterChart>
      <c:valAx>
        <c:axId val="27900982"/>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fr-FR"/>
          </a:p>
        </c:txPr>
        <c:crossAx val="90933234"/>
        <c:crosses val="autoZero"/>
        <c:crossBetween val="midCat"/>
      </c:valAx>
      <c:valAx>
        <c:axId val="90933234"/>
        <c:scaling>
          <c:orientation val="minMax"/>
          <c:min val="0.5"/>
        </c:scaling>
        <c:delete val="0"/>
        <c:axPos val="l"/>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fr-FR"/>
          </a:p>
        </c:txPr>
        <c:crossAx val="27900982"/>
        <c:crosses val="autoZero"/>
        <c:crossBetween val="midCat"/>
      </c:valAx>
      <c:spPr>
        <a:noFill/>
        <a:ln>
          <a:noFill/>
        </a:ln>
      </c:spPr>
    </c:plotArea>
    <c:legend>
      <c:legendPos val="b"/>
      <c:overlay val="0"/>
      <c:spPr>
        <a:noFill/>
        <a:ln>
          <a:noFill/>
        </a:ln>
      </c:spPr>
      <c:txPr>
        <a:bodyPr/>
        <a:lstStyle/>
        <a:p>
          <a:pPr>
            <a:defRPr sz="900" b="0" strike="noStrike" spc="-1">
              <a:solidFill>
                <a:srgbClr val="595959"/>
              </a:solidFill>
              <a:latin typeface="Calibri"/>
            </a:defRPr>
          </a:pPr>
          <a:endParaRPr lang="fr-FR"/>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fr-FR"/>
  <c:roundedCorners val="0"/>
  <c:style val="2"/>
  <c:chart>
    <c:title>
      <c:tx>
        <c:rich>
          <a:bodyPr rot="0"/>
          <a:lstStyle/>
          <a:p>
            <a:pPr>
              <a:defRPr sz="1400" b="0" strike="noStrike" spc="-1">
                <a:solidFill>
                  <a:srgbClr val="595959"/>
                </a:solidFill>
                <a:latin typeface="Calibri"/>
              </a:defRPr>
            </a:pPr>
            <a:r>
              <a:rPr lang="fr-FR" sz="1400" b="0" strike="noStrike" spc="-1">
                <a:solidFill>
                  <a:srgbClr val="595959"/>
                </a:solidFill>
                <a:latin typeface="Calibri"/>
              </a:rPr>
              <a:t>ALUMINIUM</a:t>
            </a:r>
          </a:p>
        </c:rich>
      </c:tx>
      <c:overlay val="0"/>
      <c:spPr>
        <a:noFill/>
        <a:ln>
          <a:noFill/>
        </a:ln>
      </c:spPr>
    </c:title>
    <c:autoTitleDeleted val="0"/>
    <c:plotArea>
      <c:layout/>
      <c:barChart>
        <c:barDir val="col"/>
        <c:grouping val="clustered"/>
        <c:varyColors val="0"/>
        <c:dLbls>
          <c:showLegendKey val="0"/>
          <c:showVal val="0"/>
          <c:showCatName val="0"/>
          <c:showSerName val="0"/>
          <c:showPercent val="0"/>
          <c:showBubbleSize val="0"/>
        </c:dLbls>
        <c:gapWidth val="100"/>
        <c:axId val="46393984"/>
        <c:axId val="86935663"/>
      </c:barChart>
      <c:catAx>
        <c:axId val="46393984"/>
        <c:scaling>
          <c:orientation val="minMax"/>
        </c:scaling>
        <c:delete val="1"/>
        <c:axPos val="b"/>
        <c:numFmt formatCode="dd/mm/yyyy" sourceLinked="1"/>
        <c:majorTickMark val="out"/>
        <c:minorTickMark val="none"/>
        <c:tickLblPos val="none"/>
        <c:crossAx val="86935663"/>
        <c:crossesAt val="0"/>
        <c:auto val="1"/>
        <c:lblAlgn val="ctr"/>
        <c:lblOffset val="100"/>
        <c:noMultiLvlLbl val="1"/>
      </c:catAx>
      <c:valAx>
        <c:axId val="86935663"/>
        <c:scaling>
          <c:orientation val="minMax"/>
        </c:scaling>
        <c:delete val="1"/>
        <c:axPos val="l"/>
        <c:numFmt formatCode="General" sourceLinked="1"/>
        <c:majorTickMark val="out"/>
        <c:minorTickMark val="none"/>
        <c:tickLblPos val="none"/>
        <c:crossAx val="46393984"/>
        <c:crosses val="min"/>
        <c:crossBetween val="between"/>
      </c:valAx>
      <c:spPr>
        <a:noFill/>
        <a:ln>
          <a:noFill/>
        </a:ln>
      </c:spPr>
    </c:plotArea>
    <c:legend>
      <c:legendPos val="b"/>
      <c:overlay val="0"/>
      <c:spPr>
        <a:noFill/>
        <a:ln>
          <a:noFill/>
        </a:ln>
      </c:spPr>
      <c:txPr>
        <a:bodyPr/>
        <a:lstStyle/>
        <a:p>
          <a:pPr>
            <a:defRPr sz="900" b="0" strike="noStrike" spc="-1">
              <a:solidFill>
                <a:srgbClr val="595959"/>
              </a:solidFill>
              <a:latin typeface="Calibri"/>
            </a:defRPr>
          </a:pPr>
          <a:endParaRPr lang="fr-FR"/>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fr-FR"/>
  <c:roundedCorners val="0"/>
  <c:style val="2"/>
  <c:chart>
    <c:title>
      <c:tx>
        <c:rich>
          <a:bodyPr rot="0"/>
          <a:lstStyle/>
          <a:p>
            <a:pPr>
              <a:defRPr sz="1400" b="0" strike="noStrike" spc="-1">
                <a:solidFill>
                  <a:srgbClr val="595959"/>
                </a:solidFill>
                <a:latin typeface="Calibri"/>
              </a:defRPr>
            </a:pPr>
            <a:r>
              <a:rPr lang="fr-FR" sz="1400" b="0" strike="noStrike" spc="-1">
                <a:solidFill>
                  <a:srgbClr val="595959"/>
                </a:solidFill>
                <a:latin typeface="Calibri"/>
              </a:rPr>
              <a:t>VERRE</a:t>
            </a:r>
          </a:p>
        </c:rich>
      </c:tx>
      <c:overlay val="0"/>
      <c:spPr>
        <a:noFill/>
        <a:ln>
          <a:noFill/>
        </a:ln>
      </c:spPr>
    </c:title>
    <c:autoTitleDeleted val="0"/>
    <c:plotArea>
      <c:layout/>
      <c:barChart>
        <c:barDir val="col"/>
        <c:grouping val="clustered"/>
        <c:varyColors val="0"/>
        <c:dLbls>
          <c:showLegendKey val="0"/>
          <c:showVal val="0"/>
          <c:showCatName val="0"/>
          <c:showSerName val="0"/>
          <c:showPercent val="0"/>
          <c:showBubbleSize val="0"/>
        </c:dLbls>
        <c:gapWidth val="100"/>
        <c:axId val="80831363"/>
        <c:axId val="65470092"/>
      </c:barChart>
      <c:catAx>
        <c:axId val="80831363"/>
        <c:scaling>
          <c:orientation val="minMax"/>
        </c:scaling>
        <c:delete val="1"/>
        <c:axPos val="b"/>
        <c:numFmt formatCode="dd/mm/yyyy" sourceLinked="1"/>
        <c:majorTickMark val="out"/>
        <c:minorTickMark val="none"/>
        <c:tickLblPos val="none"/>
        <c:crossAx val="65470092"/>
        <c:crossesAt val="0"/>
        <c:auto val="1"/>
        <c:lblAlgn val="ctr"/>
        <c:lblOffset val="100"/>
        <c:noMultiLvlLbl val="1"/>
      </c:catAx>
      <c:valAx>
        <c:axId val="65470092"/>
        <c:scaling>
          <c:orientation val="minMax"/>
        </c:scaling>
        <c:delete val="1"/>
        <c:axPos val="l"/>
        <c:numFmt formatCode="General" sourceLinked="1"/>
        <c:majorTickMark val="out"/>
        <c:minorTickMark val="none"/>
        <c:tickLblPos val="none"/>
        <c:crossAx val="80831363"/>
        <c:crosses val="min"/>
        <c:crossBetween val="between"/>
      </c:valAx>
      <c:spPr>
        <a:noFill/>
        <a:ln>
          <a:noFill/>
        </a:ln>
      </c:spPr>
    </c:plotArea>
    <c:legend>
      <c:legendPos val="b"/>
      <c:overlay val="0"/>
      <c:spPr>
        <a:noFill/>
        <a:ln>
          <a:noFill/>
        </a:ln>
      </c:spPr>
      <c:txPr>
        <a:bodyPr/>
        <a:lstStyle/>
        <a:p>
          <a:pPr>
            <a:defRPr sz="900" b="0" strike="noStrike" spc="-1">
              <a:solidFill>
                <a:srgbClr val="595959"/>
              </a:solidFill>
              <a:latin typeface="Calibri"/>
            </a:defRPr>
          </a:pPr>
          <a:endParaRPr lang="fr-FR"/>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fr-FR"/>
  <c:roundedCorners val="0"/>
  <c:style val="2"/>
  <c:chart>
    <c:title>
      <c:tx>
        <c:rich>
          <a:bodyPr rot="0"/>
          <a:lstStyle/>
          <a:p>
            <a:pPr>
              <a:defRPr sz="1400" b="0" strike="noStrike" spc="-1">
                <a:solidFill>
                  <a:srgbClr val="595959"/>
                </a:solidFill>
                <a:latin typeface="Calibri"/>
              </a:defRPr>
            </a:pPr>
            <a:r>
              <a:rPr lang="fr-FR" sz="1400" b="0" strike="noStrike" spc="-1">
                <a:solidFill>
                  <a:srgbClr val="595959"/>
                </a:solidFill>
                <a:latin typeface="Calibri"/>
              </a:rPr>
              <a:t>CLINKER</a:t>
            </a:r>
          </a:p>
        </c:rich>
      </c:tx>
      <c:overlay val="0"/>
      <c:spPr>
        <a:noFill/>
        <a:ln>
          <a:noFill/>
        </a:ln>
      </c:spPr>
    </c:title>
    <c:autoTitleDeleted val="0"/>
    <c:plotArea>
      <c:layout/>
      <c:barChart>
        <c:barDir val="col"/>
        <c:grouping val="clustered"/>
        <c:varyColors val="0"/>
        <c:dLbls>
          <c:showLegendKey val="0"/>
          <c:showVal val="0"/>
          <c:showCatName val="0"/>
          <c:showSerName val="0"/>
          <c:showPercent val="0"/>
          <c:showBubbleSize val="0"/>
        </c:dLbls>
        <c:gapWidth val="100"/>
        <c:axId val="41799463"/>
        <c:axId val="12030852"/>
      </c:barChart>
      <c:catAx>
        <c:axId val="41799463"/>
        <c:scaling>
          <c:orientation val="minMax"/>
        </c:scaling>
        <c:delete val="1"/>
        <c:axPos val="b"/>
        <c:numFmt formatCode="dd/mm/yyyy" sourceLinked="1"/>
        <c:majorTickMark val="out"/>
        <c:minorTickMark val="none"/>
        <c:tickLblPos val="none"/>
        <c:crossAx val="12030852"/>
        <c:crossesAt val="0"/>
        <c:auto val="1"/>
        <c:lblAlgn val="ctr"/>
        <c:lblOffset val="100"/>
        <c:noMultiLvlLbl val="1"/>
      </c:catAx>
      <c:valAx>
        <c:axId val="12030852"/>
        <c:scaling>
          <c:orientation val="minMax"/>
        </c:scaling>
        <c:delete val="1"/>
        <c:axPos val="l"/>
        <c:numFmt formatCode="General" sourceLinked="1"/>
        <c:majorTickMark val="out"/>
        <c:minorTickMark val="none"/>
        <c:tickLblPos val="none"/>
        <c:crossAx val="41799463"/>
        <c:crosses val="min"/>
        <c:crossBetween val="between"/>
      </c:valAx>
      <c:spPr>
        <a:noFill/>
        <a:ln>
          <a:noFill/>
        </a:ln>
      </c:spPr>
    </c:plotArea>
    <c:legend>
      <c:legendPos val="b"/>
      <c:overlay val="0"/>
      <c:spPr>
        <a:noFill/>
        <a:ln>
          <a:noFill/>
        </a:ln>
      </c:spPr>
      <c:txPr>
        <a:bodyPr/>
        <a:lstStyle/>
        <a:p>
          <a:pPr>
            <a:defRPr sz="900" b="0" strike="noStrike" spc="-1">
              <a:solidFill>
                <a:srgbClr val="595959"/>
              </a:solidFill>
              <a:latin typeface="Calibri"/>
            </a:defRPr>
          </a:pPr>
          <a:endParaRPr lang="fr-FR"/>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fr-FR"/>
  <c:roundedCorners val="0"/>
  <c:style val="2"/>
  <c:chart>
    <c:title>
      <c:tx>
        <c:rich>
          <a:bodyPr rot="0"/>
          <a:lstStyle/>
          <a:p>
            <a:pPr>
              <a:defRPr sz="1400" b="0" strike="noStrike" spc="-1">
                <a:solidFill>
                  <a:srgbClr val="595959"/>
                </a:solidFill>
                <a:latin typeface="Calibri"/>
              </a:defRPr>
            </a:pPr>
            <a:r>
              <a:rPr lang="fr-FR" sz="1400" b="0" strike="noStrike" spc="-1">
                <a:solidFill>
                  <a:srgbClr val="595959"/>
                </a:solidFill>
                <a:latin typeface="Calibri"/>
              </a:rPr>
              <a:t>AMMONIAC</a:t>
            </a:r>
          </a:p>
        </c:rich>
      </c:tx>
      <c:overlay val="0"/>
      <c:spPr>
        <a:noFill/>
        <a:ln>
          <a:noFill/>
        </a:ln>
      </c:spPr>
    </c:title>
    <c:autoTitleDeleted val="0"/>
    <c:plotArea>
      <c:layout/>
      <c:barChart>
        <c:barDir val="col"/>
        <c:grouping val="clustered"/>
        <c:varyColors val="0"/>
        <c:dLbls>
          <c:showLegendKey val="0"/>
          <c:showVal val="0"/>
          <c:showCatName val="0"/>
          <c:showSerName val="0"/>
          <c:showPercent val="0"/>
          <c:showBubbleSize val="0"/>
        </c:dLbls>
        <c:gapWidth val="100"/>
        <c:axId val="6027946"/>
        <c:axId val="23191826"/>
      </c:barChart>
      <c:catAx>
        <c:axId val="6027946"/>
        <c:scaling>
          <c:orientation val="minMax"/>
        </c:scaling>
        <c:delete val="1"/>
        <c:axPos val="b"/>
        <c:numFmt formatCode="dd/mm/yyyy" sourceLinked="1"/>
        <c:majorTickMark val="out"/>
        <c:minorTickMark val="none"/>
        <c:tickLblPos val="none"/>
        <c:crossAx val="23191826"/>
        <c:crossesAt val="0"/>
        <c:auto val="1"/>
        <c:lblAlgn val="ctr"/>
        <c:lblOffset val="100"/>
        <c:noMultiLvlLbl val="1"/>
      </c:catAx>
      <c:valAx>
        <c:axId val="23191826"/>
        <c:scaling>
          <c:orientation val="minMax"/>
        </c:scaling>
        <c:delete val="1"/>
        <c:axPos val="l"/>
        <c:numFmt formatCode="General" sourceLinked="1"/>
        <c:majorTickMark val="out"/>
        <c:minorTickMark val="none"/>
        <c:tickLblPos val="none"/>
        <c:crossAx val="6027946"/>
        <c:crosses val="min"/>
        <c:crossBetween val="between"/>
      </c:valAx>
      <c:spPr>
        <a:noFill/>
        <a:ln>
          <a:noFill/>
        </a:ln>
      </c:spPr>
    </c:plotArea>
    <c:legend>
      <c:legendPos val="b"/>
      <c:overlay val="0"/>
      <c:spPr>
        <a:noFill/>
        <a:ln>
          <a:noFill/>
        </a:ln>
      </c:spPr>
      <c:txPr>
        <a:bodyPr/>
        <a:lstStyle/>
        <a:p>
          <a:pPr>
            <a:defRPr sz="900" b="0" strike="noStrike" spc="-1">
              <a:solidFill>
                <a:srgbClr val="595959"/>
              </a:solidFill>
              <a:latin typeface="Calibri"/>
            </a:defRPr>
          </a:pPr>
          <a:endParaRPr lang="fr-FR"/>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fr-FR"/>
  <c:roundedCorners val="0"/>
  <c:style val="2"/>
  <c:chart>
    <c:title>
      <c:tx>
        <c:rich>
          <a:bodyPr rot="0"/>
          <a:lstStyle/>
          <a:p>
            <a:pPr>
              <a:defRPr sz="1400" b="0" strike="noStrike" spc="-1">
                <a:solidFill>
                  <a:srgbClr val="595959"/>
                </a:solidFill>
                <a:latin typeface="Calibri"/>
              </a:defRPr>
            </a:pPr>
            <a:r>
              <a:rPr lang="fr-FR" sz="1400" b="0" strike="noStrike" spc="-1">
                <a:solidFill>
                  <a:srgbClr val="595959"/>
                </a:solidFill>
                <a:latin typeface="Calibri"/>
              </a:rPr>
              <a:t>DICHLORE</a:t>
            </a:r>
          </a:p>
        </c:rich>
      </c:tx>
      <c:overlay val="0"/>
      <c:spPr>
        <a:noFill/>
        <a:ln>
          <a:noFill/>
        </a:ln>
      </c:spPr>
    </c:title>
    <c:autoTitleDeleted val="0"/>
    <c:plotArea>
      <c:layout/>
      <c:barChart>
        <c:barDir val="col"/>
        <c:grouping val="clustered"/>
        <c:varyColors val="0"/>
        <c:dLbls>
          <c:showLegendKey val="0"/>
          <c:showVal val="0"/>
          <c:showCatName val="0"/>
          <c:showSerName val="0"/>
          <c:showPercent val="0"/>
          <c:showBubbleSize val="0"/>
        </c:dLbls>
        <c:gapWidth val="100"/>
        <c:axId val="94490202"/>
        <c:axId val="45438529"/>
      </c:barChart>
      <c:catAx>
        <c:axId val="94490202"/>
        <c:scaling>
          <c:orientation val="minMax"/>
        </c:scaling>
        <c:delete val="1"/>
        <c:axPos val="b"/>
        <c:numFmt formatCode="dd/mm/yyyy" sourceLinked="1"/>
        <c:majorTickMark val="out"/>
        <c:minorTickMark val="none"/>
        <c:tickLblPos val="none"/>
        <c:crossAx val="45438529"/>
        <c:crossesAt val="0"/>
        <c:auto val="1"/>
        <c:lblAlgn val="ctr"/>
        <c:lblOffset val="100"/>
        <c:noMultiLvlLbl val="1"/>
      </c:catAx>
      <c:valAx>
        <c:axId val="45438529"/>
        <c:scaling>
          <c:orientation val="minMax"/>
        </c:scaling>
        <c:delete val="1"/>
        <c:axPos val="l"/>
        <c:numFmt formatCode="General" sourceLinked="1"/>
        <c:majorTickMark val="out"/>
        <c:minorTickMark val="none"/>
        <c:tickLblPos val="none"/>
        <c:crossAx val="94490202"/>
        <c:crosses val="min"/>
        <c:crossBetween val="between"/>
      </c:valAx>
      <c:spPr>
        <a:noFill/>
        <a:ln>
          <a:noFill/>
        </a:ln>
      </c:spPr>
    </c:plotArea>
    <c:legend>
      <c:legendPos val="b"/>
      <c:overlay val="0"/>
      <c:spPr>
        <a:noFill/>
        <a:ln>
          <a:noFill/>
        </a:ln>
      </c:spPr>
      <c:txPr>
        <a:bodyPr/>
        <a:lstStyle/>
        <a:p>
          <a:pPr>
            <a:defRPr sz="900" b="0" strike="noStrike" spc="-1">
              <a:solidFill>
                <a:srgbClr val="595959"/>
              </a:solidFill>
              <a:latin typeface="Calibri"/>
            </a:defRPr>
          </a:pPr>
          <a:endParaRPr lang="fr-FR"/>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fr-FR"/>
  <c:roundedCorners val="0"/>
  <c:style val="2"/>
  <c:chart>
    <c:title>
      <c:tx>
        <c:rich>
          <a:bodyPr rot="0"/>
          <a:lstStyle/>
          <a:p>
            <a:pPr>
              <a:defRPr sz="1400" b="0" strike="noStrike" spc="-1">
                <a:solidFill>
                  <a:srgbClr val="595959"/>
                </a:solidFill>
                <a:latin typeface="Calibri"/>
              </a:defRPr>
            </a:pPr>
            <a:r>
              <a:rPr lang="fr-FR" sz="1400" b="0" strike="noStrike" spc="-1">
                <a:solidFill>
                  <a:srgbClr val="595959"/>
                </a:solidFill>
                <a:latin typeface="Calibri"/>
              </a:rPr>
              <a:t>Ethylène</a:t>
            </a:r>
          </a:p>
        </c:rich>
      </c:tx>
      <c:overlay val="0"/>
      <c:spPr>
        <a:noFill/>
        <a:ln>
          <a:noFill/>
        </a:ln>
      </c:spPr>
    </c:title>
    <c:autoTitleDeleted val="0"/>
    <c:plotArea>
      <c:layout/>
      <c:barChart>
        <c:barDir val="col"/>
        <c:grouping val="clustered"/>
        <c:varyColors val="0"/>
        <c:dLbls>
          <c:showLegendKey val="0"/>
          <c:showVal val="0"/>
          <c:showCatName val="0"/>
          <c:showSerName val="0"/>
          <c:showPercent val="0"/>
          <c:showBubbleSize val="0"/>
        </c:dLbls>
        <c:gapWidth val="100"/>
        <c:axId val="51078803"/>
        <c:axId val="70693614"/>
      </c:barChart>
      <c:catAx>
        <c:axId val="51078803"/>
        <c:scaling>
          <c:orientation val="minMax"/>
        </c:scaling>
        <c:delete val="1"/>
        <c:axPos val="b"/>
        <c:numFmt formatCode="dd/mm/yyyy" sourceLinked="1"/>
        <c:majorTickMark val="out"/>
        <c:minorTickMark val="none"/>
        <c:tickLblPos val="none"/>
        <c:crossAx val="70693614"/>
        <c:crossesAt val="0"/>
        <c:auto val="1"/>
        <c:lblAlgn val="ctr"/>
        <c:lblOffset val="100"/>
        <c:noMultiLvlLbl val="1"/>
      </c:catAx>
      <c:valAx>
        <c:axId val="70693614"/>
        <c:scaling>
          <c:orientation val="minMax"/>
        </c:scaling>
        <c:delete val="1"/>
        <c:axPos val="l"/>
        <c:numFmt formatCode="General" sourceLinked="1"/>
        <c:majorTickMark val="out"/>
        <c:minorTickMark val="none"/>
        <c:tickLblPos val="none"/>
        <c:crossAx val="51078803"/>
        <c:crosses val="min"/>
        <c:crossBetween val="between"/>
      </c:valAx>
      <c:spPr>
        <a:noFill/>
        <a:ln>
          <a:noFill/>
        </a:ln>
      </c:spPr>
    </c:plotArea>
    <c:legend>
      <c:legendPos val="b"/>
      <c:overlay val="0"/>
      <c:spPr>
        <a:noFill/>
        <a:ln>
          <a:noFill/>
        </a:ln>
      </c:spPr>
      <c:txPr>
        <a:bodyPr/>
        <a:lstStyle/>
        <a:p>
          <a:pPr>
            <a:defRPr sz="900" b="0" strike="noStrike" spc="-1">
              <a:solidFill>
                <a:srgbClr val="595959"/>
              </a:solidFill>
              <a:latin typeface="Calibri"/>
            </a:defRPr>
          </a:pPr>
          <a:endParaRPr lang="fr-FR"/>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editAs="oneCell">
    <xdr:from>
      <xdr:col>15</xdr:col>
      <xdr:colOff>0</xdr:colOff>
      <xdr:row>28</xdr:row>
      <xdr:rowOff>0</xdr:rowOff>
    </xdr:from>
    <xdr:to>
      <xdr:col>15</xdr:col>
      <xdr:colOff>276497</xdr:colOff>
      <xdr:row>29</xdr:row>
      <xdr:rowOff>121918</xdr:rowOff>
    </xdr:to>
    <xdr:sp macro="" textlink="">
      <xdr:nvSpPr>
        <xdr:cNvPr id="21505" name="AutoShape 1" descr="image.png"/>
        <xdr:cNvSpPr>
          <a:spLocks noChangeAspect="1" noChangeArrowheads="1"/>
        </xdr:cNvSpPr>
      </xdr:nvSpPr>
      <xdr:spPr bwMode="auto">
        <a:xfrm>
          <a:off x="13655040" y="422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15</xdr:col>
      <xdr:colOff>0</xdr:colOff>
      <xdr:row>28</xdr:row>
      <xdr:rowOff>0</xdr:rowOff>
    </xdr:from>
    <xdr:to>
      <xdr:col>15</xdr:col>
      <xdr:colOff>304800</xdr:colOff>
      <xdr:row>29</xdr:row>
      <xdr:rowOff>121918</xdr:rowOff>
    </xdr:to>
    <xdr:sp macro="" textlink="">
      <xdr:nvSpPr>
        <xdr:cNvPr id="21506" name="AutoShape 2" descr="image.png"/>
        <xdr:cNvSpPr>
          <a:spLocks noChangeAspect="1" noChangeArrowheads="1"/>
        </xdr:cNvSpPr>
      </xdr:nvSpPr>
      <xdr:spPr bwMode="auto">
        <a:xfrm>
          <a:off x="13655040" y="422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32</xdr:row>
      <xdr:rowOff>0</xdr:rowOff>
    </xdr:from>
    <xdr:to>
      <xdr:col>13</xdr:col>
      <xdr:colOff>304800</xdr:colOff>
      <xdr:row>33</xdr:row>
      <xdr:rowOff>28303</xdr:rowOff>
    </xdr:to>
    <xdr:sp macro="" textlink="">
      <xdr:nvSpPr>
        <xdr:cNvPr id="21507" name="AutoShape 3" descr="image.png"/>
        <xdr:cNvSpPr>
          <a:spLocks noChangeAspect="1" noChangeArrowheads="1"/>
        </xdr:cNvSpPr>
      </xdr:nvSpPr>
      <xdr:spPr bwMode="auto">
        <a:xfrm>
          <a:off x="12070080" y="4960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9</xdr:col>
      <xdr:colOff>62752</xdr:colOff>
      <xdr:row>310</xdr:row>
      <xdr:rowOff>156882</xdr:rowOff>
    </xdr:from>
    <xdr:to>
      <xdr:col>17</xdr:col>
      <xdr:colOff>878541</xdr:colOff>
      <xdr:row>330</xdr:row>
      <xdr:rowOff>44822</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89647</xdr:colOff>
      <xdr:row>315</xdr:row>
      <xdr:rowOff>22412</xdr:rowOff>
    </xdr:from>
    <xdr:to>
      <xdr:col>23</xdr:col>
      <xdr:colOff>717177</xdr:colOff>
      <xdr:row>330</xdr:row>
      <xdr:rowOff>76200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669600</xdr:colOff>
      <xdr:row>137</xdr:row>
      <xdr:rowOff>165960</xdr:rowOff>
    </xdr:from>
    <xdr:to>
      <xdr:col>8</xdr:col>
      <xdr:colOff>245965</xdr:colOff>
      <xdr:row>152</xdr:row>
      <xdr:rowOff>168480</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23</xdr:col>
      <xdr:colOff>1113193</xdr:colOff>
      <xdr:row>53</xdr:row>
      <xdr:rowOff>150120</xdr:rowOff>
    </xdr:to>
    <xdr:sp macro="" textlink="">
      <xdr:nvSpPr>
        <xdr:cNvPr id="2" name="CustomShape 1" hidden="1">
          <a:extLst>
            <a:ext uri="{FF2B5EF4-FFF2-40B4-BE49-F238E27FC236}">
              <a16:creationId xmlns:a16="http://schemas.microsoft.com/office/drawing/2014/main" id="{00000000-0008-0000-0700-000002000000}"/>
            </a:ext>
          </a:extLst>
        </xdr:cNvPr>
        <xdr:cNvSpPr/>
      </xdr:nvSpPr>
      <xdr:spPr>
        <a:xfrm>
          <a:off x="0" y="0"/>
          <a:ext cx="16851960" cy="9902160"/>
        </a:xfrm>
        <a:prstGeom prst="rect">
          <a:avLst/>
        </a:prstGeom>
        <a:solidFill>
          <a:srgbClr val="FFFFFF"/>
        </a:solidFill>
        <a:ln>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23</xdr:col>
      <xdr:colOff>1113193</xdr:colOff>
      <xdr:row>53</xdr:row>
      <xdr:rowOff>150120</xdr:rowOff>
    </xdr:to>
    <xdr:sp macro="" textlink="">
      <xdr:nvSpPr>
        <xdr:cNvPr id="3" name="CustomShape 1" hidden="1">
          <a:extLst>
            <a:ext uri="{FF2B5EF4-FFF2-40B4-BE49-F238E27FC236}">
              <a16:creationId xmlns:a16="http://schemas.microsoft.com/office/drawing/2014/main" id="{00000000-0008-0000-0700-000003000000}"/>
            </a:ext>
          </a:extLst>
        </xdr:cNvPr>
        <xdr:cNvSpPr/>
      </xdr:nvSpPr>
      <xdr:spPr>
        <a:xfrm>
          <a:off x="0" y="0"/>
          <a:ext cx="16851960" cy="9902160"/>
        </a:xfrm>
        <a:prstGeom prst="rect">
          <a:avLst/>
        </a:prstGeom>
        <a:solidFill>
          <a:srgbClr val="FFFFFF"/>
        </a:solidFill>
        <a:ln>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23</xdr:col>
      <xdr:colOff>1113193</xdr:colOff>
      <xdr:row>53</xdr:row>
      <xdr:rowOff>150120</xdr:rowOff>
    </xdr:to>
    <xdr:sp macro="" textlink="">
      <xdr:nvSpPr>
        <xdr:cNvPr id="4" name="CustomShape 1" hidden="1">
          <a:extLst>
            <a:ext uri="{FF2B5EF4-FFF2-40B4-BE49-F238E27FC236}">
              <a16:creationId xmlns:a16="http://schemas.microsoft.com/office/drawing/2014/main" id="{00000000-0008-0000-0700-000004000000}"/>
            </a:ext>
          </a:extLst>
        </xdr:cNvPr>
        <xdr:cNvSpPr/>
      </xdr:nvSpPr>
      <xdr:spPr>
        <a:xfrm>
          <a:off x="0" y="0"/>
          <a:ext cx="16851960" cy="9902160"/>
        </a:xfrm>
        <a:prstGeom prst="rect">
          <a:avLst/>
        </a:prstGeom>
        <a:solidFill>
          <a:srgbClr val="FFFFFF"/>
        </a:solidFill>
        <a:ln>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23</xdr:col>
      <xdr:colOff>1113193</xdr:colOff>
      <xdr:row>53</xdr:row>
      <xdr:rowOff>150120</xdr:rowOff>
    </xdr:to>
    <xdr:sp macro="" textlink="">
      <xdr:nvSpPr>
        <xdr:cNvPr id="5" name="CustomShape 1" hidden="1">
          <a:extLst>
            <a:ext uri="{FF2B5EF4-FFF2-40B4-BE49-F238E27FC236}">
              <a16:creationId xmlns:a16="http://schemas.microsoft.com/office/drawing/2014/main" id="{00000000-0008-0000-0700-000005000000}"/>
            </a:ext>
          </a:extLst>
        </xdr:cNvPr>
        <xdr:cNvSpPr/>
      </xdr:nvSpPr>
      <xdr:spPr>
        <a:xfrm>
          <a:off x="0" y="0"/>
          <a:ext cx="16851960" cy="9902160"/>
        </a:xfrm>
        <a:prstGeom prst="rect">
          <a:avLst/>
        </a:prstGeom>
        <a:solidFill>
          <a:srgbClr val="FFFFFF"/>
        </a:solidFill>
        <a:ln>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23</xdr:col>
      <xdr:colOff>114609</xdr:colOff>
      <xdr:row>53</xdr:row>
      <xdr:rowOff>150120</xdr:rowOff>
    </xdr:to>
    <xdr:sp macro="" textlink="">
      <xdr:nvSpPr>
        <xdr:cNvPr id="6" name="CustomShape 1" hidden="1">
          <a:extLst>
            <a:ext uri="{FF2B5EF4-FFF2-40B4-BE49-F238E27FC236}">
              <a16:creationId xmlns:a16="http://schemas.microsoft.com/office/drawing/2014/main" id="{00000000-0008-0000-0700-000006000000}"/>
            </a:ext>
          </a:extLst>
        </xdr:cNvPr>
        <xdr:cNvSpPr/>
      </xdr:nvSpPr>
      <xdr:spPr>
        <a:xfrm>
          <a:off x="0" y="0"/>
          <a:ext cx="15814440" cy="99021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23</xdr:col>
      <xdr:colOff>114609</xdr:colOff>
      <xdr:row>53</xdr:row>
      <xdr:rowOff>150120</xdr:rowOff>
    </xdr:to>
    <xdr:sp macro="" textlink="">
      <xdr:nvSpPr>
        <xdr:cNvPr id="7" name="CustomShape 1" hidden="1">
          <a:extLst>
            <a:ext uri="{FF2B5EF4-FFF2-40B4-BE49-F238E27FC236}">
              <a16:creationId xmlns:a16="http://schemas.microsoft.com/office/drawing/2014/main" id="{00000000-0008-0000-0700-000007000000}"/>
            </a:ext>
          </a:extLst>
        </xdr:cNvPr>
        <xdr:cNvSpPr/>
      </xdr:nvSpPr>
      <xdr:spPr>
        <a:xfrm>
          <a:off x="0" y="0"/>
          <a:ext cx="15814440" cy="99021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23</xdr:col>
      <xdr:colOff>114609</xdr:colOff>
      <xdr:row>53</xdr:row>
      <xdr:rowOff>150120</xdr:rowOff>
    </xdr:to>
    <xdr:sp macro="" textlink="">
      <xdr:nvSpPr>
        <xdr:cNvPr id="8" name="CustomShape 1" hidden="1">
          <a:extLst>
            <a:ext uri="{FF2B5EF4-FFF2-40B4-BE49-F238E27FC236}">
              <a16:creationId xmlns:a16="http://schemas.microsoft.com/office/drawing/2014/main" id="{00000000-0008-0000-0700-000008000000}"/>
            </a:ext>
          </a:extLst>
        </xdr:cNvPr>
        <xdr:cNvSpPr/>
      </xdr:nvSpPr>
      <xdr:spPr>
        <a:xfrm>
          <a:off x="0" y="0"/>
          <a:ext cx="15814440" cy="99021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23</xdr:col>
      <xdr:colOff>114609</xdr:colOff>
      <xdr:row>53</xdr:row>
      <xdr:rowOff>150120</xdr:rowOff>
    </xdr:to>
    <xdr:sp macro="" textlink="">
      <xdr:nvSpPr>
        <xdr:cNvPr id="9" name="CustomShape 1" hidden="1">
          <a:extLst>
            <a:ext uri="{FF2B5EF4-FFF2-40B4-BE49-F238E27FC236}">
              <a16:creationId xmlns:a16="http://schemas.microsoft.com/office/drawing/2014/main" id="{00000000-0008-0000-0700-000009000000}"/>
            </a:ext>
          </a:extLst>
        </xdr:cNvPr>
        <xdr:cNvSpPr/>
      </xdr:nvSpPr>
      <xdr:spPr>
        <a:xfrm>
          <a:off x="0" y="0"/>
          <a:ext cx="15814440" cy="99021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23</xdr:col>
      <xdr:colOff>114609</xdr:colOff>
      <xdr:row>53</xdr:row>
      <xdr:rowOff>150120</xdr:rowOff>
    </xdr:to>
    <xdr:sp macro="" textlink="">
      <xdr:nvSpPr>
        <xdr:cNvPr id="10" name="CustomShape 1" hidden="1">
          <a:extLst>
            <a:ext uri="{FF2B5EF4-FFF2-40B4-BE49-F238E27FC236}">
              <a16:creationId xmlns:a16="http://schemas.microsoft.com/office/drawing/2014/main" id="{00000000-0008-0000-0700-00000A000000}"/>
            </a:ext>
          </a:extLst>
        </xdr:cNvPr>
        <xdr:cNvSpPr/>
      </xdr:nvSpPr>
      <xdr:spPr>
        <a:xfrm>
          <a:off x="0" y="0"/>
          <a:ext cx="15814440" cy="99021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22</xdr:col>
      <xdr:colOff>804600</xdr:colOff>
      <xdr:row>52</xdr:row>
      <xdr:rowOff>99000</xdr:rowOff>
    </xdr:to>
    <xdr:sp macro="" textlink="">
      <xdr:nvSpPr>
        <xdr:cNvPr id="11" name="CustomShape 1" hidden="1">
          <a:extLst>
            <a:ext uri="{FF2B5EF4-FFF2-40B4-BE49-F238E27FC236}">
              <a16:creationId xmlns:a16="http://schemas.microsoft.com/office/drawing/2014/main" id="{00000000-0008-0000-0700-00000B000000}"/>
            </a:ext>
          </a:extLst>
        </xdr:cNvPr>
        <xdr:cNvSpPr/>
      </xdr:nvSpPr>
      <xdr:spPr>
        <a:xfrm>
          <a:off x="0" y="0"/>
          <a:ext cx="14814360" cy="96670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22</xdr:col>
      <xdr:colOff>806040</xdr:colOff>
      <xdr:row>52</xdr:row>
      <xdr:rowOff>100800</xdr:rowOff>
    </xdr:to>
    <xdr:sp macro="" textlink="">
      <xdr:nvSpPr>
        <xdr:cNvPr id="12" name="CustomShape 1" hidden="1">
          <a:extLst>
            <a:ext uri="{FF2B5EF4-FFF2-40B4-BE49-F238E27FC236}">
              <a16:creationId xmlns:a16="http://schemas.microsoft.com/office/drawing/2014/main" id="{00000000-0008-0000-0700-00000C000000}"/>
            </a:ext>
          </a:extLst>
        </xdr:cNvPr>
        <xdr:cNvSpPr/>
      </xdr:nvSpPr>
      <xdr:spPr>
        <a:xfrm>
          <a:off x="0" y="0"/>
          <a:ext cx="14815800" cy="96688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22</xdr:col>
      <xdr:colOff>806760</xdr:colOff>
      <xdr:row>52</xdr:row>
      <xdr:rowOff>101520</xdr:rowOff>
    </xdr:to>
    <xdr:sp macro="" textlink="">
      <xdr:nvSpPr>
        <xdr:cNvPr id="13" name="CustomShape 1" hidden="1">
          <a:extLst>
            <a:ext uri="{FF2B5EF4-FFF2-40B4-BE49-F238E27FC236}">
              <a16:creationId xmlns:a16="http://schemas.microsoft.com/office/drawing/2014/main" id="{00000000-0008-0000-0700-00000D000000}"/>
            </a:ext>
          </a:extLst>
        </xdr:cNvPr>
        <xdr:cNvSpPr/>
      </xdr:nvSpPr>
      <xdr:spPr>
        <a:xfrm>
          <a:off x="0" y="0"/>
          <a:ext cx="14816520" cy="96696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22</xdr:col>
      <xdr:colOff>807120</xdr:colOff>
      <xdr:row>52</xdr:row>
      <xdr:rowOff>101880</xdr:rowOff>
    </xdr:to>
    <xdr:sp macro="" textlink="">
      <xdr:nvSpPr>
        <xdr:cNvPr id="14" name="CustomShape 1" hidden="1">
          <a:extLst>
            <a:ext uri="{FF2B5EF4-FFF2-40B4-BE49-F238E27FC236}">
              <a16:creationId xmlns:a16="http://schemas.microsoft.com/office/drawing/2014/main" id="{00000000-0008-0000-0700-00000E000000}"/>
            </a:ext>
          </a:extLst>
        </xdr:cNvPr>
        <xdr:cNvSpPr/>
      </xdr:nvSpPr>
      <xdr:spPr>
        <a:xfrm>
          <a:off x="0" y="0"/>
          <a:ext cx="14816880" cy="96699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23</xdr:col>
      <xdr:colOff>1113193</xdr:colOff>
      <xdr:row>53</xdr:row>
      <xdr:rowOff>150120</xdr:rowOff>
    </xdr:to>
    <xdr:sp macro="" textlink="">
      <xdr:nvSpPr>
        <xdr:cNvPr id="15" name="CustomShape 1" hidden="1">
          <a:extLst>
            <a:ext uri="{FF2B5EF4-FFF2-40B4-BE49-F238E27FC236}">
              <a16:creationId xmlns:a16="http://schemas.microsoft.com/office/drawing/2014/main" id="{00000000-0008-0000-0700-00000F000000}"/>
            </a:ext>
          </a:extLst>
        </xdr:cNvPr>
        <xdr:cNvSpPr/>
      </xdr:nvSpPr>
      <xdr:spPr>
        <a:xfrm>
          <a:off x="0" y="0"/>
          <a:ext cx="16851960" cy="9902160"/>
        </a:xfrm>
        <a:prstGeom prst="rect">
          <a:avLst/>
        </a:prstGeom>
        <a:solidFill>
          <a:srgbClr val="FFFFFF"/>
        </a:solidFill>
        <a:ln>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10</xdr:col>
      <xdr:colOff>594360</xdr:colOff>
      <xdr:row>34</xdr:row>
      <xdr:rowOff>99360</xdr:rowOff>
    </xdr:to>
    <xdr:sp macro="" textlink="">
      <xdr:nvSpPr>
        <xdr:cNvPr id="16" name="CustomShape 1" hidden="1">
          <a:extLst>
            <a:ext uri="{FF2B5EF4-FFF2-40B4-BE49-F238E27FC236}">
              <a16:creationId xmlns:a16="http://schemas.microsoft.com/office/drawing/2014/main" id="{00000000-0008-0000-0700-000010000000}"/>
            </a:ext>
          </a:extLst>
        </xdr:cNvPr>
        <xdr:cNvSpPr/>
      </xdr:nvSpPr>
      <xdr:spPr>
        <a:xfrm>
          <a:off x="0" y="0"/>
          <a:ext cx="7006320" cy="63525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166320</xdr:colOff>
      <xdr:row>56</xdr:row>
      <xdr:rowOff>15120</xdr:rowOff>
    </xdr:from>
    <xdr:to>
      <xdr:col>25</xdr:col>
      <xdr:colOff>129240</xdr:colOff>
      <xdr:row>90</xdr:row>
      <xdr:rowOff>91800</xdr:rowOff>
    </xdr:to>
    <xdr:graphicFrame macro="">
      <xdr:nvGraphicFramePr>
        <xdr:cNvPr id="16" name="Graphique 4">
          <a:extLst>
            <a:ext uri="{FF2B5EF4-FFF2-40B4-BE49-F238E27FC236}">
              <a16:creationId xmlns:a16="http://schemas.microsoft.com/office/drawing/2014/main" id="{00000000-0008-0000-0A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25</xdr:col>
      <xdr:colOff>347760</xdr:colOff>
      <xdr:row>56</xdr:row>
      <xdr:rowOff>15120</xdr:rowOff>
    </xdr:from>
    <xdr:to>
      <xdr:col>55</xdr:col>
      <xdr:colOff>310680</xdr:colOff>
      <xdr:row>90</xdr:row>
      <xdr:rowOff>91800</xdr:rowOff>
    </xdr:to>
    <xdr:graphicFrame macro="">
      <xdr:nvGraphicFramePr>
        <xdr:cNvPr id="17" name="Graphique 5">
          <a:extLst>
            <a:ext uri="{FF2B5EF4-FFF2-40B4-BE49-F238E27FC236}">
              <a16:creationId xmlns:a16="http://schemas.microsoft.com/office/drawing/2014/main" id="{00000000-0008-0000-0A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37</xdr:col>
      <xdr:colOff>544320</xdr:colOff>
      <xdr:row>56</xdr:row>
      <xdr:rowOff>45360</xdr:rowOff>
    </xdr:from>
    <xdr:to>
      <xdr:col>59</xdr:col>
      <xdr:colOff>678028</xdr:colOff>
      <xdr:row>90</xdr:row>
      <xdr:rowOff>122040</xdr:rowOff>
    </xdr:to>
    <xdr:graphicFrame macro="">
      <xdr:nvGraphicFramePr>
        <xdr:cNvPr id="18" name="Graphique 6">
          <a:extLst>
            <a:ext uri="{FF2B5EF4-FFF2-40B4-BE49-F238E27FC236}">
              <a16:creationId xmlns:a16="http://schemas.microsoft.com/office/drawing/2014/main" id="{00000000-0008-0000-0A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49</xdr:col>
      <xdr:colOff>665280</xdr:colOff>
      <xdr:row>56</xdr:row>
      <xdr:rowOff>30240</xdr:rowOff>
    </xdr:from>
    <xdr:to>
      <xdr:col>61</xdr:col>
      <xdr:colOff>628199</xdr:colOff>
      <xdr:row>90</xdr:row>
      <xdr:rowOff>106920</xdr:rowOff>
    </xdr:to>
    <xdr:graphicFrame macro="">
      <xdr:nvGraphicFramePr>
        <xdr:cNvPr id="19" name="Graphique 7">
          <a:extLst>
            <a:ext uri="{FF2B5EF4-FFF2-40B4-BE49-F238E27FC236}">
              <a16:creationId xmlns:a16="http://schemas.microsoft.com/office/drawing/2014/main" id="{00000000-0008-0000-0A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105840</xdr:colOff>
      <xdr:row>91</xdr:row>
      <xdr:rowOff>0</xdr:rowOff>
    </xdr:from>
    <xdr:to>
      <xdr:col>13</xdr:col>
      <xdr:colOff>68760</xdr:colOff>
      <xdr:row>125</xdr:row>
      <xdr:rowOff>76680</xdr:rowOff>
    </xdr:to>
    <xdr:graphicFrame macro="">
      <xdr:nvGraphicFramePr>
        <xdr:cNvPr id="20" name="Graphique 8">
          <a:extLst>
            <a:ext uri="{FF2B5EF4-FFF2-40B4-BE49-F238E27FC236}">
              <a16:creationId xmlns:a16="http://schemas.microsoft.com/office/drawing/2014/main" id="{00000000-0008-0000-0A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105840</xdr:colOff>
      <xdr:row>91</xdr:row>
      <xdr:rowOff>0</xdr:rowOff>
    </xdr:from>
    <xdr:to>
      <xdr:col>25</xdr:col>
      <xdr:colOff>68760</xdr:colOff>
      <xdr:row>125</xdr:row>
      <xdr:rowOff>76680</xdr:rowOff>
    </xdr:to>
    <xdr:graphicFrame macro="">
      <xdr:nvGraphicFramePr>
        <xdr:cNvPr id="21" name="Graphique 9">
          <a:extLst>
            <a:ext uri="{FF2B5EF4-FFF2-40B4-BE49-F238E27FC236}">
              <a16:creationId xmlns:a16="http://schemas.microsoft.com/office/drawing/2014/main" id="{00000000-0008-0000-0A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25</xdr:col>
      <xdr:colOff>332640</xdr:colOff>
      <xdr:row>90</xdr:row>
      <xdr:rowOff>136080</xdr:rowOff>
    </xdr:from>
    <xdr:to>
      <xdr:col>55</xdr:col>
      <xdr:colOff>295560</xdr:colOff>
      <xdr:row>125</xdr:row>
      <xdr:rowOff>31320</xdr:rowOff>
    </xdr:to>
    <xdr:graphicFrame macro="">
      <xdr:nvGraphicFramePr>
        <xdr:cNvPr id="22" name="Graphique 10">
          <a:extLst>
            <a:ext uri="{FF2B5EF4-FFF2-40B4-BE49-F238E27FC236}">
              <a16:creationId xmlns:a16="http://schemas.microsoft.com/office/drawing/2014/main" id="{00000000-0008-0000-0A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37</xdr:col>
      <xdr:colOff>529200</xdr:colOff>
      <xdr:row>91</xdr:row>
      <xdr:rowOff>60480</xdr:rowOff>
    </xdr:from>
    <xdr:to>
      <xdr:col>59</xdr:col>
      <xdr:colOff>678028</xdr:colOff>
      <xdr:row>125</xdr:row>
      <xdr:rowOff>137160</xdr:rowOff>
    </xdr:to>
    <xdr:graphicFrame macro="">
      <xdr:nvGraphicFramePr>
        <xdr:cNvPr id="23" name="Graphique 11">
          <a:extLst>
            <a:ext uri="{FF2B5EF4-FFF2-40B4-BE49-F238E27FC236}">
              <a16:creationId xmlns:a16="http://schemas.microsoft.com/office/drawing/2014/main" id="{00000000-0008-0000-0A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79</xdr:col>
      <xdr:colOff>483206</xdr:colOff>
      <xdr:row>4</xdr:row>
      <xdr:rowOff>62177</xdr:rowOff>
    </xdr:from>
    <xdr:to>
      <xdr:col>95</xdr:col>
      <xdr:colOff>164709</xdr:colOff>
      <xdr:row>32</xdr:row>
      <xdr:rowOff>90977</xdr:rowOff>
    </xdr:to>
    <xdr:graphicFrame macro="">
      <xdr:nvGraphicFramePr>
        <xdr:cNvPr id="24" name="Graphique 1">
          <a:extLst>
            <a:ext uri="{FF2B5EF4-FFF2-40B4-BE49-F238E27FC236}">
              <a16:creationId xmlns:a16="http://schemas.microsoft.com/office/drawing/2014/main" id="{00000000-0008-0000-0B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79</xdr:col>
      <xdr:colOff>75600</xdr:colOff>
      <xdr:row>33</xdr:row>
      <xdr:rowOff>60480</xdr:rowOff>
    </xdr:from>
    <xdr:to>
      <xdr:col>94</xdr:col>
      <xdr:colOff>475560</xdr:colOff>
      <xdr:row>62</xdr:row>
      <xdr:rowOff>89280</xdr:rowOff>
    </xdr:to>
    <xdr:graphicFrame macro="">
      <xdr:nvGraphicFramePr>
        <xdr:cNvPr id="25" name="Graphique 2">
          <a:extLst>
            <a:ext uri="{FF2B5EF4-FFF2-40B4-BE49-F238E27FC236}">
              <a16:creationId xmlns:a16="http://schemas.microsoft.com/office/drawing/2014/main" id="{00000000-0008-0000-0B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110520</xdr:colOff>
      <xdr:row>56</xdr:row>
      <xdr:rowOff>27000</xdr:rowOff>
    </xdr:from>
    <xdr:to>
      <xdr:col>31</xdr:col>
      <xdr:colOff>73440</xdr:colOff>
      <xdr:row>90</xdr:row>
      <xdr:rowOff>103680</xdr:rowOff>
    </xdr:to>
    <xdr:graphicFrame macro="">
      <xdr:nvGraphicFramePr>
        <xdr:cNvPr id="26" name="Graphique 3">
          <a:extLst>
            <a:ext uri="{FF2B5EF4-FFF2-40B4-BE49-F238E27FC236}">
              <a16:creationId xmlns:a16="http://schemas.microsoft.com/office/drawing/2014/main" id="{00000000-0008-0000-0B00-00001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236880</xdr:colOff>
      <xdr:row>56</xdr:row>
      <xdr:rowOff>15120</xdr:rowOff>
    </xdr:from>
    <xdr:to>
      <xdr:col>44</xdr:col>
      <xdr:colOff>66600</xdr:colOff>
      <xdr:row>90</xdr:row>
      <xdr:rowOff>91800</xdr:rowOff>
    </xdr:to>
    <xdr:graphicFrame macro="">
      <xdr:nvGraphicFramePr>
        <xdr:cNvPr id="27" name="Graphique 4">
          <a:extLst>
            <a:ext uri="{FF2B5EF4-FFF2-40B4-BE49-F238E27FC236}">
              <a16:creationId xmlns:a16="http://schemas.microsoft.com/office/drawing/2014/main" id="{00000000-0008-0000-0B00-00001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27</xdr:col>
      <xdr:colOff>488880</xdr:colOff>
      <xdr:row>56</xdr:row>
      <xdr:rowOff>15120</xdr:rowOff>
    </xdr:from>
    <xdr:to>
      <xdr:col>41</xdr:col>
      <xdr:colOff>693170</xdr:colOff>
      <xdr:row>90</xdr:row>
      <xdr:rowOff>91800</xdr:rowOff>
    </xdr:to>
    <xdr:graphicFrame macro="">
      <xdr:nvGraphicFramePr>
        <xdr:cNvPr id="28" name="Graphique 5">
          <a:extLst>
            <a:ext uri="{FF2B5EF4-FFF2-40B4-BE49-F238E27FC236}">
              <a16:creationId xmlns:a16="http://schemas.microsoft.com/office/drawing/2014/main" id="{00000000-0008-0000-0B00-00001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39</xdr:col>
      <xdr:colOff>591480</xdr:colOff>
      <xdr:row>56</xdr:row>
      <xdr:rowOff>2160</xdr:rowOff>
    </xdr:from>
    <xdr:to>
      <xdr:col>51</xdr:col>
      <xdr:colOff>554400</xdr:colOff>
      <xdr:row>90</xdr:row>
      <xdr:rowOff>75240</xdr:rowOff>
    </xdr:to>
    <xdr:graphicFrame macro="">
      <xdr:nvGraphicFramePr>
        <xdr:cNvPr id="29" name="Graphique 6">
          <a:extLst>
            <a:ext uri="{FF2B5EF4-FFF2-40B4-BE49-F238E27FC236}">
              <a16:creationId xmlns:a16="http://schemas.microsoft.com/office/drawing/2014/main" id="{00000000-0008-0000-0B00-00001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51</xdr:col>
      <xdr:colOff>688680</xdr:colOff>
      <xdr:row>55</xdr:row>
      <xdr:rowOff>171360</xdr:rowOff>
    </xdr:from>
    <xdr:to>
      <xdr:col>63</xdr:col>
      <xdr:colOff>649424</xdr:colOff>
      <xdr:row>90</xdr:row>
      <xdr:rowOff>60120</xdr:rowOff>
    </xdr:to>
    <xdr:graphicFrame macro="">
      <xdr:nvGraphicFramePr>
        <xdr:cNvPr id="30" name="Graphique 7">
          <a:extLst>
            <a:ext uri="{FF2B5EF4-FFF2-40B4-BE49-F238E27FC236}">
              <a16:creationId xmlns:a16="http://schemas.microsoft.com/office/drawing/2014/main" id="{00000000-0008-0000-0B00-00001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105840</xdr:colOff>
      <xdr:row>91</xdr:row>
      <xdr:rowOff>0</xdr:rowOff>
    </xdr:from>
    <xdr:to>
      <xdr:col>31</xdr:col>
      <xdr:colOff>68760</xdr:colOff>
      <xdr:row>125</xdr:row>
      <xdr:rowOff>76680</xdr:rowOff>
    </xdr:to>
    <xdr:graphicFrame macro="">
      <xdr:nvGraphicFramePr>
        <xdr:cNvPr id="31" name="Graphique 8">
          <a:extLst>
            <a:ext uri="{FF2B5EF4-FFF2-40B4-BE49-F238E27FC236}">
              <a16:creationId xmlns:a16="http://schemas.microsoft.com/office/drawing/2014/main" id="{00000000-0008-0000-0B00-00001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13</xdr:col>
      <xdr:colOff>199800</xdr:colOff>
      <xdr:row>91</xdr:row>
      <xdr:rowOff>47160</xdr:rowOff>
    </xdr:from>
    <xdr:to>
      <xdr:col>44</xdr:col>
      <xdr:colOff>127080</xdr:colOff>
      <xdr:row>125</xdr:row>
      <xdr:rowOff>123840</xdr:rowOff>
    </xdr:to>
    <xdr:graphicFrame macro="">
      <xdr:nvGraphicFramePr>
        <xdr:cNvPr id="32" name="Graphique 9">
          <a:extLst>
            <a:ext uri="{FF2B5EF4-FFF2-40B4-BE49-F238E27FC236}">
              <a16:creationId xmlns:a16="http://schemas.microsoft.com/office/drawing/2014/main" id="{00000000-0008-0000-0B00-00002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27</xdr:col>
      <xdr:colOff>473760</xdr:colOff>
      <xdr:row>91</xdr:row>
      <xdr:rowOff>42120</xdr:rowOff>
    </xdr:from>
    <xdr:to>
      <xdr:col>41</xdr:col>
      <xdr:colOff>693170</xdr:colOff>
      <xdr:row>125</xdr:row>
      <xdr:rowOff>125640</xdr:rowOff>
    </xdr:to>
    <xdr:graphicFrame macro="">
      <xdr:nvGraphicFramePr>
        <xdr:cNvPr id="33" name="Graphique 10">
          <a:extLst>
            <a:ext uri="{FF2B5EF4-FFF2-40B4-BE49-F238E27FC236}">
              <a16:creationId xmlns:a16="http://schemas.microsoft.com/office/drawing/2014/main" id="{00000000-0008-0000-0B00-00002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39</xdr:col>
      <xdr:colOff>552600</xdr:colOff>
      <xdr:row>91</xdr:row>
      <xdr:rowOff>13320</xdr:rowOff>
    </xdr:from>
    <xdr:to>
      <xdr:col>51</xdr:col>
      <xdr:colOff>515520</xdr:colOff>
      <xdr:row>125</xdr:row>
      <xdr:rowOff>90000</xdr:rowOff>
    </xdr:to>
    <xdr:graphicFrame macro="">
      <xdr:nvGraphicFramePr>
        <xdr:cNvPr id="34" name="Graphique 11">
          <a:extLst>
            <a:ext uri="{FF2B5EF4-FFF2-40B4-BE49-F238E27FC236}">
              <a16:creationId xmlns:a16="http://schemas.microsoft.com/office/drawing/2014/main" id="{00000000-0008-0000-0B00-00002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2DD715C\Outil%20PEPIT0_production%20industrielle_ADEME_AME_postenvoiGT.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gwenael.podesta\Downloads\Donnees_historiques_industries_v2.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2DD715C\Outil%20PEPIT0_production%20industrielle_ADEME_AMS.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4_Inventaires%20d'&#233;missions,%20prospective%20et%20&#233;valuation/42_Prospective/421_Sc&#233;narios%20prospectifs%20DGEC/4215_Sc&#233;narios%202023/14-Industrie/42_Hypoth&#232;ses%20run2/Variante%2050%20sites/Donn&#233;es%2050%20sites%20re&#231;u%20D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sp_Evolution Imp ExpNEW"/>
      <sheetName val="Trsp_ParamètresNEW"/>
      <sheetName val="MENU"/>
      <sheetName val="Biblio"/>
      <sheetName val="TDB"/>
      <sheetName val="Liste scenarios"/>
      <sheetName val="Hypo"/>
      <sheetName val="Scenarios"/>
      <sheetName val="TCD résultats"/>
      <sheetName val="Res_bdd"/>
      <sheetName val="Tables_Res_bdd"/>
      <sheetName val="Calcul_hypotheses"/>
      <sheetName val="Carto_2014 "/>
      <sheetName val="Carto 2014 (%)"/>
      <sheetName val="DIF"/>
      <sheetName val="Simul"/>
      <sheetName val="Graphiques_globaux"/>
      <sheetName val="Graphique_par_materiau"/>
      <sheetName val="Graphique_par_usage"/>
      <sheetName val="RES_annuels"/>
      <sheetName val="MatBat"/>
      <sheetName val="MatTP"/>
      <sheetName val="PAP"/>
      <sheetName val="Emballage_Resultats"/>
      <sheetName val="NRJ_Resultats"/>
      <sheetName val="Trsp_Resultats"/>
      <sheetName val="BTP_Resultats"/>
      <sheetName val="NH3"/>
      <sheetName val="Cl2"/>
      <sheetName val="SUC"/>
      <sheetName val="Etat carto"/>
      <sheetName val="Matrice cartographie 2014 (MR)"/>
      <sheetName val="NRJ_RAW ecoinvent"/>
      <sheetName val="NRJ_Bilan matiere"/>
      <sheetName val="Trsp_Evolution Imp Exp"/>
      <sheetName val="Trsp_Bilan matiere"/>
      <sheetName val="Trsp_Bilan Imp Exp"/>
      <sheetName val="Trsp_EUROSTAT 2014"/>
      <sheetName val="Trsp_RAW ecoinvent"/>
      <sheetName val="Listes"/>
      <sheetName val="SnW"/>
      <sheetName val="SourcesAutre"/>
      <sheetName val="Clinker"/>
      <sheetName val="Vérif Clinker"/>
      <sheetName val="SourcesBat"/>
      <sheetName val="SourcesT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ypothèses de calcul"/>
      <sheetName val="Dataset"/>
      <sheetName val="Dataset yearly"/>
      <sheetName val="Sheet3"/>
      <sheetName val="Calculs_intermediaires"/>
      <sheetName val="Segmentation retenue"/>
      <sheetName val="DGEC Conso"/>
      <sheetName val="Odyssee"/>
      <sheetName val="Odyssee data"/>
      <sheetName val="Intro"/>
      <sheetName val="Bilan ENG"/>
      <sheetName val="Calcul_hypotheses"/>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sp_Evolution Imp ExpNEW"/>
      <sheetName val="Trsp_ParamètresNEW"/>
      <sheetName val="MENU"/>
      <sheetName val="Biblio"/>
      <sheetName val="TDB"/>
      <sheetName val="Liste scenarios"/>
      <sheetName val="Hypo"/>
      <sheetName val="Scenarios"/>
      <sheetName val="TCD résultats"/>
      <sheetName val="Res_bdd"/>
      <sheetName val="Tables_Res_bdd"/>
      <sheetName val="Calcul_hypotheses"/>
      <sheetName val="Carto_2014 "/>
      <sheetName val="Carto 2014 (%)"/>
      <sheetName val="DIF"/>
      <sheetName val="Simul"/>
      <sheetName val="Graphiques_globaux"/>
      <sheetName val="Graphique_par_materiau"/>
      <sheetName val="Graphique_par_usage"/>
      <sheetName val="RES_annuels"/>
      <sheetName val="MatBat"/>
      <sheetName val="MatTP"/>
      <sheetName val="PAP"/>
      <sheetName val="Emballage_Resultats"/>
      <sheetName val="NRJ_Resultats"/>
      <sheetName val="Trsp_Resultats"/>
      <sheetName val="BTP_Resultats"/>
      <sheetName val="NH3"/>
      <sheetName val="Cl2"/>
      <sheetName val="SUC"/>
      <sheetName val="Etat carto"/>
      <sheetName val="Matrice cartographie 2014 (MR)"/>
      <sheetName val="NRJ_RAW ecoinvent"/>
      <sheetName val="NRJ_Bilan matiere"/>
      <sheetName val="Trsp_Evolution Imp Exp"/>
      <sheetName val="Trsp_Bilan matiere"/>
      <sheetName val="Trsp_Bilan Imp Exp"/>
      <sheetName val="Trsp_EUROSTAT 2014"/>
      <sheetName val="Trsp_RAW ecoinvent"/>
      <sheetName val="Listes"/>
      <sheetName val="SnW"/>
      <sheetName val="SourcesAutre"/>
      <sheetName val="Clinker"/>
      <sheetName val="Vérif Clinker"/>
      <sheetName val="SourcesBat"/>
      <sheetName val="SourcesT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dérurgie"/>
      <sheetName val="Aluminium"/>
      <sheetName val="Ethylène"/>
      <sheetName val="Ammoniac"/>
      <sheetName val="Clinker"/>
      <sheetName val="Papier"/>
      <sheetName val="Verre"/>
      <sheetName val="Sucre"/>
    </sheetNames>
    <sheetDataSet>
      <sheetData sheetId="0"/>
      <sheetData sheetId="1"/>
      <sheetData sheetId="2"/>
      <sheetData sheetId="3"/>
      <sheetData sheetId="4"/>
      <sheetData sheetId="5"/>
      <sheetData sheetId="6"/>
      <sheetData sheetId="7"/>
    </sheetDataSet>
  </externalBook>
</externalLink>
</file>

<file path=xl/persons/person.xml><?xml version="1.0" encoding="utf-8"?>
<personList xmlns="http://schemas.microsoft.com/office/spreadsheetml/2018/threadedcomments" xmlns:x="http://schemas.openxmlformats.org/spreadsheetml/2006/main">
  <person displayName="Pacco BAILLY" id="{FE3669C1-170D-4B28-8E4B-5BE8E0BD976F}" userId="S::pacco.bailly@enerdata.net::b2f735d3-ce95-41f6-b6e6-277e54b36d6f"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V20" dT="2023-05-26T11:34:54.66" personId="{FE3669C1-170D-4B28-8E4B-5BE8E0BD976F}" id="{3BC5BDDB-9022-4316-8812-7F74E2543C1F}">
    <text>Voir plus bas pour ammoniac Hydrogène</text>
  </threadedComment>
  <threadedComment ref="V74" dT="2023-05-26T11:34:54.66" personId="{FE3669C1-170D-4B28-8E4B-5BE8E0BD976F}" id="{3F0FACC6-B209-4463-80FC-5DC9476CA831}">
    <text>Voir plus bas pour ammoniac Hydrogène</text>
  </threadedComment>
  <threadedComment ref="V126" dT="2023-05-26T11:34:54.66" personId="{FE3669C1-170D-4B28-8E4B-5BE8E0BD976F}" id="{6FADD407-205F-49BB-ABFB-C9B7D83562BB}" done="1">
    <text>Voir plus bas pour ammoniac Hydrogène</text>
  </threadedComment>
  <threadedComment ref="V127" dT="2023-05-26T11:34:54.66" personId="{FE3669C1-170D-4B28-8E4B-5BE8E0BD976F}" id="{46EE618E-0113-465B-8E2F-A09A279821F7}" done="1">
    <text>Voir plus bas pour ammoniac Hydrogène</text>
  </threadedComment>
  <threadedComment ref="V128" dT="2023-05-26T11:34:54.66" personId="{FE3669C1-170D-4B28-8E4B-5BE8E0BD976F}" id="{A2C00942-7FFA-462E-B527-C437AD4361AF}" done="1">
    <text>Voir plus bas pour ammoniac Hydrogène</text>
  </threadedComment>
</ThreadedComments>
</file>

<file path=xl/threadedComments/threadedComment2.xml><?xml version="1.0" encoding="utf-8"?>
<ThreadedComments xmlns="http://schemas.microsoft.com/office/spreadsheetml/2018/threadedcomments" xmlns:x="http://schemas.openxmlformats.org/spreadsheetml/2006/main">
  <threadedComment ref="F87" dT="2023-01-31T14:43:37.19" personId="{FE3669C1-170D-4B28-8E4B-5BE8E0BD976F}" id="{32B31341-B701-4025-8824-10032765DAE8}">
    <text>Modifié, la somme ne faisait pas 100%, j'ai augmenté le gaz et le biofuel</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legifrance.gouv.fr/jorf/id/JORFTEXT000044319595"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mdpi.com/1996-1073/14/16/5152" TargetMode="External"/><Relationship Id="rId1" Type="http://schemas.openxmlformats.org/officeDocument/2006/relationships/hyperlink" Target="https://www.mdpi.com/1996-1073/14/16/5152"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hyperlink" Target="https://www.mdpi.com/1996-1073/14/16/5152"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4:V346"/>
  <sheetViews>
    <sheetView tabSelected="1" topLeftCell="A273" zoomScale="85" zoomScaleNormal="85" workbookViewId="0">
      <selection activeCell="K291" sqref="K291"/>
    </sheetView>
  </sheetViews>
  <sheetFormatPr baseColWidth="10" defaultRowHeight="14.4" x14ac:dyDescent="0.3"/>
  <cols>
    <col min="2" max="2" width="37.33203125" customWidth="1"/>
    <col min="18" max="18" width="13.88671875" customWidth="1"/>
  </cols>
  <sheetData>
    <row r="4" spans="2:19" ht="31.2" x14ac:dyDescent="0.6">
      <c r="B4" s="636" t="s">
        <v>890</v>
      </c>
      <c r="C4" s="636"/>
      <c r="D4" s="636"/>
      <c r="E4" s="636"/>
      <c r="F4" s="636"/>
      <c r="G4" s="636"/>
      <c r="H4" s="636"/>
      <c r="I4" s="636"/>
      <c r="J4" s="636"/>
      <c r="K4" s="636"/>
      <c r="L4" s="636"/>
      <c r="M4" s="636"/>
      <c r="N4" s="636"/>
      <c r="O4" s="636"/>
      <c r="P4" s="636"/>
      <c r="Q4" s="636"/>
      <c r="R4" s="636"/>
      <c r="S4" s="636"/>
    </row>
    <row r="5" spans="2:19" x14ac:dyDescent="0.3">
      <c r="B5" s="426"/>
      <c r="C5" s="426"/>
      <c r="D5" s="426"/>
      <c r="E5" s="426"/>
      <c r="F5" s="426"/>
      <c r="G5" s="426"/>
      <c r="H5" s="426"/>
      <c r="I5" s="426"/>
      <c r="J5" s="426"/>
      <c r="K5" s="426"/>
      <c r="L5" s="426"/>
      <c r="M5" s="426"/>
      <c r="N5" s="426"/>
      <c r="O5" s="426"/>
      <c r="P5" s="426"/>
      <c r="Q5" s="426"/>
      <c r="R5" s="426"/>
      <c r="S5" s="426"/>
    </row>
    <row r="6" spans="2:19" x14ac:dyDescent="0.3">
      <c r="B6" s="426"/>
      <c r="C6" s="426"/>
      <c r="D6" s="426"/>
      <c r="E6" s="426"/>
      <c r="F6" s="426"/>
      <c r="G6" s="426"/>
      <c r="H6" s="426"/>
      <c r="I6" s="426"/>
      <c r="J6" s="426"/>
      <c r="K6" s="426"/>
      <c r="L6" s="426"/>
      <c r="M6" s="426"/>
      <c r="N6" s="426"/>
      <c r="O6" s="426"/>
      <c r="P6" s="426"/>
      <c r="Q6" s="426"/>
      <c r="R6" s="426"/>
      <c r="S6" s="426"/>
    </row>
    <row r="7" spans="2:19" ht="15" thickBot="1" x14ac:dyDescent="0.35">
      <c r="B7" s="587" t="s">
        <v>4</v>
      </c>
      <c r="C7" s="587"/>
      <c r="D7" s="588" t="s">
        <v>44</v>
      </c>
      <c r="E7" s="643" t="s">
        <v>891</v>
      </c>
      <c r="F7" s="644"/>
      <c r="G7" s="644"/>
      <c r="H7" s="644"/>
      <c r="I7" s="644"/>
      <c r="J7" s="644"/>
      <c r="K7" s="644"/>
      <c r="L7" s="644"/>
      <c r="M7" s="645"/>
      <c r="S7" s="426"/>
    </row>
    <row r="8" spans="2:19" x14ac:dyDescent="0.3">
      <c r="B8" s="589" t="s">
        <v>46</v>
      </c>
      <c r="C8" s="590"/>
      <c r="D8" s="591">
        <v>2015</v>
      </c>
      <c r="E8" s="591">
        <v>2019</v>
      </c>
      <c r="F8" s="592">
        <v>2020</v>
      </c>
      <c r="G8" s="592">
        <v>2021</v>
      </c>
      <c r="H8" s="592">
        <v>2025</v>
      </c>
      <c r="I8" s="592">
        <v>2030</v>
      </c>
      <c r="J8" s="592">
        <v>2035</v>
      </c>
      <c r="K8" s="592">
        <v>2040</v>
      </c>
      <c r="L8" s="592">
        <v>2045</v>
      </c>
      <c r="M8" s="593">
        <v>2050</v>
      </c>
      <c r="S8" s="426"/>
    </row>
    <row r="9" spans="2:19" x14ac:dyDescent="0.3">
      <c r="B9" s="594" t="s">
        <v>6</v>
      </c>
      <c r="C9" s="595"/>
      <c r="D9" s="596">
        <f>IGCE!D42</f>
        <v>12.452717393481137</v>
      </c>
      <c r="E9" s="596">
        <f>IGCE!E42</f>
        <v>12.240883970856911</v>
      </c>
      <c r="F9" s="596">
        <f>IGCE!F42</f>
        <v>12.189213733043371</v>
      </c>
      <c r="G9" s="596">
        <f>IGCE!G42</f>
        <v>12.13754349522983</v>
      </c>
      <c r="H9" s="596">
        <f>IGCE!H42</f>
        <v>11.930862543975667</v>
      </c>
      <c r="I9" s="596">
        <f>IGCE!I42</f>
        <v>11.672511354907963</v>
      </c>
      <c r="J9" s="596">
        <f>IGCE!J42</f>
        <v>11.592388797654534</v>
      </c>
      <c r="K9" s="596">
        <f>IGCE!K42</f>
        <v>11.512266240401107</v>
      </c>
      <c r="L9" s="596">
        <f>IGCE!L42</f>
        <v>11.432143683147679</v>
      </c>
      <c r="M9" s="596">
        <f>IGCE!M42</f>
        <v>11.35202112589425</v>
      </c>
      <c r="S9" s="426"/>
    </row>
    <row r="10" spans="2:19" x14ac:dyDescent="0.3">
      <c r="B10" s="594" t="s">
        <v>47</v>
      </c>
      <c r="C10" s="595"/>
      <c r="D10" s="596">
        <f>IGCE!D43</f>
        <v>1.3666520990067765</v>
      </c>
      <c r="E10" s="596">
        <f>IGCE!E43</f>
        <v>1.4419885947101772</v>
      </c>
      <c r="F10" s="596">
        <f>IGCE!F43</f>
        <v>1.4608831071891226</v>
      </c>
      <c r="G10" s="596">
        <f>IGCE!G43</f>
        <v>1.4797776196680679</v>
      </c>
      <c r="H10" s="596">
        <f>IGCE!H43</f>
        <v>1.5553556695838495</v>
      </c>
      <c r="I10" s="596">
        <f>IGCE!I43</f>
        <v>1.6498282319785766</v>
      </c>
      <c r="J10" s="596">
        <f>IGCE!J43</f>
        <v>1.802221022110627</v>
      </c>
      <c r="K10" s="596">
        <f>IGCE!K43</f>
        <v>1.9546138122426775</v>
      </c>
      <c r="L10" s="596">
        <f>IGCE!L43</f>
        <v>2.107006602374728</v>
      </c>
      <c r="M10" s="596">
        <f>IGCE!M43</f>
        <v>2.2593993925067783</v>
      </c>
      <c r="S10" s="426"/>
    </row>
    <row r="11" spans="2:19" x14ac:dyDescent="0.3">
      <c r="B11" s="594" t="s">
        <v>16</v>
      </c>
      <c r="C11" s="595"/>
      <c r="D11" s="596">
        <f>IGCE!D44</f>
        <v>4.9308939854919993</v>
      </c>
      <c r="E11" s="596">
        <f>IGCE!E44</f>
        <v>4.8770763930889212</v>
      </c>
      <c r="F11" s="596">
        <f>IGCE!F44</f>
        <v>4.856072182072058</v>
      </c>
      <c r="G11" s="596">
        <f>IGCE!G44</f>
        <v>4.8350679710551949</v>
      </c>
      <c r="H11" s="596">
        <f>IGCE!H44</f>
        <v>4.7510511269877425</v>
      </c>
      <c r="I11" s="596">
        <f>IGCE!I44</f>
        <v>4.6460300719034269</v>
      </c>
      <c r="J11" s="596">
        <f>IGCE!J44</f>
        <v>4.3485869270240514</v>
      </c>
      <c r="K11" s="596">
        <f>IGCE!K44</f>
        <v>4.0511437821446759</v>
      </c>
      <c r="L11" s="596">
        <f>IGCE!L44</f>
        <v>3.7537006372652995</v>
      </c>
      <c r="M11" s="596">
        <f>IGCE!M44</f>
        <v>3.4562574923859239</v>
      </c>
      <c r="S11" s="426"/>
    </row>
    <row r="12" spans="2:19" x14ac:dyDescent="0.3">
      <c r="B12" s="594" t="s">
        <v>15</v>
      </c>
      <c r="C12" s="595"/>
      <c r="D12" s="596">
        <f>IGCE!D45</f>
        <v>13.307546795161608</v>
      </c>
      <c r="E12" s="596">
        <f>IGCE!E45</f>
        <v>12.468566412261648</v>
      </c>
      <c r="F12" s="596">
        <f>IGCE!F45</f>
        <v>12.251610951549708</v>
      </c>
      <c r="G12" s="596">
        <f>IGCE!G45</f>
        <v>12.034655490837768</v>
      </c>
      <c r="H12" s="596">
        <f>IGCE!H45</f>
        <v>11.166833647990007</v>
      </c>
      <c r="I12" s="596">
        <f>IGCE!I45</f>
        <v>10.082056344430306</v>
      </c>
      <c r="J12" s="596">
        <f>IGCE!J45</f>
        <v>9.4886313637104109</v>
      </c>
      <c r="K12" s="596">
        <f>IGCE!K45</f>
        <v>8.8952063829905139</v>
      </c>
      <c r="L12" s="596">
        <f>IGCE!L45</f>
        <v>8.3017814022706187</v>
      </c>
      <c r="M12" s="596">
        <f>IGCE!M45</f>
        <v>7.7083564215507225</v>
      </c>
      <c r="S12" s="426"/>
    </row>
    <row r="13" spans="2:19" x14ac:dyDescent="0.3">
      <c r="B13" s="594" t="s">
        <v>49</v>
      </c>
      <c r="C13" s="595"/>
      <c r="D13" s="596">
        <f>IGCE!D46</f>
        <v>2.1547622741316497</v>
      </c>
      <c r="E13" s="596">
        <f>IGCE!E46</f>
        <v>2.1062658179313196</v>
      </c>
      <c r="F13" s="596">
        <f>IGCE!F46</f>
        <v>2.0891687870070634</v>
      </c>
      <c r="G13" s="596">
        <f>IGCE!G46</f>
        <v>2.0720717560828068</v>
      </c>
      <c r="H13" s="596">
        <f>IGCE!H46</f>
        <v>2.0036836323857816</v>
      </c>
      <c r="I13" s="596">
        <f>IGCE!I46</f>
        <v>1.9181984777644996</v>
      </c>
      <c r="J13" s="596">
        <f>IGCE!J46</f>
        <v>1.7642274537206704</v>
      </c>
      <c r="K13" s="596">
        <f>IGCE!K46</f>
        <v>1.6102564296768413</v>
      </c>
      <c r="L13" s="596">
        <f>IGCE!L46</f>
        <v>1.4562854056330123</v>
      </c>
      <c r="M13" s="596">
        <f>IGCE!M46</f>
        <v>1.3023143815891831</v>
      </c>
      <c r="S13" s="426"/>
    </row>
    <row r="14" spans="2:19" x14ac:dyDescent="0.3">
      <c r="B14" s="594" t="s">
        <v>50</v>
      </c>
      <c r="C14" s="595"/>
      <c r="D14" s="596">
        <f>IGCE!D47</f>
        <v>1.1275837860370581</v>
      </c>
      <c r="E14" s="596">
        <f>IGCE!E47</f>
        <v>1.1070517570887721</v>
      </c>
      <c r="F14" s="596">
        <f>IGCE!F47</f>
        <v>1.0992267632153407</v>
      </c>
      <c r="G14" s="596">
        <f>IGCE!G47</f>
        <v>1.0914017693419096</v>
      </c>
      <c r="H14" s="596">
        <f>IGCE!H47</f>
        <v>1.0601017938481843</v>
      </c>
      <c r="I14" s="596">
        <f>IGCE!I47</f>
        <v>1.0209768244810276</v>
      </c>
      <c r="J14" s="596">
        <f>IGCE!J47</f>
        <v>0.98722775039299981</v>
      </c>
      <c r="K14" s="596">
        <f>IGCE!K47</f>
        <v>0.95347867630497196</v>
      </c>
      <c r="L14" s="596">
        <f>IGCE!L47</f>
        <v>0.91972960221694411</v>
      </c>
      <c r="M14" s="596">
        <f>IGCE!M47</f>
        <v>0.88598052812891637</v>
      </c>
      <c r="S14" s="426"/>
    </row>
    <row r="15" spans="2:19" x14ac:dyDescent="0.3">
      <c r="B15" s="594" t="s">
        <v>12</v>
      </c>
      <c r="C15" s="595"/>
      <c r="D15" s="596">
        <f>IGCE!D48</f>
        <v>3.2018183148017663</v>
      </c>
      <c r="E15" s="596">
        <f>IGCE!E48</f>
        <v>3.1799100639803037</v>
      </c>
      <c r="F15" s="596">
        <f>IGCE!F48</f>
        <v>3.0946419321870788</v>
      </c>
      <c r="G15" s="596">
        <f>IGCE!G48</f>
        <v>3.0093738003938544</v>
      </c>
      <c r="H15" s="596">
        <f>IGCE!H48</f>
        <v>2.6683012732209552</v>
      </c>
      <c r="I15" s="596">
        <f>IGCE!I48</f>
        <v>2.2419606142548312</v>
      </c>
      <c r="J15" s="596">
        <f>IGCE!J48</f>
        <v>2.097622824035354</v>
      </c>
      <c r="K15" s="596">
        <f>IGCE!K48</f>
        <v>1.9532850338158774</v>
      </c>
      <c r="L15" s="596">
        <f>IGCE!L48</f>
        <v>1.8089472435964005</v>
      </c>
      <c r="M15" s="596">
        <f>IGCE!M48</f>
        <v>1.6646094533769236</v>
      </c>
      <c r="S15" s="426"/>
    </row>
    <row r="16" spans="2:19" x14ac:dyDescent="0.3">
      <c r="B16" s="594" t="s">
        <v>51</v>
      </c>
      <c r="C16" s="595"/>
      <c r="D16" s="596">
        <f>IGCE!D49</f>
        <v>8.3467850000000006</v>
      </c>
      <c r="E16" s="596">
        <f>IGCE!E49</f>
        <v>8.7020144402068809</v>
      </c>
      <c r="F16" s="596">
        <f>IGCE!F49</f>
        <v>8.7503332490628338</v>
      </c>
      <c r="G16" s="596">
        <f>IGCE!G49</f>
        <v>8.7986520579187868</v>
      </c>
      <c r="H16" s="596">
        <f>IGCE!H49</f>
        <v>8.9919272933426004</v>
      </c>
      <c r="I16" s="596">
        <f>IGCE!I49</f>
        <v>9.233521337622367</v>
      </c>
      <c r="J16" s="596">
        <f>IGCE!J49</f>
        <v>9.5397951991354084</v>
      </c>
      <c r="K16" s="596">
        <f>IGCE!K49</f>
        <v>9.8460690606484498</v>
      </c>
      <c r="L16" s="596">
        <f>IGCE!L49</f>
        <v>10.152342922161491</v>
      </c>
      <c r="M16" s="596">
        <f>IGCE!M49</f>
        <v>10.458616783674533</v>
      </c>
      <c r="S16" s="426"/>
    </row>
    <row r="17" spans="2:22" x14ac:dyDescent="0.3">
      <c r="B17" s="594" t="s">
        <v>18</v>
      </c>
      <c r="C17" s="595"/>
      <c r="D17" s="596">
        <f>IGCE!D50</f>
        <v>3.7597692307692299</v>
      </c>
      <c r="E17" s="596">
        <f>IGCE!E50</f>
        <v>3.7715222059604399</v>
      </c>
      <c r="F17" s="596">
        <f>IGCE!F50</f>
        <v>3.7657543826196731</v>
      </c>
      <c r="G17" s="596">
        <f>IGCE!G50</f>
        <v>3.7599865592789063</v>
      </c>
      <c r="H17" s="596">
        <f>IGCE!H50</f>
        <v>3.7369152659158398</v>
      </c>
      <c r="I17" s="596">
        <f>IGCE!I50</f>
        <v>3.7080761492120065</v>
      </c>
      <c r="J17" s="596">
        <f>IGCE!J50</f>
        <v>3.6038129488337378</v>
      </c>
      <c r="K17" s="596">
        <f>IGCE!K50</f>
        <v>3.4995497484554692</v>
      </c>
      <c r="L17" s="596">
        <f>IGCE!L50</f>
        <v>3.3952865480772005</v>
      </c>
      <c r="M17" s="596">
        <f>IGCE!M50</f>
        <v>3.2910233476989319</v>
      </c>
      <c r="S17" s="426"/>
    </row>
    <row r="18" spans="2:22" ht="15" thickBot="1" x14ac:dyDescent="0.35">
      <c r="B18" s="597" t="s">
        <v>52</v>
      </c>
      <c r="C18" s="598"/>
      <c r="D18" s="596">
        <f>IGCE!D51</f>
        <v>50.648528878881216</v>
      </c>
      <c r="E18" s="596">
        <f>IGCE!E51</f>
        <v>49.895279656085364</v>
      </c>
      <c r="F18" s="596">
        <f>IGCE!F51</f>
        <v>49.556905087946255</v>
      </c>
      <c r="G18" s="596">
        <f>IGCE!G51</f>
        <v>49.218530519807125</v>
      </c>
      <c r="H18" s="596">
        <f>IGCE!H51</f>
        <v>47.865032247250625</v>
      </c>
      <c r="I18" s="596">
        <f>IGCE!I51</f>
        <v>46.173159406555001</v>
      </c>
      <c r="J18" s="596">
        <f>IGCE!J51</f>
        <v>45.22451428661779</v>
      </c>
      <c r="K18" s="596">
        <f>IGCE!K51</f>
        <v>44.275869166680586</v>
      </c>
      <c r="L18" s="596">
        <f>IGCE!L51</f>
        <v>43.327224046743375</v>
      </c>
      <c r="M18" s="596">
        <f>IGCE!M51</f>
        <v>42.378578926806163</v>
      </c>
      <c r="S18" s="426"/>
    </row>
    <row r="19" spans="2:22" x14ac:dyDescent="0.3">
      <c r="B19" s="426"/>
      <c r="C19" s="426"/>
      <c r="D19" s="426"/>
      <c r="E19" s="426"/>
      <c r="F19" s="426"/>
      <c r="G19" s="426"/>
      <c r="H19" s="426"/>
      <c r="I19" s="426"/>
      <c r="J19" s="426"/>
      <c r="K19" s="426"/>
      <c r="L19" s="426"/>
      <c r="M19" s="426"/>
      <c r="N19" s="426"/>
      <c r="O19" s="426"/>
      <c r="P19" s="426"/>
      <c r="Q19" s="426"/>
      <c r="R19" s="426"/>
      <c r="S19" s="426"/>
    </row>
    <row r="20" spans="2:22" x14ac:dyDescent="0.3">
      <c r="B20" s="426"/>
      <c r="C20" s="426"/>
      <c r="D20" s="426"/>
      <c r="E20" s="426"/>
      <c r="F20" s="426"/>
      <c r="G20" s="426"/>
      <c r="H20" s="426"/>
      <c r="I20" s="426"/>
      <c r="J20" s="426"/>
      <c r="K20" s="426"/>
      <c r="L20" s="426"/>
      <c r="M20" s="426"/>
      <c r="N20" s="426"/>
      <c r="O20" s="426"/>
      <c r="P20" s="426"/>
      <c r="Q20" s="426"/>
      <c r="R20" s="426"/>
      <c r="S20" s="426"/>
    </row>
    <row r="21" spans="2:22" x14ac:dyDescent="0.3">
      <c r="B21" s="426"/>
      <c r="C21" s="426"/>
      <c r="D21" s="426"/>
      <c r="E21" s="426"/>
      <c r="F21" s="426"/>
      <c r="G21" s="426"/>
      <c r="H21" s="426"/>
      <c r="I21" s="426"/>
      <c r="J21" s="426"/>
      <c r="K21" s="426"/>
      <c r="L21" s="426"/>
      <c r="M21" s="426"/>
      <c r="N21" s="426"/>
      <c r="O21" s="426"/>
      <c r="P21" s="426"/>
      <c r="Q21" s="426"/>
      <c r="R21" s="426"/>
      <c r="S21" s="426"/>
    </row>
    <row r="22" spans="2:22" x14ac:dyDescent="0.3">
      <c r="B22" s="637" t="s">
        <v>878</v>
      </c>
      <c r="C22" s="637"/>
      <c r="D22" s="637"/>
      <c r="E22" s="637"/>
      <c r="F22" s="637"/>
      <c r="G22" s="637"/>
      <c r="H22" s="637"/>
      <c r="I22" s="637"/>
      <c r="J22" s="637"/>
      <c r="K22" s="637"/>
      <c r="L22" s="637"/>
      <c r="M22" s="637"/>
      <c r="N22" s="637"/>
      <c r="O22" s="637"/>
      <c r="P22" s="637"/>
      <c r="Q22" s="637"/>
      <c r="R22" s="637"/>
      <c r="S22" s="637"/>
    </row>
    <row r="23" spans="2:22" x14ac:dyDescent="0.3">
      <c r="B23" s="426"/>
      <c r="C23" s="426"/>
      <c r="D23" s="426"/>
      <c r="E23" s="426"/>
      <c r="F23" s="426"/>
      <c r="G23" s="426"/>
      <c r="H23" s="426"/>
      <c r="I23" s="426"/>
      <c r="J23" s="426"/>
      <c r="K23" s="426"/>
      <c r="L23" s="426"/>
      <c r="M23" s="426"/>
      <c r="N23" s="426"/>
      <c r="O23" s="426"/>
      <c r="P23" s="426"/>
      <c r="Q23" s="426"/>
      <c r="R23" s="426"/>
      <c r="S23" s="426"/>
    </row>
    <row r="24" spans="2:22" ht="15" thickBot="1" x14ac:dyDescent="0.35">
      <c r="B24" s="426"/>
      <c r="C24" s="426"/>
      <c r="D24" s="426"/>
      <c r="E24" s="426"/>
      <c r="F24" s="426"/>
      <c r="G24" s="426"/>
      <c r="H24" s="426"/>
      <c r="I24" s="426"/>
      <c r="J24" s="426"/>
      <c r="K24" s="426"/>
      <c r="L24" s="426"/>
      <c r="M24" s="426"/>
      <c r="N24" s="426"/>
      <c r="O24" s="426"/>
      <c r="P24" s="426"/>
      <c r="Q24" s="426"/>
      <c r="R24" s="426"/>
      <c r="S24" s="426"/>
    </row>
    <row r="25" spans="2:22" ht="15" thickBot="1" x14ac:dyDescent="0.35">
      <c r="M25" s="587" t="s">
        <v>4</v>
      </c>
      <c r="N25" s="587" t="s">
        <v>56</v>
      </c>
      <c r="O25" s="610" t="s">
        <v>73</v>
      </c>
      <c r="P25" s="611"/>
      <c r="Q25" s="612" t="s">
        <v>74</v>
      </c>
      <c r="R25" s="612" t="s">
        <v>74</v>
      </c>
      <c r="S25" s="612" t="s">
        <v>74</v>
      </c>
      <c r="T25" s="612" t="s">
        <v>74</v>
      </c>
      <c r="U25" s="612" t="s">
        <v>74</v>
      </c>
      <c r="V25" s="612" t="s">
        <v>74</v>
      </c>
    </row>
    <row r="26" spans="2:22" x14ac:dyDescent="0.3">
      <c r="B26" s="38" t="s">
        <v>4</v>
      </c>
      <c r="C26" s="38" t="s">
        <v>56</v>
      </c>
      <c r="D26" s="96" t="s">
        <v>73</v>
      </c>
      <c r="E26" s="410"/>
      <c r="F26" s="97" t="s">
        <v>74</v>
      </c>
      <c r="G26" s="97" t="s">
        <v>74</v>
      </c>
      <c r="H26" s="97" t="s">
        <v>74</v>
      </c>
      <c r="I26" s="97" t="s">
        <v>74</v>
      </c>
      <c r="J26" s="97" t="s">
        <v>74</v>
      </c>
      <c r="K26" s="98" t="s">
        <v>74</v>
      </c>
      <c r="M26" s="613" t="s">
        <v>5</v>
      </c>
      <c r="N26" s="588">
        <v>2019</v>
      </c>
      <c r="O26" s="614">
        <v>2020</v>
      </c>
      <c r="P26" s="615">
        <v>2021</v>
      </c>
      <c r="Q26" s="588">
        <v>2025</v>
      </c>
      <c r="R26" s="588">
        <v>2030</v>
      </c>
      <c r="S26" s="588">
        <v>2035</v>
      </c>
      <c r="T26" s="588">
        <v>2040</v>
      </c>
      <c r="U26" s="588">
        <v>2045</v>
      </c>
      <c r="V26" s="616">
        <v>2050</v>
      </c>
    </row>
    <row r="27" spans="2:22" x14ac:dyDescent="0.3">
      <c r="B27" s="79" t="s">
        <v>59</v>
      </c>
      <c r="C27" s="55">
        <v>2019</v>
      </c>
      <c r="D27" s="82">
        <v>2020</v>
      </c>
      <c r="E27" s="411">
        <v>2021</v>
      </c>
      <c r="F27" s="55">
        <v>2025</v>
      </c>
      <c r="G27" s="55">
        <v>2030</v>
      </c>
      <c r="H27" s="55">
        <v>2035</v>
      </c>
      <c r="I27" s="55">
        <v>2040</v>
      </c>
      <c r="J27" s="55">
        <v>2045</v>
      </c>
      <c r="K27" s="83">
        <v>2050</v>
      </c>
      <c r="M27" s="617" t="s">
        <v>6</v>
      </c>
      <c r="N27" s="618">
        <f>IGCE!C120</f>
        <v>14.589999999999998</v>
      </c>
      <c r="O27" s="618">
        <f>IGCE!D120</f>
        <v>11.563623465706071</v>
      </c>
      <c r="P27" s="618">
        <f>IGCE!E120</f>
        <v>13.480241554935503</v>
      </c>
      <c r="Q27" s="618">
        <f>IGCE!F120</f>
        <v>15.177779598327399</v>
      </c>
      <c r="R27" s="618">
        <f>IGCE!G120</f>
        <v>15.057539647831272</v>
      </c>
      <c r="S27" s="618">
        <f>IGCE!H120</f>
        <v>15.118732156262196</v>
      </c>
      <c r="T27" s="618">
        <f>IGCE!I120</f>
        <v>15.244137487837913</v>
      </c>
      <c r="U27" s="618">
        <f>IGCE!J120</f>
        <v>15.204751098586414</v>
      </c>
      <c r="V27" s="618">
        <f>IGCE!K120</f>
        <v>15.325228519957239</v>
      </c>
    </row>
    <row r="28" spans="2:22" x14ac:dyDescent="0.3">
      <c r="B28" s="79" t="s">
        <v>6</v>
      </c>
      <c r="C28" s="85">
        <v>1.1919073846901793</v>
      </c>
      <c r="D28" s="84">
        <v>0.94867673329565083</v>
      </c>
      <c r="E28" s="84">
        <v>1.1106235425836675</v>
      </c>
      <c r="F28" s="599">
        <v>1.2721443686392331</v>
      </c>
      <c r="G28" s="599">
        <v>1.29</v>
      </c>
      <c r="H28" s="599">
        <v>1.3041947108710794</v>
      </c>
      <c r="I28" s="599">
        <v>1.3241647795062443</v>
      </c>
      <c r="J28" s="599">
        <v>1.33</v>
      </c>
      <c r="K28" s="600">
        <v>1.35</v>
      </c>
      <c r="M28" s="617" t="s">
        <v>7</v>
      </c>
      <c r="N28" s="618">
        <f>IGCE!C121</f>
        <v>10.130000000000001</v>
      </c>
      <c r="O28" s="618">
        <f>IGCE!D121</f>
        <v>7.8520894456520081</v>
      </c>
      <c r="P28" s="618">
        <f>IGCE!E121</f>
        <v>8.8972381493142478</v>
      </c>
      <c r="Q28" s="618">
        <f>IGCE!F121</f>
        <v>8.795768322774105</v>
      </c>
      <c r="R28" s="618">
        <f>IGCE!G121</f>
        <v>5.2457955214314094</v>
      </c>
      <c r="S28" s="618">
        <f>IGCE!H121</f>
        <v>3.2393509847532673</v>
      </c>
      <c r="T28" s="618">
        <f>IGCE!I121</f>
        <v>3.3035465711551231</v>
      </c>
      <c r="U28" s="618">
        <f>IGCE!J121</f>
        <v>0</v>
      </c>
      <c r="V28" s="618">
        <f>IGCE!K121</f>
        <v>0</v>
      </c>
    </row>
    <row r="29" spans="2:22" x14ac:dyDescent="0.3">
      <c r="B29" s="79" t="s">
        <v>63</v>
      </c>
      <c r="C29" s="85">
        <v>0.61997716436840722</v>
      </c>
      <c r="D29" s="84">
        <v>0.54881970665898772</v>
      </c>
      <c r="E29" s="84">
        <v>0.53966357158704892</v>
      </c>
      <c r="F29" s="601">
        <v>0.64</v>
      </c>
      <c r="G29" s="601">
        <v>0.68</v>
      </c>
      <c r="H29" s="588">
        <v>0.72250000000000003</v>
      </c>
      <c r="I29" s="588">
        <v>0.76500000000000001</v>
      </c>
      <c r="J29" s="588">
        <v>0.8075</v>
      </c>
      <c r="K29" s="602">
        <v>0.85</v>
      </c>
      <c r="M29" s="617" t="s">
        <v>8</v>
      </c>
      <c r="N29" s="618">
        <f>IGCE!C122</f>
        <v>4.4599999999999973</v>
      </c>
      <c r="O29" s="618">
        <f>IGCE!D122</f>
        <v>3.7115340200540627</v>
      </c>
      <c r="P29" s="618">
        <f>IGCE!E122</f>
        <v>4.5830034056212554</v>
      </c>
      <c r="Q29" s="618">
        <f>IGCE!F122</f>
        <v>5.7820112755532946</v>
      </c>
      <c r="R29" s="618">
        <f>IGCE!G122</f>
        <v>6.8117441263998622</v>
      </c>
      <c r="S29" s="618">
        <f>IGCE!H122</f>
        <v>7.3793811715089284</v>
      </c>
      <c r="T29" s="618">
        <f>IGCE!I122</f>
        <v>7.4405909166827904</v>
      </c>
      <c r="U29" s="618">
        <f>IGCE!J122</f>
        <v>9.2047510985864136</v>
      </c>
      <c r="V29" s="618">
        <f>IGCE!K122</f>
        <v>9.3252285199572391</v>
      </c>
    </row>
    <row r="30" spans="2:22" x14ac:dyDescent="0.3">
      <c r="B30" s="79" t="s">
        <v>65</v>
      </c>
      <c r="C30" s="85">
        <v>1.0378097667487052</v>
      </c>
      <c r="D30" s="84">
        <v>0.95281779259400756</v>
      </c>
      <c r="E30" s="84">
        <v>0.99876592206254966</v>
      </c>
      <c r="F30" s="599">
        <v>1.1000000000000001</v>
      </c>
      <c r="G30" s="599">
        <v>1.21</v>
      </c>
      <c r="H30" s="599">
        <v>1.24</v>
      </c>
      <c r="I30" s="599">
        <v>1.24</v>
      </c>
      <c r="J30" s="599">
        <v>1.24</v>
      </c>
      <c r="K30" s="600">
        <v>1.24</v>
      </c>
      <c r="M30" s="617" t="s">
        <v>38</v>
      </c>
      <c r="N30" s="618">
        <f>IGCE!C123</f>
        <v>0</v>
      </c>
      <c r="O30" s="618">
        <f>IGCE!D123</f>
        <v>0</v>
      </c>
      <c r="P30" s="618">
        <f>IGCE!E123</f>
        <v>0</v>
      </c>
      <c r="Q30" s="618">
        <f>IGCE!F123</f>
        <v>0.6</v>
      </c>
      <c r="R30" s="618">
        <f>IGCE!G123</f>
        <v>3</v>
      </c>
      <c r="S30" s="618">
        <f>IGCE!H123</f>
        <v>4.5</v>
      </c>
      <c r="T30" s="618">
        <f>IGCE!I123</f>
        <v>4.5</v>
      </c>
      <c r="U30" s="618">
        <f>IGCE!J123</f>
        <v>6</v>
      </c>
      <c r="V30" s="618">
        <f>IGCE!K123</f>
        <v>6</v>
      </c>
    </row>
    <row r="31" spans="2:22" x14ac:dyDescent="0.3">
      <c r="B31" s="79" t="s">
        <v>67</v>
      </c>
      <c r="C31" s="85">
        <v>1.1681449890908295</v>
      </c>
      <c r="D31" s="84">
        <v>1.0333737169648318</v>
      </c>
      <c r="E31" s="84">
        <v>1.1594131211799912</v>
      </c>
      <c r="F31" s="599">
        <v>1.1681449890908295</v>
      </c>
      <c r="G31" s="599">
        <v>1.1681449890908295</v>
      </c>
      <c r="H31" s="599">
        <v>1.1681449890908295</v>
      </c>
      <c r="I31" s="599">
        <v>1.1681449890908295</v>
      </c>
      <c r="J31" s="599">
        <v>1.1681449890908295</v>
      </c>
      <c r="K31" s="600">
        <v>1.1681449890908295</v>
      </c>
      <c r="M31" s="617" t="s">
        <v>10</v>
      </c>
      <c r="N31" s="618">
        <f>IGCE!C124</f>
        <v>0.89400000000000002</v>
      </c>
      <c r="O31" s="618">
        <f>IGCE!D124</f>
        <v>0.80176143835060476</v>
      </c>
      <c r="P31" s="618">
        <f>IGCE!E124</f>
        <v>0.7985820753846512</v>
      </c>
      <c r="Q31" s="618">
        <f>IGCE!F124</f>
        <v>0.99542762853366373</v>
      </c>
      <c r="R31" s="618">
        <f>IGCE!G124</f>
        <v>1.1218831977454322</v>
      </c>
      <c r="S31" s="618">
        <f>IGCE!H124</f>
        <v>1.3021046884749281</v>
      </c>
      <c r="T31" s="618">
        <f>IGCE!I124</f>
        <v>1.4952795663656484</v>
      </c>
      <c r="U31" s="618">
        <f>IGCE!J124</f>
        <v>1.7014078314175929</v>
      </c>
      <c r="V31" s="618">
        <f>IGCE!K124</f>
        <v>1.9204894836307616</v>
      </c>
    </row>
    <row r="32" spans="2:22" x14ac:dyDescent="0.3">
      <c r="B32" s="79" t="s">
        <v>69</v>
      </c>
      <c r="C32" s="85">
        <v>0.50800805429720464</v>
      </c>
      <c r="D32" s="84">
        <v>0.47838016166090164</v>
      </c>
      <c r="E32" s="84">
        <v>0.44179116777546801</v>
      </c>
      <c r="F32" s="601">
        <v>0.6</v>
      </c>
      <c r="G32" s="601">
        <v>0.65</v>
      </c>
      <c r="H32" s="588">
        <v>0.6875</v>
      </c>
      <c r="I32" s="588">
        <v>0.72500000000000009</v>
      </c>
      <c r="J32" s="588">
        <v>0.76250000000000007</v>
      </c>
      <c r="K32" s="602">
        <v>0.8</v>
      </c>
      <c r="M32" s="619" t="s">
        <v>40</v>
      </c>
      <c r="N32" s="618">
        <f>IGCE!C125</f>
        <v>0.47600000000000037</v>
      </c>
      <c r="O32" s="618">
        <f>IGCE!D125</f>
        <v>0.42688864055356612</v>
      </c>
      <c r="P32" s="618">
        <f>IGCE!E125</f>
        <v>0.42519582537258865</v>
      </c>
      <c r="Q32" s="618">
        <f>IGCE!F125</f>
        <v>0.56363027467979954</v>
      </c>
      <c r="R32" s="618">
        <f>IGCE!G125</f>
        <v>0.67312991864725935</v>
      </c>
      <c r="S32" s="618">
        <f>IGCE!H125</f>
        <v>0.81381543029683012</v>
      </c>
      <c r="T32" s="618">
        <f>IGCE!I125</f>
        <v>0.97193171813767132</v>
      </c>
      <c r="U32" s="618">
        <f>IGCE!J125</f>
        <v>1.1484502862068751</v>
      </c>
      <c r="V32" s="618">
        <f>IGCE!K125</f>
        <v>1.3443426385415329</v>
      </c>
    </row>
    <row r="33" spans="2:22" x14ac:dyDescent="0.3">
      <c r="B33" s="79" t="s">
        <v>13</v>
      </c>
      <c r="C33" s="85">
        <v>1.1000000000000001</v>
      </c>
      <c r="D33" s="84">
        <v>1.1000000000000001</v>
      </c>
      <c r="E33" s="84">
        <v>1.1000000000000001</v>
      </c>
      <c r="F33" s="603">
        <f>E33</f>
        <v>1.1000000000000001</v>
      </c>
      <c r="G33" s="603">
        <f t="shared" ref="G33:J33" si="0">F33</f>
        <v>1.1000000000000001</v>
      </c>
      <c r="H33" s="603">
        <f t="shared" si="0"/>
        <v>1.1000000000000001</v>
      </c>
      <c r="I33" s="603">
        <f t="shared" si="0"/>
        <v>1.1000000000000001</v>
      </c>
      <c r="J33" s="603">
        <f t="shared" si="0"/>
        <v>1.1000000000000001</v>
      </c>
      <c r="K33" s="603">
        <v>1.1299999999999999</v>
      </c>
      <c r="M33" s="617" t="s">
        <v>12</v>
      </c>
      <c r="N33" s="618">
        <f>IGCE!C126</f>
        <v>2.34</v>
      </c>
      <c r="O33" s="618">
        <f>IGCE!D126</f>
        <v>2.2766573347007362</v>
      </c>
      <c r="P33" s="618">
        <f>IGCE!E126</f>
        <v>2.3280007112104277</v>
      </c>
      <c r="Q33" s="618">
        <f>IGCE!F126</f>
        <v>2.2146900567733927</v>
      </c>
      <c r="R33" s="618">
        <f>IGCE!G126</f>
        <v>2.0626037651144449</v>
      </c>
      <c r="S33" s="618">
        <f>IGCE!H126</f>
        <v>2.0137179110739396</v>
      </c>
      <c r="T33" s="618">
        <f>IGCE!I126</f>
        <v>1.9337521834777185</v>
      </c>
      <c r="U33" s="618">
        <f>IGCE!J126</f>
        <v>1.8089472435964005</v>
      </c>
      <c r="V33" s="618">
        <f>IGCE!K126</f>
        <v>1.764486020579539</v>
      </c>
    </row>
    <row r="34" spans="2:22" x14ac:dyDescent="0.3">
      <c r="B34" s="79" t="s">
        <v>12</v>
      </c>
      <c r="C34" s="85">
        <v>0.73586986830407852</v>
      </c>
      <c r="D34" s="84">
        <v>0.73567714281301433</v>
      </c>
      <c r="E34" s="84">
        <v>0.77358309921677015</v>
      </c>
      <c r="F34" s="604">
        <v>0.83</v>
      </c>
      <c r="G34" s="604">
        <v>0.92</v>
      </c>
      <c r="H34" s="588">
        <v>0.96</v>
      </c>
      <c r="I34" s="588">
        <v>0.99</v>
      </c>
      <c r="J34" s="588">
        <v>1</v>
      </c>
      <c r="K34" s="605">
        <v>1.06</v>
      </c>
      <c r="M34" s="617" t="s">
        <v>13</v>
      </c>
      <c r="N34" s="618">
        <f>IGCE!C127</f>
        <v>1.2177569327976494</v>
      </c>
      <c r="O34" s="618">
        <f>IGCE!D127</f>
        <v>1.2091494395368749</v>
      </c>
      <c r="P34" s="618">
        <f>IGCE!E127</f>
        <v>1.2005419462761007</v>
      </c>
      <c r="Q34" s="618">
        <f>IGCE!F127</f>
        <v>1.1661119732330028</v>
      </c>
      <c r="R34" s="618">
        <f>IGCE!G127</f>
        <v>1.1230745069291304</v>
      </c>
      <c r="S34" s="618">
        <f>IGCE!H127</f>
        <v>1.0859505254322999</v>
      </c>
      <c r="T34" s="618">
        <f>IGCE!I127</f>
        <v>1.0488265439354691</v>
      </c>
      <c r="U34" s="618">
        <f>IGCE!J127</f>
        <v>1.0117025624386387</v>
      </c>
      <c r="V34" s="618">
        <f>IGCE!K127</f>
        <v>1.0011579967856754</v>
      </c>
    </row>
    <row r="35" spans="2:22" x14ac:dyDescent="0.3">
      <c r="B35" s="79" t="s">
        <v>18</v>
      </c>
      <c r="C35" s="85">
        <v>1.3151188642509681</v>
      </c>
      <c r="D35" s="84">
        <v>0.89756252176188922</v>
      </c>
      <c r="E35" s="84">
        <v>1.2127702926880994</v>
      </c>
      <c r="F35" s="599">
        <v>1.3151188642509681</v>
      </c>
      <c r="G35" s="599">
        <v>1.3151188642509681</v>
      </c>
      <c r="H35" s="599">
        <v>1.3151188642509681</v>
      </c>
      <c r="I35" s="599">
        <v>1.3151188642509681</v>
      </c>
      <c r="J35" s="599">
        <v>1.3151188642509681</v>
      </c>
      <c r="K35" s="600">
        <v>1.3151188642509681</v>
      </c>
      <c r="M35" s="617" t="s">
        <v>14</v>
      </c>
      <c r="N35" s="618">
        <f>IGCE!C128</f>
        <v>1.0699999999999998</v>
      </c>
      <c r="O35" s="618">
        <f>IGCE!D128</f>
        <v>0.99941690206534883</v>
      </c>
      <c r="P35" s="618">
        <f>IGCE!E128</f>
        <v>0.91542300083438788</v>
      </c>
      <c r="Q35" s="618">
        <f>IGCE!F128</f>
        <v>1.202210179431469</v>
      </c>
      <c r="R35" s="618">
        <f>IGCE!G128</f>
        <v>1.2468290105469249</v>
      </c>
      <c r="S35" s="618">
        <f>IGCE!H128</f>
        <v>1.2129063744329609</v>
      </c>
      <c r="T35" s="618">
        <f>IGCE!I128</f>
        <v>1.16743591151571</v>
      </c>
      <c r="U35" s="618">
        <f>IGCE!J128</f>
        <v>1.110417621795172</v>
      </c>
      <c r="V35" s="618">
        <f>IGCE!K128</f>
        <v>1.0418515052713466</v>
      </c>
    </row>
    <row r="36" spans="2:22" ht="15" thickBot="1" x14ac:dyDescent="0.35">
      <c r="B36" s="79" t="s">
        <v>72</v>
      </c>
      <c r="C36" s="85">
        <v>0.84118453839591367</v>
      </c>
      <c r="D36" s="93">
        <v>0.77745012268993219</v>
      </c>
      <c r="E36" s="93">
        <v>0.83633919648955013</v>
      </c>
      <c r="F36" s="606">
        <v>0.87</v>
      </c>
      <c r="G36" s="606">
        <v>0.9</v>
      </c>
      <c r="H36" s="607">
        <v>0.92500000000000004</v>
      </c>
      <c r="I36" s="607">
        <v>0.95</v>
      </c>
      <c r="J36" s="607">
        <v>0.97499999999999998</v>
      </c>
      <c r="K36" s="608">
        <v>1</v>
      </c>
      <c r="M36" s="617" t="s">
        <v>15</v>
      </c>
      <c r="N36" s="618">
        <f>IGCE!C129</f>
        <v>12.940000000000001</v>
      </c>
      <c r="O36" s="618">
        <f>IGCE!D129</f>
        <v>11.67355290257616</v>
      </c>
      <c r="P36" s="618">
        <f>IGCE!E129</f>
        <v>12.019803788011709</v>
      </c>
      <c r="Q36" s="618">
        <f>IGCE!F129</f>
        <v>12.283517012789009</v>
      </c>
      <c r="R36" s="618">
        <f>IGCE!G129</f>
        <v>12.199288176760669</v>
      </c>
      <c r="S36" s="618">
        <f>IGCE!H129</f>
        <v>11.765902891000909</v>
      </c>
      <c r="T36" s="618">
        <f>IGCE!I129</f>
        <v>11.030055914908237</v>
      </c>
      <c r="U36" s="618">
        <f>IGCE!J129</f>
        <v>10.294208938815567</v>
      </c>
      <c r="V36" s="618">
        <f>IGCE!K129</f>
        <v>9.5583619627228966</v>
      </c>
    </row>
    <row r="37" spans="2:22" x14ac:dyDescent="0.3">
      <c r="M37" s="617" t="s">
        <v>16</v>
      </c>
      <c r="N37" s="618">
        <f>IGCE!C130</f>
        <v>5.6971323500000004</v>
      </c>
      <c r="O37" s="618">
        <f>IGCE!D130</f>
        <v>5.0181373606373239</v>
      </c>
      <c r="P37" s="618">
        <f>IGCE!E130</f>
        <v>5.6058412474385104</v>
      </c>
      <c r="Q37" s="618">
        <f>IGCE!F130</f>
        <v>5.5499165669050701</v>
      </c>
      <c r="R37" s="618">
        <f>IGCE!G130</f>
        <v>5.4272367476592942</v>
      </c>
      <c r="S37" s="618">
        <f>IGCE!H130</f>
        <v>5.0797800284290346</v>
      </c>
      <c r="T37" s="618">
        <f>IGCE!I130</f>
        <v>4.7323233091987742</v>
      </c>
      <c r="U37" s="618">
        <f>IGCE!J130</f>
        <v>4.3848665899685129</v>
      </c>
      <c r="V37" s="618">
        <f>IGCE!K130</f>
        <v>4.0374098707382533</v>
      </c>
    </row>
    <row r="38" spans="2:22" x14ac:dyDescent="0.3">
      <c r="M38" s="617" t="s">
        <v>17</v>
      </c>
      <c r="N38" s="618">
        <f>IGCE!C131</f>
        <v>7.32</v>
      </c>
      <c r="O38" s="618">
        <f>IGCE!D131</f>
        <v>6.8029476580616928</v>
      </c>
      <c r="P38" s="618">
        <f>IGCE!E131</f>
        <v>7.3586575923109248</v>
      </c>
      <c r="Q38" s="618">
        <f>IGCE!F131</f>
        <v>7.8229767452080621</v>
      </c>
      <c r="R38" s="618">
        <f>IGCE!G131</f>
        <v>8.3101692038601307</v>
      </c>
      <c r="S38" s="618">
        <f>IGCE!H131</f>
        <v>8.8243105592002529</v>
      </c>
      <c r="T38" s="618">
        <f>IGCE!I131</f>
        <v>9.353765607616026</v>
      </c>
      <c r="U38" s="618">
        <f>IGCE!J131</f>
        <v>9.8985343491074538</v>
      </c>
      <c r="V38" s="618">
        <f>IGCE!K131</f>
        <v>10.458616783674533</v>
      </c>
    </row>
    <row r="39" spans="2:22" x14ac:dyDescent="0.3">
      <c r="M39" s="617" t="s">
        <v>18</v>
      </c>
      <c r="N39" s="618">
        <f>IGCE!C132</f>
        <v>4.96</v>
      </c>
      <c r="O39" s="618">
        <f>IGCE!D132</f>
        <v>3.38</v>
      </c>
      <c r="P39" s="618">
        <f>IGCE!E132</f>
        <v>4.5599999999999996</v>
      </c>
      <c r="Q39" s="618">
        <f>IGCE!F132</f>
        <v>4.9144877603133441</v>
      </c>
      <c r="R39" s="618">
        <f>IGCE!G132</f>
        <v>4.8765608939077971</v>
      </c>
      <c r="S39" s="618">
        <f>IGCE!H132</f>
        <v>4.7394423922431574</v>
      </c>
      <c r="T39" s="618">
        <f>IGCE!I132</f>
        <v>4.6023238905785178</v>
      </c>
      <c r="U39" s="618">
        <f>IGCE!J132</f>
        <v>4.4652053889138781</v>
      </c>
      <c r="V39" s="618">
        <f>IGCE!K132</f>
        <v>4.3280868872492384</v>
      </c>
    </row>
    <row r="40" spans="2:22" x14ac:dyDescent="0.3">
      <c r="B40" s="38" t="s">
        <v>4</v>
      </c>
      <c r="C40" s="55">
        <v>2019</v>
      </c>
      <c r="D40" s="82">
        <v>2020</v>
      </c>
      <c r="E40" s="411">
        <v>2021</v>
      </c>
      <c r="F40" s="55">
        <v>2025</v>
      </c>
      <c r="G40" s="55">
        <v>2030</v>
      </c>
      <c r="H40" s="55">
        <v>2035</v>
      </c>
      <c r="I40" s="55">
        <v>2040</v>
      </c>
      <c r="J40" s="55">
        <v>2045</v>
      </c>
      <c r="K40" s="83">
        <v>2050</v>
      </c>
      <c r="M40" s="587"/>
      <c r="N40" s="618">
        <f>IGCE!C133</f>
        <v>0</v>
      </c>
      <c r="O40" s="618">
        <f>IGCE!D133</f>
        <v>0</v>
      </c>
      <c r="P40" s="618">
        <f>IGCE!E133</f>
        <v>0</v>
      </c>
      <c r="Q40" s="618">
        <f>IGCE!F133</f>
        <v>0</v>
      </c>
      <c r="R40" s="618">
        <f>IGCE!G133</f>
        <v>0</v>
      </c>
      <c r="S40" s="618">
        <f>IGCE!H133</f>
        <v>0</v>
      </c>
      <c r="T40" s="618">
        <f>IGCE!I133</f>
        <v>0</v>
      </c>
      <c r="U40" s="618">
        <f>IGCE!J133</f>
        <v>0</v>
      </c>
      <c r="V40" s="618">
        <f>IGCE!K133</f>
        <v>0</v>
      </c>
    </row>
    <row r="41" spans="2:22" x14ac:dyDescent="0.3">
      <c r="B41" s="39" t="s">
        <v>892</v>
      </c>
      <c r="C41" s="70">
        <v>0</v>
      </c>
      <c r="D41" s="52">
        <v>0</v>
      </c>
      <c r="E41" s="52">
        <v>0</v>
      </c>
      <c r="F41" s="609">
        <v>0.6</v>
      </c>
      <c r="G41" s="609">
        <v>3</v>
      </c>
      <c r="H41" s="609">
        <v>4.5</v>
      </c>
      <c r="I41" s="609">
        <v>4.5</v>
      </c>
      <c r="J41" s="609">
        <v>6</v>
      </c>
      <c r="K41" s="609">
        <v>6</v>
      </c>
      <c r="M41" s="620" t="s">
        <v>85</v>
      </c>
      <c r="N41" s="618">
        <f>IGCE!C134</f>
        <v>51.028889282797643</v>
      </c>
      <c r="O41" s="618">
        <f>IGCE!D134</f>
        <v>43.725246501634814</v>
      </c>
      <c r="P41" s="618">
        <f>IGCE!E134</f>
        <v>48.267091916402222</v>
      </c>
      <c r="Q41" s="618">
        <f>IGCE!F134</f>
        <v>51.32711752151441</v>
      </c>
      <c r="R41" s="618">
        <f>IGCE!G134</f>
        <v>51.425185150355098</v>
      </c>
      <c r="S41" s="618">
        <f>IGCE!H134</f>
        <v>51.14284752654968</v>
      </c>
      <c r="T41" s="618">
        <f>IGCE!I134</f>
        <v>50.60790041543401</v>
      </c>
      <c r="U41" s="618">
        <f>IGCE!J134</f>
        <v>49.880041624639624</v>
      </c>
      <c r="V41" s="618">
        <f>IGCE!K134</f>
        <v>49.435689030609481</v>
      </c>
    </row>
    <row r="42" spans="2:22" x14ac:dyDescent="0.3">
      <c r="M42" s="620" t="s">
        <v>86</v>
      </c>
      <c r="N42" s="618">
        <f>IGCE!C135</f>
        <v>1</v>
      </c>
      <c r="O42" s="618">
        <f>IGCE!D135</f>
        <v>0.85687239358304124</v>
      </c>
      <c r="P42" s="618">
        <f>IGCE!E135</f>
        <v>0.94587776835412229</v>
      </c>
      <c r="Q42" s="618">
        <f>IGCE!F135</f>
        <v>1.0058443019808645</v>
      </c>
      <c r="R42" s="618">
        <f>IGCE!G135</f>
        <v>1.0077661080444298</v>
      </c>
      <c r="S42" s="618">
        <f>IGCE!H135</f>
        <v>1.0022332103511109</v>
      </c>
      <c r="T42" s="618">
        <f>IGCE!I135</f>
        <v>0.99174998959843019</v>
      </c>
      <c r="U42" s="618">
        <f>IGCE!J135</f>
        <v>0.97748632834645477</v>
      </c>
      <c r="V42" s="618">
        <f>IGCE!K135</f>
        <v>0.96877846501108844</v>
      </c>
    </row>
    <row r="43" spans="2:22" x14ac:dyDescent="0.3">
      <c r="M43" s="620" t="s">
        <v>91</v>
      </c>
      <c r="N43" s="618">
        <f>IGCE!C136</f>
        <v>50.771132350000002</v>
      </c>
      <c r="O43" s="618">
        <f>IGCE!D136</f>
        <v>43.5357485445195</v>
      </c>
      <c r="P43" s="618">
        <f>IGCE!E136</f>
        <v>44.5357485445195</v>
      </c>
      <c r="Q43" s="618">
        <f>IGCE!F136</f>
        <v>50.440978655899301</v>
      </c>
      <c r="R43" s="618">
        <f>IGCE!G136</f>
        <v>49.219427190640999</v>
      </c>
      <c r="S43" s="618">
        <f>IGCE!H136</f>
        <v>47.0388556546215</v>
      </c>
      <c r="T43" s="618">
        <f>IGCE!I136</f>
        <v>44.943855965491203</v>
      </c>
      <c r="U43" s="618">
        <f>IGCE!J136</f>
        <v>42.896680745289899</v>
      </c>
      <c r="V43" s="618">
        <f>IGCE!K136</f>
        <v>40.854880049802702</v>
      </c>
    </row>
    <row r="44" spans="2:22" x14ac:dyDescent="0.3">
      <c r="B44" s="637" t="s">
        <v>96</v>
      </c>
      <c r="C44" s="637"/>
      <c r="D44" s="637"/>
      <c r="E44" s="637"/>
      <c r="F44" s="637"/>
      <c r="G44" s="637"/>
      <c r="H44" s="637"/>
      <c r="I44" s="637"/>
      <c r="J44" s="637"/>
      <c r="K44" s="637"/>
      <c r="L44" s="637"/>
      <c r="M44" s="637"/>
      <c r="N44" s="637"/>
      <c r="O44" s="637"/>
      <c r="P44" s="637"/>
      <c r="Q44" s="637"/>
      <c r="R44" s="637"/>
      <c r="S44" s="637"/>
    </row>
    <row r="46" spans="2:22" ht="58.95" customHeight="1" x14ac:dyDescent="0.3">
      <c r="B46" s="641"/>
      <c r="C46" s="641"/>
      <c r="D46" s="641"/>
      <c r="E46" s="641"/>
      <c r="F46" s="641"/>
      <c r="G46" s="641"/>
      <c r="H46" s="641"/>
      <c r="I46" s="641"/>
      <c r="J46" s="641"/>
      <c r="K46" s="641"/>
      <c r="L46" s="641"/>
      <c r="M46" s="641"/>
      <c r="N46" s="641"/>
      <c r="O46" s="641"/>
      <c r="P46" s="641"/>
      <c r="Q46" s="641"/>
      <c r="R46" s="641"/>
      <c r="S46" s="641"/>
    </row>
    <row r="47" spans="2:22" ht="15.6" customHeight="1" x14ac:dyDescent="0.3">
      <c r="B47" s="465"/>
      <c r="C47" s="465"/>
      <c r="D47" s="465"/>
      <c r="E47" s="465"/>
      <c r="F47" s="465"/>
      <c r="G47" s="465"/>
      <c r="H47" s="465"/>
      <c r="I47" s="465"/>
      <c r="J47" s="465"/>
      <c r="K47" s="465"/>
      <c r="L47" s="465"/>
      <c r="M47" s="465"/>
      <c r="N47" s="465"/>
      <c r="O47" s="465"/>
      <c r="P47" s="465"/>
      <c r="Q47" s="465"/>
      <c r="R47" s="465"/>
      <c r="S47" s="465"/>
    </row>
    <row r="48" spans="2:22" ht="13.2" customHeight="1" x14ac:dyDescent="0.3">
      <c r="B48" s="465" t="s">
        <v>894</v>
      </c>
      <c r="C48" s="465"/>
      <c r="D48" s="465"/>
      <c r="E48" s="465"/>
      <c r="F48" s="465"/>
      <c r="G48" s="465"/>
      <c r="H48" s="465"/>
      <c r="I48" s="465"/>
      <c r="J48" s="465"/>
      <c r="K48" s="465"/>
      <c r="L48" s="465"/>
      <c r="M48" s="465"/>
      <c r="N48" s="465"/>
      <c r="O48" s="465"/>
      <c r="P48" s="465"/>
      <c r="Q48" s="465"/>
      <c r="R48" s="465"/>
      <c r="S48" s="465"/>
    </row>
    <row r="49" spans="2:14" x14ac:dyDescent="0.3">
      <c r="N49" s="555"/>
    </row>
    <row r="50" spans="2:14" x14ac:dyDescent="0.3">
      <c r="B50" s="38" t="s">
        <v>113</v>
      </c>
      <c r="C50" s="38">
        <v>2019</v>
      </c>
      <c r="D50" s="54">
        <v>2020</v>
      </c>
      <c r="E50" s="54">
        <v>2021</v>
      </c>
      <c r="F50" s="54">
        <v>2025</v>
      </c>
      <c r="G50" s="38">
        <v>2030</v>
      </c>
      <c r="H50" s="54">
        <v>2035</v>
      </c>
      <c r="I50" s="54">
        <v>2040</v>
      </c>
      <c r="J50" s="54">
        <v>2045</v>
      </c>
      <c r="K50" s="38">
        <v>2050</v>
      </c>
    </row>
    <row r="51" spans="2:14" x14ac:dyDescent="0.3">
      <c r="B51" s="36" t="s">
        <v>24</v>
      </c>
      <c r="C51" s="70">
        <v>1</v>
      </c>
      <c r="D51" s="117">
        <v>0.99354838709677418</v>
      </c>
      <c r="E51">
        <v>1</v>
      </c>
      <c r="F51" s="621">
        <v>0.98</v>
      </c>
      <c r="G51" s="621">
        <v>0.96</v>
      </c>
      <c r="H51" s="618">
        <v>0.94</v>
      </c>
      <c r="I51" s="621">
        <v>0.93</v>
      </c>
      <c r="J51" s="621">
        <v>0.92</v>
      </c>
      <c r="K51" s="621">
        <v>0.92</v>
      </c>
    </row>
    <row r="52" spans="2:14" x14ac:dyDescent="0.3">
      <c r="B52" s="36" t="s">
        <v>25</v>
      </c>
      <c r="C52" s="70">
        <v>1</v>
      </c>
      <c r="D52" s="117">
        <v>0.99354838709677418</v>
      </c>
      <c r="E52">
        <v>1</v>
      </c>
      <c r="F52" s="621">
        <v>0.99</v>
      </c>
      <c r="G52" s="621">
        <v>0.98</v>
      </c>
      <c r="H52" s="618">
        <v>0.96</v>
      </c>
      <c r="I52" s="621">
        <v>0.94</v>
      </c>
      <c r="J52" s="621">
        <v>0.91999999999999993</v>
      </c>
      <c r="K52" s="621">
        <v>0.9</v>
      </c>
    </row>
    <row r="53" spans="2:14" x14ac:dyDescent="0.3">
      <c r="B53" s="36" t="s">
        <v>26</v>
      </c>
      <c r="C53" s="70">
        <v>1</v>
      </c>
      <c r="D53" s="117">
        <v>0.99354838709677418</v>
      </c>
      <c r="E53">
        <v>1</v>
      </c>
      <c r="F53" s="621">
        <v>0.99</v>
      </c>
      <c r="G53" s="621">
        <v>0.98</v>
      </c>
      <c r="H53" s="618">
        <v>0.95500000000000007</v>
      </c>
      <c r="I53" s="621">
        <v>0.93</v>
      </c>
      <c r="J53" s="621">
        <v>0.91500000000000004</v>
      </c>
      <c r="K53" s="621">
        <v>0.9</v>
      </c>
    </row>
    <row r="54" spans="2:14" x14ac:dyDescent="0.3">
      <c r="B54" s="36" t="s">
        <v>27</v>
      </c>
      <c r="C54" s="70">
        <v>1</v>
      </c>
      <c r="D54" s="117">
        <v>0.99354838709677418</v>
      </c>
      <c r="E54">
        <v>1</v>
      </c>
      <c r="F54" s="621">
        <v>0.98299999999999998</v>
      </c>
      <c r="G54" s="621">
        <v>0.95</v>
      </c>
      <c r="H54" s="618">
        <v>0.92500000000000004</v>
      </c>
      <c r="I54" s="621">
        <v>0.9</v>
      </c>
      <c r="J54" s="621">
        <v>0.9</v>
      </c>
      <c r="K54" s="621">
        <v>0.9</v>
      </c>
    </row>
    <row r="55" spans="2:14" x14ac:dyDescent="0.3">
      <c r="B55" s="36" t="s">
        <v>28</v>
      </c>
      <c r="C55" s="70">
        <v>1</v>
      </c>
      <c r="D55" s="117">
        <v>0.99354838709677418</v>
      </c>
      <c r="E55">
        <v>1</v>
      </c>
      <c r="F55" s="621">
        <v>0.98299999999999998</v>
      </c>
      <c r="G55" s="621">
        <v>0.95</v>
      </c>
      <c r="H55" s="618">
        <v>0.92500000000000004</v>
      </c>
      <c r="I55" s="621">
        <v>0.9</v>
      </c>
      <c r="J55" s="621">
        <v>0.875</v>
      </c>
      <c r="K55" s="621">
        <v>0.85</v>
      </c>
    </row>
    <row r="56" spans="2:14" x14ac:dyDescent="0.3">
      <c r="B56" s="36" t="s">
        <v>29</v>
      </c>
      <c r="C56" s="70">
        <v>1</v>
      </c>
      <c r="D56" s="117">
        <v>0.99354838709677418</v>
      </c>
      <c r="E56">
        <v>1</v>
      </c>
      <c r="F56" s="621">
        <v>0.96129032258064517</v>
      </c>
      <c r="G56" s="621">
        <v>0.92903225806451617</v>
      </c>
      <c r="H56" s="618">
        <v>0.89677419354838717</v>
      </c>
      <c r="I56" s="621">
        <v>0.86451612903225805</v>
      </c>
      <c r="J56" s="621">
        <v>0.83225806451612905</v>
      </c>
      <c r="K56" s="621">
        <v>0.8</v>
      </c>
    </row>
    <row r="57" spans="2:14" x14ac:dyDescent="0.3">
      <c r="B57" s="36" t="s">
        <v>30</v>
      </c>
      <c r="C57" s="118">
        <v>1</v>
      </c>
      <c r="D57" s="119">
        <v>0.99354838709677418</v>
      </c>
      <c r="E57">
        <v>1</v>
      </c>
      <c r="F57" s="621">
        <v>0.98195610477029172</v>
      </c>
      <c r="G57" s="622">
        <v>0.95680443093167034</v>
      </c>
      <c r="H57" s="623">
        <v>0.93240837183515834</v>
      </c>
      <c r="I57" s="622">
        <v>0.90944275192489354</v>
      </c>
      <c r="J57" s="622">
        <v>0.89277506947369645</v>
      </c>
      <c r="K57" s="622">
        <v>0.87752987074135325</v>
      </c>
    </row>
    <row r="58" spans="2:14" x14ac:dyDescent="0.3">
      <c r="B58" s="120" t="s">
        <v>31</v>
      </c>
      <c r="C58" s="118">
        <v>1</v>
      </c>
      <c r="D58" s="119">
        <v>1</v>
      </c>
      <c r="E58">
        <v>1</v>
      </c>
      <c r="F58" s="621">
        <v>1</v>
      </c>
      <c r="G58" s="622">
        <v>1</v>
      </c>
      <c r="H58" s="623">
        <v>1</v>
      </c>
      <c r="I58" s="622">
        <v>1</v>
      </c>
      <c r="J58" s="622">
        <v>1</v>
      </c>
      <c r="K58" s="622">
        <v>1</v>
      </c>
    </row>
    <row r="60" spans="2:14" x14ac:dyDescent="0.3">
      <c r="B60" s="38" t="s">
        <v>895</v>
      </c>
      <c r="C60" s="5">
        <v>2019</v>
      </c>
      <c r="D60" s="5">
        <v>2020</v>
      </c>
      <c r="E60" s="408">
        <v>2021</v>
      </c>
      <c r="F60" s="113">
        <v>2025</v>
      </c>
      <c r="G60" s="113">
        <v>2030</v>
      </c>
      <c r="H60" s="113">
        <v>2035</v>
      </c>
      <c r="I60" s="113">
        <v>2040</v>
      </c>
      <c r="J60" s="113">
        <v>2045</v>
      </c>
      <c r="K60" s="114">
        <v>2050</v>
      </c>
      <c r="L60" s="642" t="s">
        <v>896</v>
      </c>
    </row>
    <row r="61" spans="2:14" x14ac:dyDescent="0.3">
      <c r="B61" s="36" t="s">
        <v>24</v>
      </c>
      <c r="C61" s="107">
        <f>Diffus!C97</f>
        <v>25.805</v>
      </c>
      <c r="D61" s="107">
        <f>Diffus!D97</f>
        <v>22.681716129032257</v>
      </c>
      <c r="E61" s="107">
        <f>Diffus!E97</f>
        <v>24.457000000000001</v>
      </c>
      <c r="F61" s="624">
        <f>Diffus!F97</f>
        <v>25.256464604687462</v>
      </c>
      <c r="G61" s="624">
        <f>Diffus!G97</f>
        <v>25.999582431960746</v>
      </c>
      <c r="H61" s="624">
        <f>Diffus!H97</f>
        <v>25.792603102870149</v>
      </c>
      <c r="I61" s="624">
        <f>Diffus!I97</f>
        <v>27.173359302479476</v>
      </c>
      <c r="J61" s="624">
        <f>Diffus!J97</f>
        <v>29.15270863675406</v>
      </c>
      <c r="K61" s="624">
        <f>Diffus!K97</f>
        <v>31.63786209990819</v>
      </c>
      <c r="L61" s="642"/>
    </row>
    <row r="62" spans="2:14" x14ac:dyDescent="0.3">
      <c r="B62" s="36" t="s">
        <v>25</v>
      </c>
      <c r="C62" s="107">
        <f>Diffus!C98</f>
        <v>47.174999999999997</v>
      </c>
      <c r="D62" s="107">
        <f>Diffus!D98</f>
        <v>45.592941935483879</v>
      </c>
      <c r="E62" s="107">
        <f>Diffus!E98</f>
        <v>46.328000000000003</v>
      </c>
      <c r="F62" s="624">
        <f>Diffus!F98</f>
        <v>47.193941419121451</v>
      </c>
      <c r="G62" s="624">
        <f>Diffus!G98</f>
        <v>49.753114886258068</v>
      </c>
      <c r="H62" s="624">
        <f>Diffus!H98</f>
        <v>50.176378168600408</v>
      </c>
      <c r="I62" s="624">
        <f>Diffus!I98</f>
        <v>53.13259456303259</v>
      </c>
      <c r="J62" s="624">
        <f>Diffus!J98</f>
        <v>56.770453635797828</v>
      </c>
      <c r="K62" s="624">
        <f>Diffus!K98</f>
        <v>60.3574681381563</v>
      </c>
      <c r="L62" s="642"/>
    </row>
    <row r="63" spans="2:14" x14ac:dyDescent="0.3">
      <c r="B63" s="36" t="s">
        <v>26</v>
      </c>
      <c r="C63" s="107">
        <f>Diffus!C99</f>
        <v>8.359</v>
      </c>
      <c r="D63" s="107">
        <f>Diffus!D99</f>
        <v>7.4158451612903225</v>
      </c>
      <c r="E63" s="107">
        <f>Diffus!E99</f>
        <v>8.1720000000000006</v>
      </c>
      <c r="F63" s="624">
        <f>Diffus!F99</f>
        <v>8.4325674168882401</v>
      </c>
      <c r="G63" s="624">
        <f>Diffus!G99</f>
        <v>8.5533775386889488</v>
      </c>
      <c r="H63" s="624">
        <f>Diffus!H99</f>
        <v>8.5034645211603976</v>
      </c>
      <c r="I63" s="624">
        <f>Diffus!I99</f>
        <v>8.6816195241243062</v>
      </c>
      <c r="J63" s="624">
        <f>Diffus!J99</f>
        <v>9.056340443210825</v>
      </c>
      <c r="K63" s="624">
        <f>Diffus!K99</f>
        <v>9.5265579976361163</v>
      </c>
      <c r="L63" s="642"/>
    </row>
    <row r="64" spans="2:14" x14ac:dyDescent="0.3">
      <c r="B64" s="36" t="s">
        <v>27</v>
      </c>
      <c r="C64" s="107">
        <f>Diffus!C100</f>
        <v>45.597999999999999</v>
      </c>
      <c r="D64" s="107">
        <f>Diffus!D100</f>
        <v>43.804554838709677</v>
      </c>
      <c r="E64" s="107">
        <f>Diffus!E100</f>
        <v>44.859000000000002</v>
      </c>
      <c r="F64" s="624">
        <f>Diffus!F100</f>
        <v>46.746123341807944</v>
      </c>
      <c r="G64" s="624">
        <f>Diffus!G100</f>
        <v>48.929057633134789</v>
      </c>
      <c r="H64" s="624">
        <f>Diffus!H100</f>
        <v>51.121043366922819</v>
      </c>
      <c r="I64" s="624">
        <f>Diffus!I100</f>
        <v>54.054345251666348</v>
      </c>
      <c r="J64" s="624">
        <f>Diffus!J100</f>
        <v>58.743109113118166</v>
      </c>
      <c r="K64" s="624">
        <f>Diffus!K100</f>
        <v>63.611128428896563</v>
      </c>
      <c r="L64" s="642"/>
    </row>
    <row r="65" spans="2:19" x14ac:dyDescent="0.3">
      <c r="B65" s="36" t="s">
        <v>28</v>
      </c>
      <c r="C65" s="107">
        <f>Diffus!C101</f>
        <v>63.614999999999995</v>
      </c>
      <c r="D65" s="107">
        <f>Diffus!D101</f>
        <v>49.485664516129034</v>
      </c>
      <c r="E65" s="107">
        <f>Diffus!E101</f>
        <v>52.09</v>
      </c>
      <c r="F65" s="624">
        <f>Diffus!F101</f>
        <v>54.610634472835841</v>
      </c>
      <c r="G65" s="624">
        <f>Diffus!G101</f>
        <v>57.416368611115956</v>
      </c>
      <c r="H65" s="624">
        <f>Diffus!H101</f>
        <v>60.1217945450502</v>
      </c>
      <c r="I65" s="624">
        <f>Diffus!I101</f>
        <v>63.484649283824005</v>
      </c>
      <c r="J65" s="624">
        <f>Diffus!J101</f>
        <v>67.302902254388101</v>
      </c>
      <c r="K65" s="624">
        <f>Diffus!K101</f>
        <v>71.385615848851643</v>
      </c>
      <c r="L65" s="642"/>
    </row>
    <row r="66" spans="2:19" x14ac:dyDescent="0.3">
      <c r="B66" s="36" t="s">
        <v>29</v>
      </c>
      <c r="C66" s="107">
        <f>Diffus!C102</f>
        <v>23.724</v>
      </c>
      <c r="D66" s="107">
        <f>Diffus!D102</f>
        <v>22.1144</v>
      </c>
      <c r="E66" s="107">
        <f>Diffus!E102</f>
        <v>23.780999999999999</v>
      </c>
      <c r="F66" s="624">
        <f>Diffus!F102</f>
        <v>24.381141228286015</v>
      </c>
      <c r="G66" s="624">
        <f>Diffus!G102</f>
        <v>25.634134902272979</v>
      </c>
      <c r="H66" s="624">
        <f>Diffus!H102</f>
        <v>26.610256449317106</v>
      </c>
      <c r="I66" s="624">
        <f>Diffus!I102</f>
        <v>27.840374369821035</v>
      </c>
      <c r="J66" s="624">
        <f>Diffus!J102</f>
        <v>29.225335602311397</v>
      </c>
      <c r="K66" s="624">
        <f>Diffus!K102</f>
        <v>30.6730898874399</v>
      </c>
      <c r="L66" s="642"/>
    </row>
    <row r="67" spans="2:19" x14ac:dyDescent="0.3">
      <c r="B67" s="36" t="s">
        <v>30</v>
      </c>
      <c r="C67" s="107">
        <f>Diffus!C103</f>
        <v>214.27599999999995</v>
      </c>
      <c r="D67" s="107">
        <f>Diffus!D103</f>
        <v>191.09512258064521</v>
      </c>
      <c r="E67" s="107">
        <f>Diffus!E103</f>
        <v>199.68700000000001</v>
      </c>
      <c r="F67" s="624">
        <f>Diffus!F103</f>
        <v>206.63582067045283</v>
      </c>
      <c r="G67" s="624">
        <f>Diffus!G103</f>
        <v>216.34704083822871</v>
      </c>
      <c r="H67" s="624">
        <f>Diffus!H103</f>
        <v>222.42227480408826</v>
      </c>
      <c r="I67" s="624">
        <f>Diffus!I103</f>
        <v>234.52716814351962</v>
      </c>
      <c r="J67" s="624">
        <f>Diffus!J103</f>
        <v>250.50895141169477</v>
      </c>
      <c r="K67" s="624">
        <f>Diffus!K103</f>
        <v>267.68291388878964</v>
      </c>
      <c r="L67" s="642"/>
    </row>
    <row r="68" spans="2:19" x14ac:dyDescent="0.3">
      <c r="B68" s="120" t="s">
        <v>31</v>
      </c>
      <c r="C68" s="107">
        <f>Diffus!C104</f>
        <v>114.88200000000001</v>
      </c>
      <c r="D68" s="107">
        <f>Diffus!D104</f>
        <v>101.443</v>
      </c>
      <c r="E68" s="107">
        <f>Diffus!E104</f>
        <v>108.227</v>
      </c>
      <c r="F68" s="624">
        <f>Diffus!F104</f>
        <v>111.90446198810282</v>
      </c>
      <c r="G68" s="624">
        <f>Diffus!G104</f>
        <v>111.60902686751734</v>
      </c>
      <c r="H68" s="624">
        <f>Diffus!H104</f>
        <v>110.28798392659493</v>
      </c>
      <c r="I68" s="624">
        <f>Diffus!I104</f>
        <v>110.67153195519023</v>
      </c>
      <c r="J68" s="624">
        <f>Diffus!J104</f>
        <v>112.51428931843975</v>
      </c>
      <c r="K68" s="624">
        <f>Diffus!K104</f>
        <v>116.70087476600506</v>
      </c>
      <c r="L68" s="642"/>
    </row>
    <row r="71" spans="2:19" ht="31.2" x14ac:dyDescent="0.6">
      <c r="B71" s="636" t="s">
        <v>1027</v>
      </c>
      <c r="C71" s="636"/>
      <c r="D71" s="636"/>
      <c r="E71" s="636"/>
      <c r="F71" s="636"/>
      <c r="G71" s="636"/>
      <c r="H71" s="636"/>
      <c r="I71" s="636"/>
      <c r="J71" s="636"/>
      <c r="K71" s="636"/>
      <c r="L71" s="636"/>
      <c r="M71" s="636"/>
      <c r="N71" s="636"/>
      <c r="O71" s="636"/>
      <c r="P71" s="636"/>
      <c r="Q71" s="636"/>
      <c r="R71" s="636"/>
      <c r="S71" s="636"/>
    </row>
    <row r="74" spans="2:19" x14ac:dyDescent="0.3">
      <c r="B74" s="637" t="s">
        <v>494</v>
      </c>
      <c r="C74" s="637"/>
      <c r="D74" s="637"/>
      <c r="E74" s="637"/>
      <c r="F74" s="637"/>
      <c r="G74" s="637"/>
      <c r="H74" s="637"/>
      <c r="I74" s="637"/>
      <c r="J74" s="637"/>
      <c r="K74" s="637"/>
      <c r="L74" s="637"/>
      <c r="M74" s="637"/>
      <c r="N74" s="637"/>
      <c r="O74" s="637"/>
      <c r="P74" s="637"/>
      <c r="Q74" s="637"/>
      <c r="R74" s="637"/>
      <c r="S74" s="637"/>
    </row>
    <row r="75" spans="2:19" x14ac:dyDescent="0.3">
      <c r="B75" s="640" t="s">
        <v>1026</v>
      </c>
      <c r="C75" s="640"/>
      <c r="D75" s="640"/>
      <c r="E75" s="640"/>
      <c r="F75" s="640"/>
      <c r="G75" s="640"/>
      <c r="H75" s="640"/>
      <c r="I75" s="640"/>
      <c r="J75" s="640"/>
      <c r="K75" s="640"/>
      <c r="L75" s="640"/>
      <c r="M75" s="640"/>
      <c r="N75" s="640"/>
      <c r="O75" s="640"/>
      <c r="P75" s="640"/>
      <c r="Q75" s="640"/>
      <c r="R75" s="640"/>
      <c r="S75" s="640"/>
    </row>
    <row r="77" spans="2:19" ht="69" x14ac:dyDescent="0.3">
      <c r="B77" s="633" t="s">
        <v>494</v>
      </c>
      <c r="C77" s="633"/>
      <c r="D77" s="633"/>
      <c r="E77" s="425" t="s">
        <v>438</v>
      </c>
      <c r="F77" s="425" t="s">
        <v>454</v>
      </c>
      <c r="G77" s="425" t="s">
        <v>440</v>
      </c>
      <c r="H77" s="425" t="s">
        <v>496</v>
      </c>
      <c r="I77" s="425" t="s">
        <v>450</v>
      </c>
      <c r="J77" s="425" t="s">
        <v>451</v>
      </c>
      <c r="K77" s="425" t="s">
        <v>452</v>
      </c>
      <c r="L77" s="425" t="s">
        <v>453</v>
      </c>
      <c r="M77" s="425" t="s">
        <v>443</v>
      </c>
      <c r="N77" s="425" t="s">
        <v>444</v>
      </c>
      <c r="O77" s="425" t="s">
        <v>495</v>
      </c>
      <c r="P77" s="425" t="s">
        <v>455</v>
      </c>
      <c r="Q77" s="425" t="s">
        <v>446</v>
      </c>
      <c r="R77" s="425" t="s">
        <v>1032</v>
      </c>
      <c r="S77" s="425" t="s">
        <v>52</v>
      </c>
    </row>
    <row r="78" spans="2:19" x14ac:dyDescent="0.3">
      <c r="B78" s="634" t="s">
        <v>24</v>
      </c>
      <c r="C78" s="634"/>
      <c r="D78" s="634"/>
      <c r="E78" s="171"/>
      <c r="F78" s="171"/>
      <c r="G78" s="171"/>
      <c r="H78" s="171"/>
      <c r="I78" s="171"/>
      <c r="J78" s="171"/>
      <c r="K78" s="171"/>
      <c r="L78" s="171"/>
      <c r="M78" s="171"/>
      <c r="N78" s="171"/>
      <c r="O78" s="171"/>
      <c r="P78" s="171"/>
      <c r="Q78" s="171"/>
      <c r="R78" s="171"/>
      <c r="S78" s="172"/>
    </row>
    <row r="79" spans="2:19" x14ac:dyDescent="0.3">
      <c r="B79" s="175" t="s">
        <v>460</v>
      </c>
      <c r="C79" s="175">
        <v>2021</v>
      </c>
      <c r="D79" s="176" t="s">
        <v>497</v>
      </c>
      <c r="E79" s="556">
        <v>0.59926162107736192</v>
      </c>
      <c r="F79" s="556">
        <v>0.40073837892263797</v>
      </c>
      <c r="G79" s="556">
        <v>0</v>
      </c>
      <c r="H79" s="556">
        <v>0</v>
      </c>
      <c r="I79" s="556">
        <v>0</v>
      </c>
      <c r="J79" s="556">
        <v>0</v>
      </c>
      <c r="K79" s="556">
        <v>0</v>
      </c>
      <c r="L79" s="556">
        <v>0</v>
      </c>
      <c r="M79" s="556">
        <v>0</v>
      </c>
      <c r="N79" s="556">
        <v>0</v>
      </c>
      <c r="O79" s="556">
        <v>0</v>
      </c>
      <c r="P79" s="556">
        <v>0</v>
      </c>
      <c r="Q79" s="556">
        <v>0</v>
      </c>
      <c r="R79" s="556">
        <v>0</v>
      </c>
      <c r="S79" s="172">
        <f>SUM(E79:R79)</f>
        <v>0.99999999999999989</v>
      </c>
    </row>
    <row r="80" spans="2:19" x14ac:dyDescent="0.3">
      <c r="B80" s="175" t="s">
        <v>460</v>
      </c>
      <c r="C80" s="175">
        <v>2030</v>
      </c>
      <c r="D80" s="176" t="s">
        <v>497</v>
      </c>
      <c r="E80" s="556">
        <v>0.37820479572313859</v>
      </c>
      <c r="F80" s="556">
        <v>0.56179520427686125</v>
      </c>
      <c r="G80" s="556">
        <v>0</v>
      </c>
      <c r="H80" s="556">
        <v>0</v>
      </c>
      <c r="I80" s="556">
        <v>0.03</v>
      </c>
      <c r="J80" s="556">
        <v>0.03</v>
      </c>
      <c r="K80" s="556">
        <v>0</v>
      </c>
      <c r="L80" s="556">
        <v>0</v>
      </c>
      <c r="M80" s="556">
        <v>0</v>
      </c>
      <c r="N80" s="556">
        <v>0</v>
      </c>
      <c r="O80" s="556">
        <v>0</v>
      </c>
      <c r="P80" s="556">
        <v>0</v>
      </c>
      <c r="Q80" s="556">
        <v>0</v>
      </c>
      <c r="R80" s="556">
        <v>0</v>
      </c>
      <c r="S80" s="172">
        <f t="shared" ref="S80:S143" si="1">SUM(E80:R80)</f>
        <v>0.99999999999999989</v>
      </c>
    </row>
    <row r="81" spans="2:19" x14ac:dyDescent="0.3">
      <c r="B81" s="175" t="s">
        <v>460</v>
      </c>
      <c r="C81" s="175">
        <v>2050</v>
      </c>
      <c r="D81" s="176" t="s">
        <v>497</v>
      </c>
      <c r="E81" s="556">
        <v>0.33394678771298414</v>
      </c>
      <c r="F81" s="556">
        <v>0.49605321228701588</v>
      </c>
      <c r="G81" s="556">
        <v>0</v>
      </c>
      <c r="H81" s="556">
        <v>0</v>
      </c>
      <c r="I81" s="556">
        <v>0.05</v>
      </c>
      <c r="J81" s="556">
        <v>0.12</v>
      </c>
      <c r="K81" s="556">
        <v>0</v>
      </c>
      <c r="L81" s="556">
        <v>0</v>
      </c>
      <c r="M81" s="556">
        <v>0</v>
      </c>
      <c r="N81" s="556">
        <v>0</v>
      </c>
      <c r="O81" s="556">
        <v>0</v>
      </c>
      <c r="P81" s="556">
        <v>0</v>
      </c>
      <c r="Q81" s="556">
        <v>0</v>
      </c>
      <c r="R81" s="556">
        <v>0</v>
      </c>
      <c r="S81" s="172">
        <f t="shared" si="1"/>
        <v>1</v>
      </c>
    </row>
    <row r="82" spans="2:19" x14ac:dyDescent="0.3">
      <c r="B82" s="180"/>
      <c r="C82" s="180"/>
      <c r="D82" s="181"/>
      <c r="E82" s="557"/>
      <c r="F82" s="557"/>
      <c r="G82" s="557"/>
      <c r="H82" s="557"/>
      <c r="I82" s="557"/>
      <c r="J82" s="557"/>
      <c r="K82" s="557"/>
      <c r="L82" s="557"/>
      <c r="M82" s="557"/>
      <c r="N82" s="557"/>
      <c r="O82" s="557"/>
      <c r="P82" s="557"/>
      <c r="Q82" s="557"/>
      <c r="R82" s="557"/>
      <c r="S82" s="185">
        <f t="shared" si="1"/>
        <v>0</v>
      </c>
    </row>
    <row r="83" spans="2:19" x14ac:dyDescent="0.3">
      <c r="B83" s="175" t="s">
        <v>463</v>
      </c>
      <c r="C83" s="175">
        <v>2021</v>
      </c>
      <c r="D83" s="176" t="s">
        <v>497</v>
      </c>
      <c r="E83" s="556">
        <v>3.5000000000000003E-2</v>
      </c>
      <c r="F83" s="556">
        <v>0</v>
      </c>
      <c r="G83" s="556">
        <v>0.02</v>
      </c>
      <c r="H83" s="556">
        <v>0.22</v>
      </c>
      <c r="I83" s="556">
        <v>0</v>
      </c>
      <c r="J83" s="556">
        <v>0</v>
      </c>
      <c r="K83" s="556">
        <v>0</v>
      </c>
      <c r="L83" s="556">
        <v>0</v>
      </c>
      <c r="M83" s="556">
        <v>0</v>
      </c>
      <c r="N83" s="556">
        <v>0</v>
      </c>
      <c r="O83" s="556">
        <v>0.72499999999999998</v>
      </c>
      <c r="P83" s="556">
        <v>0</v>
      </c>
      <c r="Q83" s="556">
        <v>0</v>
      </c>
      <c r="R83" s="556">
        <v>0</v>
      </c>
      <c r="S83" s="172">
        <f t="shared" si="1"/>
        <v>1</v>
      </c>
    </row>
    <row r="84" spans="2:19" x14ac:dyDescent="0.3">
      <c r="B84" s="175" t="s">
        <v>463</v>
      </c>
      <c r="C84" s="175">
        <v>2030</v>
      </c>
      <c r="D84" s="176" t="s">
        <v>497</v>
      </c>
      <c r="E84" s="556">
        <v>0.02</v>
      </c>
      <c r="F84" s="556"/>
      <c r="G84" s="556">
        <v>0.02</v>
      </c>
      <c r="H84" s="556">
        <v>0.2</v>
      </c>
      <c r="I84" s="556">
        <v>0.01</v>
      </c>
      <c r="J84" s="556">
        <v>0</v>
      </c>
      <c r="K84" s="556">
        <v>0</v>
      </c>
      <c r="L84" s="556">
        <v>0</v>
      </c>
      <c r="M84" s="556">
        <v>0</v>
      </c>
      <c r="N84" s="556">
        <v>0</v>
      </c>
      <c r="O84" s="556">
        <v>0.75</v>
      </c>
      <c r="P84" s="556">
        <v>0</v>
      </c>
      <c r="Q84" s="556">
        <v>0</v>
      </c>
      <c r="R84" s="556">
        <v>0</v>
      </c>
      <c r="S84" s="172">
        <f t="shared" si="1"/>
        <v>1</v>
      </c>
    </row>
    <row r="85" spans="2:19" x14ac:dyDescent="0.3">
      <c r="B85" s="175" t="s">
        <v>463</v>
      </c>
      <c r="C85" s="175">
        <v>2050</v>
      </c>
      <c r="D85" s="176" t="s">
        <v>497</v>
      </c>
      <c r="E85" s="556">
        <v>1.0514067876993801E-2</v>
      </c>
      <c r="F85" s="556"/>
      <c r="G85" s="556">
        <v>1.60951739582194E-2</v>
      </c>
      <c r="H85" s="556">
        <v>0.14413969617456701</v>
      </c>
      <c r="I85" s="556">
        <v>2.19855996537811E-2</v>
      </c>
      <c r="J85" s="556">
        <v>0</v>
      </c>
      <c r="K85" s="556">
        <v>0</v>
      </c>
      <c r="L85" s="556">
        <v>0</v>
      </c>
      <c r="M85" s="556">
        <v>0</v>
      </c>
      <c r="N85" s="556">
        <v>0</v>
      </c>
      <c r="O85" s="556">
        <v>0.80726546233643903</v>
      </c>
      <c r="P85" s="556">
        <v>0</v>
      </c>
      <c r="Q85" s="556">
        <v>0</v>
      </c>
      <c r="R85" s="556">
        <v>0</v>
      </c>
      <c r="S85" s="172">
        <f t="shared" si="1"/>
        <v>1.0000000000000004</v>
      </c>
    </row>
    <row r="86" spans="2:19" x14ac:dyDescent="0.3">
      <c r="B86" s="180"/>
      <c r="C86" s="180"/>
      <c r="D86" s="181"/>
      <c r="E86" s="557"/>
      <c r="F86" s="557"/>
      <c r="G86" s="557"/>
      <c r="H86" s="557"/>
      <c r="I86" s="557"/>
      <c r="J86" s="557"/>
      <c r="K86" s="557"/>
      <c r="L86" s="557"/>
      <c r="M86" s="557"/>
      <c r="N86" s="557"/>
      <c r="O86" s="557"/>
      <c r="P86" s="557"/>
      <c r="Q86" s="557"/>
      <c r="R86" s="557"/>
      <c r="S86" s="185">
        <f t="shared" si="1"/>
        <v>0</v>
      </c>
    </row>
    <row r="87" spans="2:19" x14ac:dyDescent="0.3">
      <c r="B87" s="175" t="s">
        <v>465</v>
      </c>
      <c r="C87" s="175">
        <v>2021</v>
      </c>
      <c r="D87" s="176" t="s">
        <v>497</v>
      </c>
      <c r="E87" s="556">
        <v>0</v>
      </c>
      <c r="F87" s="556">
        <v>0</v>
      </c>
      <c r="G87" s="556">
        <v>0</v>
      </c>
      <c r="H87" s="556">
        <v>0.84803256445047492</v>
      </c>
      <c r="I87" s="556">
        <v>0</v>
      </c>
      <c r="J87" s="556">
        <v>0</v>
      </c>
      <c r="K87" s="556">
        <v>0</v>
      </c>
      <c r="L87" s="556">
        <v>0</v>
      </c>
      <c r="M87" s="556">
        <v>0</v>
      </c>
      <c r="N87" s="556">
        <v>0</v>
      </c>
      <c r="O87" s="556">
        <v>0.1519674355495251</v>
      </c>
      <c r="P87" s="556">
        <v>0</v>
      </c>
      <c r="Q87" s="556">
        <v>0</v>
      </c>
      <c r="R87" s="556">
        <v>0</v>
      </c>
      <c r="S87" s="172">
        <f t="shared" si="1"/>
        <v>1</v>
      </c>
    </row>
    <row r="88" spans="2:19" x14ac:dyDescent="0.3">
      <c r="B88" s="175" t="s">
        <v>465</v>
      </c>
      <c r="C88" s="175">
        <v>2030</v>
      </c>
      <c r="D88" s="176" t="s">
        <v>497</v>
      </c>
      <c r="E88" s="556">
        <v>0</v>
      </c>
      <c r="F88" s="556">
        <v>0</v>
      </c>
      <c r="G88" s="556">
        <v>0</v>
      </c>
      <c r="H88" s="556">
        <v>0.54803256445047488</v>
      </c>
      <c r="I88" s="556">
        <v>0</v>
      </c>
      <c r="J88" s="556">
        <v>0</v>
      </c>
      <c r="K88" s="556">
        <v>0</v>
      </c>
      <c r="L88" s="556">
        <v>0</v>
      </c>
      <c r="M88" s="556">
        <v>0</v>
      </c>
      <c r="N88" s="556">
        <v>0</v>
      </c>
      <c r="O88" s="556">
        <v>0.1519674355495251</v>
      </c>
      <c r="P88" s="556">
        <v>0</v>
      </c>
      <c r="Q88" s="556">
        <v>0</v>
      </c>
      <c r="R88" s="556">
        <v>0.3</v>
      </c>
      <c r="S88" s="172">
        <f t="shared" si="1"/>
        <v>1</v>
      </c>
    </row>
    <row r="89" spans="2:19" x14ac:dyDescent="0.3">
      <c r="B89" s="175" t="s">
        <v>465</v>
      </c>
      <c r="C89" s="175">
        <v>2050</v>
      </c>
      <c r="D89" s="176" t="s">
        <v>497</v>
      </c>
      <c r="E89" s="556">
        <v>0</v>
      </c>
      <c r="F89" s="556"/>
      <c r="G89" s="556">
        <v>0</v>
      </c>
      <c r="H89" s="556">
        <v>0.15207756232687</v>
      </c>
      <c r="I89" s="556">
        <v>0</v>
      </c>
      <c r="J89" s="556">
        <v>0</v>
      </c>
      <c r="K89" s="556">
        <v>0</v>
      </c>
      <c r="L89" s="556">
        <v>0</v>
      </c>
      <c r="M89" s="556">
        <v>0</v>
      </c>
      <c r="N89" s="556">
        <v>0</v>
      </c>
      <c r="O89" s="556">
        <v>0.13767313019390601</v>
      </c>
      <c r="P89" s="556">
        <v>0</v>
      </c>
      <c r="Q89" s="556">
        <v>0</v>
      </c>
      <c r="R89" s="556">
        <v>0.71024930747922399</v>
      </c>
      <c r="S89" s="172">
        <f t="shared" si="1"/>
        <v>1</v>
      </c>
    </row>
    <row r="90" spans="2:19" x14ac:dyDescent="0.3">
      <c r="B90" s="180"/>
      <c r="C90" s="180"/>
      <c r="D90" s="181"/>
      <c r="E90" s="557"/>
      <c r="F90" s="557"/>
      <c r="G90" s="557"/>
      <c r="H90" s="557"/>
      <c r="I90" s="557"/>
      <c r="J90" s="557"/>
      <c r="K90" s="557"/>
      <c r="L90" s="557"/>
      <c r="M90" s="557"/>
      <c r="N90" s="557"/>
      <c r="O90" s="557"/>
      <c r="P90" s="557"/>
      <c r="Q90" s="557"/>
      <c r="R90" s="557"/>
      <c r="S90" s="185">
        <f t="shared" si="1"/>
        <v>0</v>
      </c>
    </row>
    <row r="91" spans="2:19" x14ac:dyDescent="0.3">
      <c r="B91" s="175" t="s">
        <v>466</v>
      </c>
      <c r="C91" s="175">
        <v>2021</v>
      </c>
      <c r="D91" s="176"/>
      <c r="E91" s="556">
        <v>5.1378862867308035E-2</v>
      </c>
      <c r="F91" s="556">
        <v>2.8814188170211804E-2</v>
      </c>
      <c r="G91" s="556">
        <v>8.4139055839584937E-3</v>
      </c>
      <c r="H91" s="556">
        <v>0.43763063576671102</v>
      </c>
      <c r="I91" s="556">
        <v>0</v>
      </c>
      <c r="J91" s="556">
        <v>0</v>
      </c>
      <c r="K91" s="556">
        <v>0</v>
      </c>
      <c r="L91" s="556">
        <v>0</v>
      </c>
      <c r="M91" s="556">
        <v>0</v>
      </c>
      <c r="N91" s="556">
        <v>0</v>
      </c>
      <c r="O91" s="556">
        <v>0.46695970689366384</v>
      </c>
      <c r="P91" s="556">
        <v>0</v>
      </c>
      <c r="Q91" s="556">
        <v>6.8027007181468303E-3</v>
      </c>
      <c r="R91" s="556">
        <v>0</v>
      </c>
      <c r="S91" s="172">
        <f t="shared" si="1"/>
        <v>1</v>
      </c>
    </row>
    <row r="92" spans="2:19" x14ac:dyDescent="0.3">
      <c r="B92" s="175" t="s">
        <v>466</v>
      </c>
      <c r="C92" s="175">
        <v>2030</v>
      </c>
      <c r="D92" s="176"/>
      <c r="E92" s="556">
        <v>0.04</v>
      </c>
      <c r="F92" s="556"/>
      <c r="G92" s="556">
        <v>0.01</v>
      </c>
      <c r="H92" s="556">
        <v>0.31</v>
      </c>
      <c r="I92" s="556">
        <v>0.03</v>
      </c>
      <c r="J92" s="556">
        <v>0</v>
      </c>
      <c r="K92" s="556">
        <v>0</v>
      </c>
      <c r="L92" s="556">
        <v>0</v>
      </c>
      <c r="M92" s="556">
        <v>0</v>
      </c>
      <c r="N92" s="556">
        <v>0</v>
      </c>
      <c r="O92" s="556">
        <v>0.6</v>
      </c>
      <c r="P92" s="556">
        <v>0</v>
      </c>
      <c r="Q92" s="556">
        <v>0.01</v>
      </c>
      <c r="R92" s="556">
        <v>0</v>
      </c>
      <c r="S92" s="172">
        <f t="shared" si="1"/>
        <v>1</v>
      </c>
    </row>
    <row r="93" spans="2:19" x14ac:dyDescent="0.3">
      <c r="B93" s="175" t="s">
        <v>466</v>
      </c>
      <c r="C93" s="175">
        <v>2050</v>
      </c>
      <c r="D93" s="176"/>
      <c r="E93" s="556">
        <v>0.03</v>
      </c>
      <c r="F93" s="556"/>
      <c r="G93" s="556">
        <v>0.01</v>
      </c>
      <c r="H93" s="556">
        <v>0.20000000000000007</v>
      </c>
      <c r="I93" s="556">
        <v>0.05</v>
      </c>
      <c r="J93" s="556">
        <v>0</v>
      </c>
      <c r="K93" s="556">
        <v>0</v>
      </c>
      <c r="L93" s="556">
        <v>0</v>
      </c>
      <c r="M93" s="556">
        <v>0</v>
      </c>
      <c r="N93" s="556">
        <v>0</v>
      </c>
      <c r="O93" s="556">
        <v>0.7</v>
      </c>
      <c r="P93" s="556">
        <v>0</v>
      </c>
      <c r="Q93" s="556">
        <v>0.01</v>
      </c>
      <c r="R93" s="556">
        <v>0</v>
      </c>
      <c r="S93" s="172">
        <f t="shared" si="1"/>
        <v>1</v>
      </c>
    </row>
    <row r="94" spans="2:19" x14ac:dyDescent="0.3">
      <c r="B94" s="180"/>
      <c r="C94" s="180"/>
      <c r="D94" s="181"/>
      <c r="E94" s="557"/>
      <c r="F94" s="557"/>
      <c r="G94" s="557"/>
      <c r="H94" s="557"/>
      <c r="I94" s="557"/>
      <c r="J94" s="557"/>
      <c r="K94" s="557"/>
      <c r="L94" s="557"/>
      <c r="M94" s="557"/>
      <c r="N94" s="557"/>
      <c r="O94" s="557"/>
      <c r="P94" s="557"/>
      <c r="Q94" s="557"/>
      <c r="R94" s="557"/>
      <c r="S94" s="185">
        <f t="shared" si="1"/>
        <v>0</v>
      </c>
    </row>
    <row r="95" spans="2:19" x14ac:dyDescent="0.3">
      <c r="B95" s="175" t="s">
        <v>468</v>
      </c>
      <c r="C95" s="175">
        <v>2021</v>
      </c>
      <c r="D95" s="176" t="s">
        <v>497</v>
      </c>
      <c r="E95" s="556">
        <v>0</v>
      </c>
      <c r="F95" s="556">
        <v>0</v>
      </c>
      <c r="G95" s="556">
        <v>2.8112449799196786E-2</v>
      </c>
      <c r="H95" s="556">
        <v>0.25100401606425704</v>
      </c>
      <c r="I95" s="556">
        <v>0</v>
      </c>
      <c r="J95" s="556">
        <v>0</v>
      </c>
      <c r="K95" s="556">
        <v>0</v>
      </c>
      <c r="L95" s="556">
        <v>0</v>
      </c>
      <c r="M95" s="556">
        <v>0</v>
      </c>
      <c r="N95" s="556">
        <v>0</v>
      </c>
      <c r="O95" s="556">
        <v>0.71285140562248994</v>
      </c>
      <c r="P95" s="556">
        <v>0</v>
      </c>
      <c r="Q95" s="556">
        <v>8.0321285140562242E-3</v>
      </c>
      <c r="R95" s="556">
        <v>0</v>
      </c>
      <c r="S95" s="172">
        <f t="shared" si="1"/>
        <v>1</v>
      </c>
    </row>
    <row r="96" spans="2:19" x14ac:dyDescent="0.3">
      <c r="B96" s="175" t="s">
        <v>468</v>
      </c>
      <c r="C96" s="175">
        <v>2030</v>
      </c>
      <c r="D96" s="176" t="s">
        <v>497</v>
      </c>
      <c r="E96" s="556">
        <v>0</v>
      </c>
      <c r="F96" s="556"/>
      <c r="G96" s="558">
        <v>0</v>
      </c>
      <c r="H96" s="558">
        <v>0.15000000000000002</v>
      </c>
      <c r="I96" s="556">
        <v>0</v>
      </c>
      <c r="J96" s="556">
        <v>0</v>
      </c>
      <c r="K96" s="556">
        <v>0</v>
      </c>
      <c r="L96" s="558">
        <v>0</v>
      </c>
      <c r="M96" s="556">
        <v>0</v>
      </c>
      <c r="N96" s="556">
        <v>0</v>
      </c>
      <c r="O96" s="558">
        <v>0.85</v>
      </c>
      <c r="P96" s="556">
        <v>0</v>
      </c>
      <c r="Q96" s="558">
        <v>0</v>
      </c>
      <c r="R96" s="556">
        <v>0</v>
      </c>
      <c r="S96" s="172">
        <f t="shared" si="1"/>
        <v>1</v>
      </c>
    </row>
    <row r="97" spans="2:20" x14ac:dyDescent="0.3">
      <c r="B97" s="175" t="s">
        <v>468</v>
      </c>
      <c r="C97" s="175">
        <v>2050</v>
      </c>
      <c r="D97" s="176" t="s">
        <v>497</v>
      </c>
      <c r="E97" s="556">
        <v>0</v>
      </c>
      <c r="F97" s="556"/>
      <c r="G97" s="556">
        <v>0</v>
      </c>
      <c r="H97" s="558">
        <v>0.11</v>
      </c>
      <c r="I97" s="556">
        <v>0</v>
      </c>
      <c r="J97" s="556">
        <v>0</v>
      </c>
      <c r="K97" s="556">
        <v>0</v>
      </c>
      <c r="L97" s="558">
        <v>0</v>
      </c>
      <c r="M97" s="556">
        <v>0</v>
      </c>
      <c r="N97" s="556">
        <v>0</v>
      </c>
      <c r="O97" s="558">
        <v>0.87</v>
      </c>
      <c r="P97" s="556">
        <v>0</v>
      </c>
      <c r="Q97" s="558">
        <v>0</v>
      </c>
      <c r="R97" s="558">
        <v>0.02</v>
      </c>
      <c r="S97" s="172">
        <f t="shared" si="1"/>
        <v>1</v>
      </c>
    </row>
    <row r="98" spans="2:20" x14ac:dyDescent="0.3">
      <c r="B98" s="180"/>
      <c r="C98" s="180"/>
      <c r="D98" s="181"/>
      <c r="E98" s="557"/>
      <c r="F98" s="557"/>
      <c r="G98" s="557"/>
      <c r="H98" s="557"/>
      <c r="I98" s="557"/>
      <c r="J98" s="557"/>
      <c r="K98" s="557"/>
      <c r="L98" s="557"/>
      <c r="M98" s="557"/>
      <c r="N98" s="557"/>
      <c r="O98" s="557"/>
      <c r="P98" s="557"/>
      <c r="Q98" s="557"/>
      <c r="R98" s="557"/>
      <c r="S98" s="185">
        <f t="shared" si="1"/>
        <v>0</v>
      </c>
    </row>
    <row r="99" spans="2:20" x14ac:dyDescent="0.3">
      <c r="B99" s="175" t="s">
        <v>470</v>
      </c>
      <c r="C99" s="175">
        <v>2021</v>
      </c>
      <c r="D99" s="176" t="s">
        <v>497</v>
      </c>
      <c r="E99" s="556">
        <v>0</v>
      </c>
      <c r="F99" s="556">
        <v>0</v>
      </c>
      <c r="G99" s="556">
        <v>2.4619339529365233E-2</v>
      </c>
      <c r="H99" s="556">
        <v>0.63990508206446506</v>
      </c>
      <c r="I99" s="556">
        <v>0</v>
      </c>
      <c r="J99" s="556">
        <v>0</v>
      </c>
      <c r="K99" s="556">
        <v>0</v>
      </c>
      <c r="L99" s="556">
        <v>0</v>
      </c>
      <c r="M99" s="556">
        <v>0</v>
      </c>
      <c r="N99" s="556">
        <v>0</v>
      </c>
      <c r="O99" s="556">
        <v>0.33547557840616965</v>
      </c>
      <c r="P99" s="556">
        <v>0</v>
      </c>
      <c r="Q99" s="556">
        <v>0</v>
      </c>
      <c r="R99" s="556">
        <v>0</v>
      </c>
      <c r="S99" s="172">
        <f t="shared" si="1"/>
        <v>1</v>
      </c>
    </row>
    <row r="100" spans="2:20" x14ac:dyDescent="0.3">
      <c r="B100" s="175" t="s">
        <v>470</v>
      </c>
      <c r="C100" s="175">
        <v>2030</v>
      </c>
      <c r="D100" s="176" t="s">
        <v>497</v>
      </c>
      <c r="E100" s="556">
        <v>0</v>
      </c>
      <c r="F100" s="556"/>
      <c r="G100" s="556">
        <v>0</v>
      </c>
      <c r="H100" s="558">
        <v>0.55000000000000004</v>
      </c>
      <c r="I100" s="556">
        <v>0</v>
      </c>
      <c r="J100" s="556">
        <v>0</v>
      </c>
      <c r="K100" s="556">
        <v>0</v>
      </c>
      <c r="L100" s="556">
        <v>0</v>
      </c>
      <c r="M100" s="556">
        <v>0</v>
      </c>
      <c r="N100" s="556">
        <v>0</v>
      </c>
      <c r="O100" s="558">
        <v>0.45</v>
      </c>
      <c r="P100" s="556">
        <v>0</v>
      </c>
      <c r="Q100" s="556">
        <v>0</v>
      </c>
      <c r="R100" s="556">
        <v>0</v>
      </c>
      <c r="S100" s="172">
        <f t="shared" si="1"/>
        <v>1</v>
      </c>
      <c r="T100" t="s">
        <v>1040</v>
      </c>
    </row>
    <row r="101" spans="2:20" x14ac:dyDescent="0.3">
      <c r="B101" s="175" t="s">
        <v>470</v>
      </c>
      <c r="C101" s="175">
        <v>2050</v>
      </c>
      <c r="D101" s="176" t="s">
        <v>497</v>
      </c>
      <c r="E101" s="556">
        <v>0</v>
      </c>
      <c r="F101" s="556"/>
      <c r="G101" s="556">
        <v>0</v>
      </c>
      <c r="H101" s="558">
        <v>0.2</v>
      </c>
      <c r="I101" s="556">
        <v>0</v>
      </c>
      <c r="J101" s="556">
        <v>0</v>
      </c>
      <c r="K101" s="556">
        <v>0</v>
      </c>
      <c r="L101" s="556">
        <v>0</v>
      </c>
      <c r="M101" s="556">
        <v>0</v>
      </c>
      <c r="N101" s="556">
        <v>0</v>
      </c>
      <c r="O101" s="558">
        <v>0.8</v>
      </c>
      <c r="P101" s="556">
        <v>0</v>
      </c>
      <c r="Q101" s="556">
        <v>0</v>
      </c>
      <c r="R101" s="556">
        <v>0</v>
      </c>
      <c r="S101" s="172">
        <f t="shared" si="1"/>
        <v>1</v>
      </c>
    </row>
    <row r="102" spans="2:20" x14ac:dyDescent="0.3">
      <c r="B102" s="180"/>
      <c r="C102" s="180"/>
      <c r="D102" s="181"/>
      <c r="E102" s="557"/>
      <c r="F102" s="557"/>
      <c r="G102" s="557"/>
      <c r="H102" s="557"/>
      <c r="I102" s="557"/>
      <c r="J102" s="557"/>
      <c r="K102" s="557"/>
      <c r="L102" s="557"/>
      <c r="M102" s="557"/>
      <c r="N102" s="557"/>
      <c r="O102" s="557"/>
      <c r="P102" s="557"/>
      <c r="Q102" s="557"/>
      <c r="R102" s="557"/>
      <c r="S102" s="185">
        <f t="shared" si="1"/>
        <v>0</v>
      </c>
    </row>
    <row r="103" spans="2:20" x14ac:dyDescent="0.3">
      <c r="B103" s="175" t="s">
        <v>472</v>
      </c>
      <c r="C103" s="175">
        <v>2021</v>
      </c>
      <c r="D103" s="176" t="s">
        <v>497</v>
      </c>
      <c r="E103" s="556">
        <v>0</v>
      </c>
      <c r="F103" s="556">
        <v>0</v>
      </c>
      <c r="G103" s="556">
        <v>0</v>
      </c>
      <c r="H103" s="556">
        <v>0.28501215223037196</v>
      </c>
      <c r="I103" s="556">
        <v>2.5709965882248736E-3</v>
      </c>
      <c r="J103" s="556">
        <v>0</v>
      </c>
      <c r="K103" s="556">
        <v>0</v>
      </c>
      <c r="L103" s="556">
        <v>0</v>
      </c>
      <c r="M103" s="556">
        <v>0</v>
      </c>
      <c r="N103" s="556">
        <v>0</v>
      </c>
      <c r="O103" s="556">
        <v>0.67273231319747828</v>
      </c>
      <c r="P103" s="556">
        <v>0</v>
      </c>
      <c r="Q103" s="556">
        <v>3.9684537983924878E-2</v>
      </c>
      <c r="R103" s="556">
        <v>0</v>
      </c>
      <c r="S103" s="172">
        <f t="shared" si="1"/>
        <v>1</v>
      </c>
    </row>
    <row r="104" spans="2:20" x14ac:dyDescent="0.3">
      <c r="B104" s="175" t="s">
        <v>472</v>
      </c>
      <c r="C104" s="175">
        <v>2030</v>
      </c>
      <c r="D104" s="176" t="s">
        <v>497</v>
      </c>
      <c r="E104" s="556">
        <v>0</v>
      </c>
      <c r="F104" s="556"/>
      <c r="G104" s="556">
        <v>0</v>
      </c>
      <c r="H104" s="556">
        <f>28.8883830428589%-8%</f>
        <v>0.20888383042858899</v>
      </c>
      <c r="I104" s="556">
        <v>0.03</v>
      </c>
      <c r="J104" s="556">
        <v>0</v>
      </c>
      <c r="K104" s="556">
        <v>0</v>
      </c>
      <c r="L104" s="556">
        <v>0</v>
      </c>
      <c r="M104" s="556">
        <v>0</v>
      </c>
      <c r="N104" s="556">
        <v>0</v>
      </c>
      <c r="O104" s="556">
        <f>55.1116169571411%+15%</f>
        <v>0.7011161695714111</v>
      </c>
      <c r="P104" s="556">
        <v>0</v>
      </c>
      <c r="Q104" s="556">
        <v>0.03</v>
      </c>
      <c r="R104" s="556">
        <v>0.03</v>
      </c>
      <c r="S104" s="172">
        <f t="shared" si="1"/>
        <v>1</v>
      </c>
    </row>
    <row r="105" spans="2:20" x14ac:dyDescent="0.3">
      <c r="B105" s="175" t="s">
        <v>472</v>
      </c>
      <c r="C105" s="175">
        <v>2050</v>
      </c>
      <c r="D105" s="176" t="s">
        <v>497</v>
      </c>
      <c r="E105" s="556">
        <v>0</v>
      </c>
      <c r="F105" s="556"/>
      <c r="G105" s="556">
        <v>0</v>
      </c>
      <c r="H105" s="556">
        <v>0.08</v>
      </c>
      <c r="I105" s="556">
        <v>0.05</v>
      </c>
      <c r="J105" s="556">
        <v>0</v>
      </c>
      <c r="K105" s="556">
        <v>0</v>
      </c>
      <c r="L105" s="556">
        <v>0</v>
      </c>
      <c r="M105" s="556">
        <v>0</v>
      </c>
      <c r="N105" s="556">
        <v>0</v>
      </c>
      <c r="O105" s="556">
        <v>0.79</v>
      </c>
      <c r="P105" s="556">
        <v>0</v>
      </c>
      <c r="Q105" s="556">
        <v>0</v>
      </c>
      <c r="R105" s="556">
        <v>0.08</v>
      </c>
      <c r="S105" s="172">
        <f t="shared" si="1"/>
        <v>1</v>
      </c>
    </row>
    <row r="106" spans="2:20" x14ac:dyDescent="0.3">
      <c r="B106" s="180"/>
      <c r="C106" s="180"/>
      <c r="D106" s="181"/>
      <c r="E106" s="184"/>
      <c r="F106" s="184"/>
      <c r="G106" s="184"/>
      <c r="H106" s="184"/>
      <c r="I106" s="184"/>
      <c r="J106" s="184"/>
      <c r="K106" s="184"/>
      <c r="L106" s="184"/>
      <c r="M106" s="184"/>
      <c r="N106" s="184"/>
      <c r="O106" s="184"/>
      <c r="P106" s="184"/>
      <c r="Q106" s="184"/>
      <c r="R106" s="184"/>
      <c r="S106" s="185">
        <f t="shared" si="1"/>
        <v>0</v>
      </c>
    </row>
    <row r="107" spans="2:20" x14ac:dyDescent="0.3">
      <c r="B107" s="424" t="s">
        <v>25</v>
      </c>
      <c r="C107" s="424"/>
      <c r="D107" s="424"/>
      <c r="E107" s="171" t="s">
        <v>438</v>
      </c>
      <c r="F107" s="171" t="s">
        <v>454</v>
      </c>
      <c r="G107" s="171" t="s">
        <v>440</v>
      </c>
      <c r="H107" s="171" t="s">
        <v>441</v>
      </c>
      <c r="I107" s="171" t="s">
        <v>450</v>
      </c>
      <c r="J107" s="171" t="s">
        <v>451</v>
      </c>
      <c r="K107" s="171" t="s">
        <v>452</v>
      </c>
      <c r="L107" s="171" t="s">
        <v>453</v>
      </c>
      <c r="M107" s="171" t="s">
        <v>443</v>
      </c>
      <c r="N107" s="171" t="s">
        <v>444</v>
      </c>
      <c r="O107" s="171" t="s">
        <v>495</v>
      </c>
      <c r="P107" s="171" t="s">
        <v>455</v>
      </c>
      <c r="Q107" s="171" t="s">
        <v>446</v>
      </c>
      <c r="R107" s="171" t="s">
        <v>447</v>
      </c>
      <c r="S107" s="172">
        <f t="shared" si="1"/>
        <v>0</v>
      </c>
    </row>
    <row r="108" spans="2:20" x14ac:dyDescent="0.3">
      <c r="B108" s="175" t="s">
        <v>870</v>
      </c>
      <c r="C108" s="175">
        <v>2021</v>
      </c>
      <c r="D108" s="176" t="s">
        <v>497</v>
      </c>
      <c r="E108" s="556">
        <v>0</v>
      </c>
      <c r="F108" s="556">
        <v>0</v>
      </c>
      <c r="G108" s="559">
        <v>4.9999999999999992E-3</v>
      </c>
      <c r="H108" s="559">
        <v>0.92999999999999994</v>
      </c>
      <c r="I108" s="559">
        <v>4.9999999999999992E-3</v>
      </c>
      <c r="J108" s="556">
        <v>0</v>
      </c>
      <c r="K108" s="556">
        <v>0</v>
      </c>
      <c r="L108" s="556">
        <v>0</v>
      </c>
      <c r="M108" s="556">
        <v>0</v>
      </c>
      <c r="N108" s="556">
        <v>0</v>
      </c>
      <c r="O108" s="559">
        <v>5.9999999999999984E-2</v>
      </c>
      <c r="P108" s="556">
        <v>0</v>
      </c>
      <c r="Q108" s="556">
        <v>0</v>
      </c>
      <c r="R108" s="559">
        <v>0</v>
      </c>
      <c r="S108" s="172">
        <f t="shared" si="1"/>
        <v>0.99999999999999989</v>
      </c>
    </row>
    <row r="109" spans="2:20" x14ac:dyDescent="0.3">
      <c r="B109" s="175" t="s">
        <v>870</v>
      </c>
      <c r="C109" s="175">
        <v>2030</v>
      </c>
      <c r="D109" s="176" t="s">
        <v>497</v>
      </c>
      <c r="E109" s="556">
        <v>0</v>
      </c>
      <c r="F109" s="556"/>
      <c r="G109" s="559">
        <v>4.9999999999999992E-3</v>
      </c>
      <c r="H109" s="559">
        <v>0.92999999999999994</v>
      </c>
      <c r="I109" s="559">
        <v>4.9999999999999992E-3</v>
      </c>
      <c r="J109" s="556">
        <v>0</v>
      </c>
      <c r="K109" s="556">
        <v>0</v>
      </c>
      <c r="L109" s="556">
        <v>0</v>
      </c>
      <c r="M109" s="556">
        <v>0</v>
      </c>
      <c r="N109" s="556">
        <v>0</v>
      </c>
      <c r="O109" s="559">
        <v>0.06</v>
      </c>
      <c r="P109" s="556">
        <v>0</v>
      </c>
      <c r="Q109" s="556">
        <v>0</v>
      </c>
      <c r="R109" s="559">
        <v>0</v>
      </c>
      <c r="S109" s="172">
        <f t="shared" si="1"/>
        <v>1</v>
      </c>
    </row>
    <row r="110" spans="2:20" x14ac:dyDescent="0.3">
      <c r="B110" s="175" t="s">
        <v>870</v>
      </c>
      <c r="C110" s="175">
        <v>2050</v>
      </c>
      <c r="D110" s="176" t="s">
        <v>497</v>
      </c>
      <c r="E110" s="556">
        <v>0</v>
      </c>
      <c r="F110" s="556"/>
      <c r="G110" s="559">
        <v>4.9999999999999992E-3</v>
      </c>
      <c r="H110" s="559">
        <v>0.92999999999999994</v>
      </c>
      <c r="I110" s="559">
        <v>4.9999999999999992E-3</v>
      </c>
      <c r="J110" s="556">
        <v>0</v>
      </c>
      <c r="K110" s="556">
        <v>0</v>
      </c>
      <c r="L110" s="556">
        <v>0</v>
      </c>
      <c r="M110" s="556">
        <v>0</v>
      </c>
      <c r="N110" s="556">
        <v>0</v>
      </c>
      <c r="O110" s="559">
        <v>0.06</v>
      </c>
      <c r="P110" s="556">
        <v>0</v>
      </c>
      <c r="Q110" s="556">
        <v>0</v>
      </c>
      <c r="R110" s="559">
        <v>0</v>
      </c>
      <c r="S110" s="172">
        <f t="shared" si="1"/>
        <v>1</v>
      </c>
    </row>
    <row r="111" spans="2:20" x14ac:dyDescent="0.3">
      <c r="B111" s="180"/>
      <c r="C111" s="180"/>
      <c r="D111" s="181"/>
      <c r="E111" s="557"/>
      <c r="F111" s="557"/>
      <c r="G111" s="557"/>
      <c r="H111" s="557"/>
      <c r="I111" s="557"/>
      <c r="J111" s="557"/>
      <c r="K111" s="557"/>
      <c r="L111" s="557"/>
      <c r="M111" s="557"/>
      <c r="N111" s="557"/>
      <c r="O111" s="557"/>
      <c r="P111" s="557"/>
      <c r="Q111" s="557"/>
      <c r="R111" s="557"/>
      <c r="S111" s="185">
        <f t="shared" si="1"/>
        <v>0</v>
      </c>
    </row>
    <row r="112" spans="2:20" x14ac:dyDescent="0.3">
      <c r="B112" s="175" t="s">
        <v>475</v>
      </c>
      <c r="C112" s="175">
        <v>2021</v>
      </c>
      <c r="D112" s="176" t="s">
        <v>497</v>
      </c>
      <c r="E112" s="556">
        <v>0</v>
      </c>
      <c r="F112" s="556">
        <v>0</v>
      </c>
      <c r="G112" s="556">
        <v>2.2797872030274474E-2</v>
      </c>
      <c r="H112" s="556">
        <v>0.64404566692837173</v>
      </c>
      <c r="I112" s="556">
        <v>1.4462768081301218E-2</v>
      </c>
      <c r="J112" s="556">
        <v>0</v>
      </c>
      <c r="K112" s="556">
        <v>0</v>
      </c>
      <c r="L112" s="556">
        <v>0</v>
      </c>
      <c r="M112" s="556">
        <v>0</v>
      </c>
      <c r="N112" s="556">
        <v>0</v>
      </c>
      <c r="O112" s="556">
        <v>0.17466629843776149</v>
      </c>
      <c r="P112" s="556">
        <v>0</v>
      </c>
      <c r="Q112" s="556">
        <v>0.14402739452229107</v>
      </c>
      <c r="R112" s="556">
        <v>0</v>
      </c>
      <c r="S112" s="172">
        <f t="shared" si="1"/>
        <v>1</v>
      </c>
    </row>
    <row r="113" spans="2:20" x14ac:dyDescent="0.3">
      <c r="B113" s="175" t="s">
        <v>475</v>
      </c>
      <c r="C113" s="175">
        <v>2030</v>
      </c>
      <c r="D113" s="176" t="s">
        <v>497</v>
      </c>
      <c r="E113" s="556">
        <v>0</v>
      </c>
      <c r="F113" s="556">
        <v>0</v>
      </c>
      <c r="G113" s="558">
        <v>0.02</v>
      </c>
      <c r="H113" s="558">
        <v>0.35</v>
      </c>
      <c r="I113" s="558">
        <v>1.4E-2</v>
      </c>
      <c r="J113" s="556">
        <v>0</v>
      </c>
      <c r="K113" s="556">
        <v>0</v>
      </c>
      <c r="L113" s="556">
        <v>0</v>
      </c>
      <c r="M113" s="556">
        <v>0</v>
      </c>
      <c r="N113" s="556">
        <v>0</v>
      </c>
      <c r="O113" s="558">
        <v>0.47599999999999998</v>
      </c>
      <c r="P113" s="556">
        <v>0</v>
      </c>
      <c r="Q113" s="558">
        <v>0.14000000000000001</v>
      </c>
      <c r="R113" s="556">
        <v>0</v>
      </c>
      <c r="S113" s="172">
        <f t="shared" si="1"/>
        <v>1</v>
      </c>
    </row>
    <row r="114" spans="2:20" x14ac:dyDescent="0.3">
      <c r="B114" s="175" t="s">
        <v>475</v>
      </c>
      <c r="C114" s="175">
        <v>2050</v>
      </c>
      <c r="D114" s="176" t="s">
        <v>497</v>
      </c>
      <c r="E114" s="556">
        <v>0</v>
      </c>
      <c r="F114" s="556"/>
      <c r="G114" s="558">
        <v>1.7000000000000001E-2</v>
      </c>
      <c r="H114" s="558">
        <v>0.1</v>
      </c>
      <c r="I114" s="558">
        <v>1.4999999999999999E-2</v>
      </c>
      <c r="J114" s="556">
        <v>0</v>
      </c>
      <c r="K114" s="556">
        <v>0</v>
      </c>
      <c r="L114" s="556">
        <v>0</v>
      </c>
      <c r="M114" s="556">
        <v>0</v>
      </c>
      <c r="N114" s="556">
        <v>0</v>
      </c>
      <c r="O114" s="558">
        <v>0.71799999999999997</v>
      </c>
      <c r="P114" s="556">
        <v>0</v>
      </c>
      <c r="Q114" s="558">
        <v>0.15</v>
      </c>
      <c r="R114" s="556">
        <v>0</v>
      </c>
      <c r="S114" s="172">
        <f t="shared" si="1"/>
        <v>1</v>
      </c>
      <c r="T114" t="s">
        <v>1041</v>
      </c>
    </row>
    <row r="115" spans="2:20" x14ac:dyDescent="0.3">
      <c r="B115" s="180"/>
      <c r="C115" s="180"/>
      <c r="D115" s="181"/>
      <c r="E115" s="557"/>
      <c r="F115" s="557"/>
      <c r="G115" s="557"/>
      <c r="H115" s="557"/>
      <c r="I115" s="557"/>
      <c r="J115" s="557"/>
      <c r="K115" s="557"/>
      <c r="L115" s="557"/>
      <c r="M115" s="557"/>
      <c r="N115" s="557"/>
      <c r="O115" s="557"/>
      <c r="P115" s="557"/>
      <c r="Q115" s="557"/>
      <c r="R115" s="557"/>
      <c r="S115" s="185">
        <f t="shared" si="1"/>
        <v>0</v>
      </c>
    </row>
    <row r="116" spans="2:20" x14ac:dyDescent="0.3">
      <c r="B116" s="175" t="s">
        <v>478</v>
      </c>
      <c r="C116" s="175">
        <v>2021</v>
      </c>
      <c r="D116" s="176" t="s">
        <v>497</v>
      </c>
      <c r="E116" s="556">
        <v>0.170315869678687</v>
      </c>
      <c r="F116" s="556">
        <v>0</v>
      </c>
      <c r="G116" s="556">
        <v>0</v>
      </c>
      <c r="H116" s="556">
        <v>-2.9233733835709483E-5</v>
      </c>
      <c r="I116" s="556">
        <v>3.6413531053419303E-2</v>
      </c>
      <c r="J116" s="556">
        <v>0</v>
      </c>
      <c r="K116" s="556">
        <v>0</v>
      </c>
      <c r="L116" s="556">
        <v>0</v>
      </c>
      <c r="M116" s="556">
        <v>0</v>
      </c>
      <c r="N116" s="556">
        <v>0</v>
      </c>
      <c r="O116" s="556">
        <v>0.57581314710275977</v>
      </c>
      <c r="P116" s="556">
        <v>0</v>
      </c>
      <c r="Q116" s="556">
        <v>0.21748668589896974</v>
      </c>
      <c r="R116" s="556">
        <v>0</v>
      </c>
      <c r="S116" s="172">
        <f t="shared" si="1"/>
        <v>1</v>
      </c>
    </row>
    <row r="117" spans="2:20" x14ac:dyDescent="0.3">
      <c r="B117" s="175" t="s">
        <v>478</v>
      </c>
      <c r="C117" s="175">
        <v>2030</v>
      </c>
      <c r="D117" s="176" t="s">
        <v>497</v>
      </c>
      <c r="E117" s="556">
        <v>0</v>
      </c>
      <c r="F117" s="556"/>
      <c r="G117" s="556">
        <v>0.06</v>
      </c>
      <c r="H117" s="556">
        <v>0.04</v>
      </c>
      <c r="I117" s="556">
        <v>0.04</v>
      </c>
      <c r="J117" s="556">
        <v>0</v>
      </c>
      <c r="K117" s="556">
        <v>0</v>
      </c>
      <c r="L117" s="556">
        <v>0</v>
      </c>
      <c r="M117" s="556">
        <v>0.04</v>
      </c>
      <c r="N117" s="556">
        <v>0</v>
      </c>
      <c r="O117" s="556">
        <v>0.56999999999999995</v>
      </c>
      <c r="P117" s="556">
        <v>0.02</v>
      </c>
      <c r="Q117" s="556">
        <v>0.23</v>
      </c>
      <c r="R117" s="556">
        <v>0</v>
      </c>
      <c r="S117" s="172">
        <f t="shared" si="1"/>
        <v>1</v>
      </c>
    </row>
    <row r="118" spans="2:20" x14ac:dyDescent="0.3">
      <c r="B118" s="175" t="s">
        <v>478</v>
      </c>
      <c r="C118" s="175">
        <v>2050</v>
      </c>
      <c r="D118" s="176" t="s">
        <v>497</v>
      </c>
      <c r="E118" s="556">
        <v>0</v>
      </c>
      <c r="F118" s="556"/>
      <c r="G118" s="556">
        <v>0</v>
      </c>
      <c r="H118" s="556">
        <v>0.02</v>
      </c>
      <c r="I118" s="556">
        <v>0.05</v>
      </c>
      <c r="J118" s="556">
        <v>0</v>
      </c>
      <c r="K118" s="556">
        <v>0</v>
      </c>
      <c r="L118" s="556">
        <v>0</v>
      </c>
      <c r="M118" s="556">
        <v>0.1</v>
      </c>
      <c r="N118" s="556">
        <v>0.01</v>
      </c>
      <c r="O118" s="556">
        <v>0.56999999999999995</v>
      </c>
      <c r="P118" s="556">
        <v>0</v>
      </c>
      <c r="Q118" s="556">
        <v>0.25</v>
      </c>
      <c r="R118" s="556">
        <v>0</v>
      </c>
      <c r="S118" s="172">
        <f t="shared" si="1"/>
        <v>1</v>
      </c>
    </row>
    <row r="119" spans="2:20" x14ac:dyDescent="0.3">
      <c r="B119" s="180"/>
      <c r="C119" s="180"/>
      <c r="D119" s="181"/>
      <c r="E119" s="184"/>
      <c r="F119" s="184"/>
      <c r="G119" s="184"/>
      <c r="H119" s="184"/>
      <c r="I119" s="184"/>
      <c r="J119" s="184"/>
      <c r="K119" s="184"/>
      <c r="L119" s="184"/>
      <c r="M119" s="184"/>
      <c r="N119" s="184"/>
      <c r="O119" s="184"/>
      <c r="P119" s="184"/>
      <c r="Q119" s="184"/>
      <c r="R119" s="184"/>
      <c r="S119" s="185">
        <f t="shared" si="1"/>
        <v>0</v>
      </c>
    </row>
    <row r="120" spans="2:20" x14ac:dyDescent="0.3">
      <c r="B120" s="424" t="s">
        <v>479</v>
      </c>
      <c r="C120" s="424"/>
      <c r="D120" s="424"/>
      <c r="E120" s="171" t="s">
        <v>438</v>
      </c>
      <c r="F120" s="171" t="s">
        <v>454</v>
      </c>
      <c r="G120" s="171" t="s">
        <v>440</v>
      </c>
      <c r="H120" s="171" t="s">
        <v>441</v>
      </c>
      <c r="I120" s="171" t="s">
        <v>450</v>
      </c>
      <c r="J120" s="171" t="s">
        <v>451</v>
      </c>
      <c r="K120" s="171" t="s">
        <v>452</v>
      </c>
      <c r="L120" s="171" t="s">
        <v>453</v>
      </c>
      <c r="M120" s="171" t="s">
        <v>443</v>
      </c>
      <c r="N120" s="171" t="s">
        <v>444</v>
      </c>
      <c r="O120" s="171" t="s">
        <v>495</v>
      </c>
      <c r="P120" s="171" t="s">
        <v>455</v>
      </c>
      <c r="Q120" s="171" t="s">
        <v>446</v>
      </c>
      <c r="R120" s="171" t="s">
        <v>447</v>
      </c>
      <c r="S120" s="172">
        <f t="shared" si="1"/>
        <v>0</v>
      </c>
    </row>
    <row r="121" spans="2:20" x14ac:dyDescent="0.3">
      <c r="B121" s="175" t="s">
        <v>480</v>
      </c>
      <c r="C121" s="175">
        <v>2021</v>
      </c>
      <c r="D121" s="176" t="s">
        <v>497</v>
      </c>
      <c r="E121" s="556">
        <v>0.14000000000000001</v>
      </c>
      <c r="F121" s="556">
        <v>0</v>
      </c>
      <c r="G121" s="556">
        <v>0.38499999999999995</v>
      </c>
      <c r="H121" s="556">
        <v>1.9999999999999997E-2</v>
      </c>
      <c r="I121" s="556">
        <v>0.16999999999999998</v>
      </c>
      <c r="J121" s="556">
        <v>0.25499999999999995</v>
      </c>
      <c r="K121" s="556">
        <v>0</v>
      </c>
      <c r="L121" s="556">
        <v>0</v>
      </c>
      <c r="M121" s="556">
        <v>0</v>
      </c>
      <c r="N121" s="556">
        <v>0</v>
      </c>
      <c r="O121" s="556">
        <v>2.9999999999999995E-2</v>
      </c>
      <c r="P121" s="556">
        <v>0</v>
      </c>
      <c r="Q121" s="556">
        <v>0</v>
      </c>
      <c r="R121" s="556">
        <v>0</v>
      </c>
      <c r="S121" s="172">
        <f t="shared" si="1"/>
        <v>0.99999999999999978</v>
      </c>
    </row>
    <row r="122" spans="2:20" x14ac:dyDescent="0.3">
      <c r="B122" s="175" t="s">
        <v>480</v>
      </c>
      <c r="C122" s="175">
        <v>2030</v>
      </c>
      <c r="D122" s="176" t="s">
        <v>497</v>
      </c>
      <c r="E122" s="556">
        <v>0.03</v>
      </c>
      <c r="F122" s="556"/>
      <c r="G122" s="556">
        <v>0.13</v>
      </c>
      <c r="H122" s="556">
        <v>0.01</v>
      </c>
      <c r="I122" s="556">
        <v>0.23</v>
      </c>
      <c r="J122" s="556">
        <v>0.46</v>
      </c>
      <c r="K122" s="556">
        <v>0</v>
      </c>
      <c r="L122" s="556">
        <v>0</v>
      </c>
      <c r="M122" s="556">
        <v>0</v>
      </c>
      <c r="N122" s="556">
        <v>0</v>
      </c>
      <c r="O122" s="556">
        <v>0.13</v>
      </c>
      <c r="P122" s="556">
        <v>0</v>
      </c>
      <c r="Q122" s="556">
        <v>0.01</v>
      </c>
      <c r="R122" s="556">
        <v>0</v>
      </c>
      <c r="S122" s="172">
        <f t="shared" si="1"/>
        <v>1</v>
      </c>
    </row>
    <row r="123" spans="2:20" x14ac:dyDescent="0.3">
      <c r="B123" s="175" t="s">
        <v>480</v>
      </c>
      <c r="C123" s="175">
        <v>2050</v>
      </c>
      <c r="D123" s="176" t="s">
        <v>497</v>
      </c>
      <c r="E123" s="556">
        <v>0</v>
      </c>
      <c r="F123" s="556"/>
      <c r="G123" s="556">
        <v>7.0000000000000007E-2</v>
      </c>
      <c r="H123" s="556">
        <v>0.01</v>
      </c>
      <c r="I123" s="556">
        <v>0.28999999999999998</v>
      </c>
      <c r="J123" s="556">
        <v>0.48</v>
      </c>
      <c r="K123" s="556">
        <v>0</v>
      </c>
      <c r="L123" s="556">
        <v>0</v>
      </c>
      <c r="M123" s="556">
        <v>0</v>
      </c>
      <c r="N123" s="556">
        <v>0</v>
      </c>
      <c r="O123" s="556">
        <v>0.13</v>
      </c>
      <c r="P123" s="556">
        <v>0</v>
      </c>
      <c r="Q123" s="556">
        <v>0.02</v>
      </c>
      <c r="R123" s="556">
        <v>0</v>
      </c>
      <c r="S123" s="172">
        <f t="shared" si="1"/>
        <v>1</v>
      </c>
    </row>
    <row r="124" spans="2:20" x14ac:dyDescent="0.3">
      <c r="B124" s="180"/>
      <c r="C124" s="180"/>
      <c r="D124" s="181"/>
      <c r="E124" s="557"/>
      <c r="F124" s="557"/>
      <c r="G124" s="557"/>
      <c r="H124" s="557"/>
      <c r="I124" s="557"/>
      <c r="J124" s="557"/>
      <c r="K124" s="557"/>
      <c r="L124" s="557"/>
      <c r="M124" s="557"/>
      <c r="N124" s="557"/>
      <c r="O124" s="557"/>
      <c r="P124" s="557"/>
      <c r="Q124" s="557"/>
      <c r="R124" s="557"/>
      <c r="S124" s="185">
        <f t="shared" si="1"/>
        <v>0</v>
      </c>
    </row>
    <row r="125" spans="2:20" x14ac:dyDescent="0.3">
      <c r="B125" s="175" t="s">
        <v>481</v>
      </c>
      <c r="C125" s="175">
        <v>2021</v>
      </c>
      <c r="D125" s="176" t="s">
        <v>497</v>
      </c>
      <c r="E125" s="556">
        <v>0</v>
      </c>
      <c r="F125" s="556">
        <v>0</v>
      </c>
      <c r="G125" s="556">
        <v>0.09</v>
      </c>
      <c r="H125" s="556">
        <v>0.67</v>
      </c>
      <c r="I125" s="556">
        <v>0</v>
      </c>
      <c r="J125" s="556">
        <v>0</v>
      </c>
      <c r="K125" s="556">
        <v>0</v>
      </c>
      <c r="L125" s="556">
        <v>0</v>
      </c>
      <c r="M125" s="556">
        <v>0</v>
      </c>
      <c r="N125" s="556">
        <v>0</v>
      </c>
      <c r="O125" s="556">
        <v>0.24</v>
      </c>
      <c r="P125" s="556">
        <v>0</v>
      </c>
      <c r="Q125" s="556">
        <v>0</v>
      </c>
      <c r="R125" s="556">
        <v>0</v>
      </c>
      <c r="S125" s="172">
        <f t="shared" si="1"/>
        <v>1</v>
      </c>
    </row>
    <row r="126" spans="2:20" x14ac:dyDescent="0.3">
      <c r="B126" s="175" t="s">
        <v>481</v>
      </c>
      <c r="C126" s="175">
        <v>2030</v>
      </c>
      <c r="D126" s="176" t="s">
        <v>497</v>
      </c>
      <c r="E126" s="556">
        <v>0</v>
      </c>
      <c r="F126" s="556"/>
      <c r="G126" s="558">
        <v>0</v>
      </c>
      <c r="H126" s="558">
        <v>0.54</v>
      </c>
      <c r="I126" s="556">
        <v>0</v>
      </c>
      <c r="J126" s="556">
        <v>0</v>
      </c>
      <c r="K126" s="556">
        <v>0</v>
      </c>
      <c r="L126" s="558">
        <v>0</v>
      </c>
      <c r="M126" s="556">
        <v>0</v>
      </c>
      <c r="N126" s="556">
        <v>0</v>
      </c>
      <c r="O126" s="558">
        <v>0.45</v>
      </c>
      <c r="P126" s="556">
        <v>0</v>
      </c>
      <c r="Q126" s="556">
        <v>0</v>
      </c>
      <c r="R126" s="558">
        <v>0.01</v>
      </c>
      <c r="S126" s="172">
        <f t="shared" si="1"/>
        <v>1</v>
      </c>
    </row>
    <row r="127" spans="2:20" x14ac:dyDescent="0.3">
      <c r="B127" s="175" t="s">
        <v>481</v>
      </c>
      <c r="C127" s="175">
        <v>2050</v>
      </c>
      <c r="D127" s="176" t="s">
        <v>497</v>
      </c>
      <c r="E127" s="556">
        <v>0</v>
      </c>
      <c r="F127" s="556"/>
      <c r="G127" s="558">
        <v>0</v>
      </c>
      <c r="H127" s="558">
        <v>0.2</v>
      </c>
      <c r="I127" s="556">
        <v>0</v>
      </c>
      <c r="J127" s="556">
        <v>0</v>
      </c>
      <c r="K127" s="556">
        <v>0</v>
      </c>
      <c r="L127" s="558">
        <v>0</v>
      </c>
      <c r="M127" s="556">
        <v>0</v>
      </c>
      <c r="N127" s="556">
        <v>0</v>
      </c>
      <c r="O127" s="558">
        <v>0.65</v>
      </c>
      <c r="P127" s="556">
        <v>0</v>
      </c>
      <c r="Q127" s="556">
        <v>0</v>
      </c>
      <c r="R127" s="558">
        <v>0.15</v>
      </c>
      <c r="S127" s="172">
        <f t="shared" si="1"/>
        <v>1</v>
      </c>
    </row>
    <row r="128" spans="2:20" x14ac:dyDescent="0.3">
      <c r="B128" s="180"/>
      <c r="C128" s="180"/>
      <c r="D128" s="181"/>
      <c r="E128" s="557"/>
      <c r="F128" s="557"/>
      <c r="G128" s="557"/>
      <c r="H128" s="557"/>
      <c r="I128" s="557"/>
      <c r="J128" s="557"/>
      <c r="K128" s="557"/>
      <c r="L128" s="557"/>
      <c r="M128" s="557"/>
      <c r="N128" s="557"/>
      <c r="O128" s="557"/>
      <c r="P128" s="557"/>
      <c r="Q128" s="557"/>
      <c r="R128" s="557"/>
      <c r="S128" s="185">
        <f t="shared" si="1"/>
        <v>0</v>
      </c>
    </row>
    <row r="129" spans="2:20" x14ac:dyDescent="0.3">
      <c r="B129" s="175" t="s">
        <v>482</v>
      </c>
      <c r="C129" s="175">
        <v>2021</v>
      </c>
      <c r="D129" s="176" t="s">
        <v>497</v>
      </c>
      <c r="E129" s="556">
        <v>5.8824428211733226E-2</v>
      </c>
      <c r="F129" s="556">
        <v>2.3692803972379425E-2</v>
      </c>
      <c r="G129" s="556">
        <v>0.12818758280126549</v>
      </c>
      <c r="H129" s="556">
        <v>0.3694993728006245</v>
      </c>
      <c r="I129" s="556">
        <v>0.18685925692665384</v>
      </c>
      <c r="J129" s="556">
        <v>0</v>
      </c>
      <c r="K129" s="556">
        <v>0</v>
      </c>
      <c r="L129" s="556">
        <v>0</v>
      </c>
      <c r="M129" s="556">
        <v>0</v>
      </c>
      <c r="N129" s="556">
        <v>0</v>
      </c>
      <c r="O129" s="556">
        <v>0.2229644852361167</v>
      </c>
      <c r="P129" s="556">
        <v>0</v>
      </c>
      <c r="Q129" s="556">
        <v>9.9720700512267117E-3</v>
      </c>
      <c r="R129" s="556">
        <v>0</v>
      </c>
      <c r="S129" s="172">
        <f t="shared" si="1"/>
        <v>0.99999999999999989</v>
      </c>
    </row>
    <row r="130" spans="2:20" x14ac:dyDescent="0.3">
      <c r="B130" s="175" t="s">
        <v>482</v>
      </c>
      <c r="C130" s="175">
        <v>2030</v>
      </c>
      <c r="D130" s="176" t="s">
        <v>497</v>
      </c>
      <c r="E130" s="556">
        <v>0</v>
      </c>
      <c r="F130" s="556"/>
      <c r="G130" s="556">
        <v>0.01</v>
      </c>
      <c r="H130" s="556">
        <v>0.51</v>
      </c>
      <c r="I130" s="556">
        <v>0.04</v>
      </c>
      <c r="J130" s="556">
        <v>0</v>
      </c>
      <c r="K130" s="556">
        <v>0</v>
      </c>
      <c r="L130" s="556">
        <v>0</v>
      </c>
      <c r="M130" s="556">
        <v>0</v>
      </c>
      <c r="N130" s="556">
        <v>0</v>
      </c>
      <c r="O130" s="556">
        <v>0.44</v>
      </c>
      <c r="P130" s="556">
        <v>0</v>
      </c>
      <c r="Q130" s="556">
        <v>0</v>
      </c>
      <c r="R130" s="556">
        <v>0</v>
      </c>
      <c r="S130" s="172">
        <f t="shared" si="1"/>
        <v>1</v>
      </c>
    </row>
    <row r="131" spans="2:20" x14ac:dyDescent="0.3">
      <c r="B131" s="175" t="s">
        <v>482</v>
      </c>
      <c r="C131" s="175">
        <v>2050</v>
      </c>
      <c r="D131" s="176" t="s">
        <v>497</v>
      </c>
      <c r="E131" s="556">
        <v>0</v>
      </c>
      <c r="F131" s="556"/>
      <c r="G131" s="556">
        <v>0</v>
      </c>
      <c r="H131" s="556">
        <v>0.38951957791949998</v>
      </c>
      <c r="I131" s="556">
        <v>0.05</v>
      </c>
      <c r="J131" s="556">
        <v>0</v>
      </c>
      <c r="K131" s="556">
        <v>0</v>
      </c>
      <c r="L131" s="556">
        <v>0</v>
      </c>
      <c r="M131" s="556">
        <v>0</v>
      </c>
      <c r="N131" s="556">
        <v>0</v>
      </c>
      <c r="O131" s="556">
        <v>0.56048042208049997</v>
      </c>
      <c r="P131" s="556">
        <v>0</v>
      </c>
      <c r="Q131" s="556">
        <v>0</v>
      </c>
      <c r="R131" s="556">
        <v>0</v>
      </c>
      <c r="S131" s="172">
        <f t="shared" si="1"/>
        <v>1</v>
      </c>
    </row>
    <row r="132" spans="2:20" x14ac:dyDescent="0.3">
      <c r="B132" s="180"/>
      <c r="C132" s="180"/>
      <c r="D132" s="181"/>
      <c r="E132" s="184"/>
      <c r="F132" s="184"/>
      <c r="G132" s="184"/>
      <c r="H132" s="184"/>
      <c r="I132" s="184"/>
      <c r="J132" s="184"/>
      <c r="K132" s="184"/>
      <c r="L132" s="184"/>
      <c r="M132" s="184"/>
      <c r="N132" s="184"/>
      <c r="O132" s="184"/>
      <c r="P132" s="184"/>
      <c r="Q132" s="184"/>
      <c r="R132" s="184"/>
      <c r="S132" s="185">
        <f t="shared" si="1"/>
        <v>0</v>
      </c>
    </row>
    <row r="133" spans="2:20" x14ac:dyDescent="0.3">
      <c r="B133" s="424" t="s">
        <v>483</v>
      </c>
      <c r="C133" s="424"/>
      <c r="D133" s="424"/>
      <c r="E133" s="171" t="s">
        <v>438</v>
      </c>
      <c r="F133" s="171" t="s">
        <v>454</v>
      </c>
      <c r="G133" s="171" t="s">
        <v>440</v>
      </c>
      <c r="H133" s="171" t="s">
        <v>441</v>
      </c>
      <c r="I133" s="171" t="s">
        <v>450</v>
      </c>
      <c r="J133" s="171" t="s">
        <v>451</v>
      </c>
      <c r="K133" s="171" t="s">
        <v>452</v>
      </c>
      <c r="L133" s="171" t="s">
        <v>453</v>
      </c>
      <c r="M133" s="171" t="s">
        <v>443</v>
      </c>
      <c r="N133" s="171" t="s">
        <v>444</v>
      </c>
      <c r="O133" s="171" t="s">
        <v>495</v>
      </c>
      <c r="P133" s="171" t="s">
        <v>455</v>
      </c>
      <c r="Q133" s="171" t="s">
        <v>446</v>
      </c>
      <c r="R133" s="171" t="s">
        <v>447</v>
      </c>
      <c r="S133" s="172">
        <f t="shared" si="1"/>
        <v>0</v>
      </c>
    </row>
    <row r="134" spans="2:20" x14ac:dyDescent="0.3">
      <c r="B134" s="175" t="s">
        <v>484</v>
      </c>
      <c r="C134" s="175">
        <v>2021</v>
      </c>
      <c r="D134" s="176" t="s">
        <v>497</v>
      </c>
      <c r="E134" s="556">
        <v>0.1</v>
      </c>
      <c r="F134" s="556">
        <v>0</v>
      </c>
      <c r="G134" s="556">
        <v>0</v>
      </c>
      <c r="H134" s="556">
        <v>0.7</v>
      </c>
      <c r="I134" s="556">
        <v>0.1</v>
      </c>
      <c r="J134" s="556">
        <v>0</v>
      </c>
      <c r="K134" s="556">
        <v>0</v>
      </c>
      <c r="L134" s="556">
        <v>0</v>
      </c>
      <c r="M134" s="556">
        <v>0</v>
      </c>
      <c r="N134" s="556">
        <v>0</v>
      </c>
      <c r="O134" s="556">
        <v>0.1</v>
      </c>
      <c r="P134" s="556">
        <v>0</v>
      </c>
      <c r="Q134" s="556">
        <v>0</v>
      </c>
      <c r="R134" s="556">
        <v>0</v>
      </c>
      <c r="S134" s="172">
        <f t="shared" si="1"/>
        <v>0.99999999999999989</v>
      </c>
    </row>
    <row r="135" spans="2:20" x14ac:dyDescent="0.3">
      <c r="B135" s="175" t="s">
        <v>484</v>
      </c>
      <c r="C135" s="175">
        <v>2030</v>
      </c>
      <c r="D135" s="176" t="s">
        <v>497</v>
      </c>
      <c r="E135" s="556">
        <v>0.01</v>
      </c>
      <c r="F135" s="556"/>
      <c r="G135" s="556">
        <v>0</v>
      </c>
      <c r="H135" s="556">
        <v>0.35</v>
      </c>
      <c r="I135" s="556">
        <v>0.39</v>
      </c>
      <c r="J135" s="556">
        <v>0</v>
      </c>
      <c r="K135" s="556">
        <v>0</v>
      </c>
      <c r="L135" s="556">
        <v>0</v>
      </c>
      <c r="M135" s="556">
        <v>0</v>
      </c>
      <c r="N135" s="556">
        <v>0</v>
      </c>
      <c r="O135" s="556">
        <v>0.25</v>
      </c>
      <c r="P135" s="556">
        <v>0</v>
      </c>
      <c r="Q135" s="556">
        <v>0</v>
      </c>
      <c r="R135" s="556">
        <v>0</v>
      </c>
      <c r="S135" s="172">
        <f t="shared" si="1"/>
        <v>1</v>
      </c>
    </row>
    <row r="136" spans="2:20" x14ac:dyDescent="0.3">
      <c r="B136" s="175" t="s">
        <v>484</v>
      </c>
      <c r="C136" s="175">
        <v>2050</v>
      </c>
      <c r="D136" s="176" t="s">
        <v>497</v>
      </c>
      <c r="E136" s="556">
        <v>0</v>
      </c>
      <c r="F136" s="556"/>
      <c r="G136" s="556">
        <v>0</v>
      </c>
      <c r="H136" s="556">
        <v>0.28999999999999998</v>
      </c>
      <c r="I136" s="556">
        <v>0.4</v>
      </c>
      <c r="J136" s="556">
        <v>0</v>
      </c>
      <c r="K136" s="556">
        <v>0</v>
      </c>
      <c r="L136" s="556">
        <v>0</v>
      </c>
      <c r="M136" s="556">
        <v>0</v>
      </c>
      <c r="N136" s="556">
        <v>0</v>
      </c>
      <c r="O136" s="556">
        <v>0.31</v>
      </c>
      <c r="P136" s="556">
        <v>0</v>
      </c>
      <c r="Q136" s="556">
        <v>0</v>
      </c>
      <c r="R136" s="556">
        <v>0</v>
      </c>
      <c r="S136" s="172">
        <f t="shared" si="1"/>
        <v>1</v>
      </c>
      <c r="T136" t="s">
        <v>1042</v>
      </c>
    </row>
    <row r="137" spans="2:20" x14ac:dyDescent="0.3">
      <c r="B137" s="180"/>
      <c r="C137" s="180"/>
      <c r="D137" s="181"/>
      <c r="E137" s="557"/>
      <c r="F137" s="557"/>
      <c r="G137" s="557"/>
      <c r="H137" s="557"/>
      <c r="I137" s="557"/>
      <c r="J137" s="557"/>
      <c r="K137" s="557"/>
      <c r="L137" s="557"/>
      <c r="M137" s="557"/>
      <c r="N137" s="557"/>
      <c r="O137" s="557"/>
      <c r="P137" s="557"/>
      <c r="Q137" s="557"/>
      <c r="R137" s="557"/>
      <c r="S137" s="185">
        <f t="shared" si="1"/>
        <v>0</v>
      </c>
    </row>
    <row r="138" spans="2:20" x14ac:dyDescent="0.3">
      <c r="B138" s="175" t="s">
        <v>485</v>
      </c>
      <c r="C138" s="175">
        <v>2021</v>
      </c>
      <c r="D138" s="176" t="s">
        <v>497</v>
      </c>
      <c r="E138" s="556">
        <v>3.8197861649445025E-2</v>
      </c>
      <c r="F138" s="556">
        <v>2.3519892243492168E-3</v>
      </c>
      <c r="G138" s="556">
        <v>6.2781927503403945E-2</v>
      </c>
      <c r="H138" s="556">
        <v>0.37642386720371473</v>
      </c>
      <c r="I138" s="556">
        <v>1.8456018930648237E-2</v>
      </c>
      <c r="J138" s="556">
        <v>0</v>
      </c>
      <c r="K138" s="556">
        <v>0</v>
      </c>
      <c r="L138" s="556">
        <v>0</v>
      </c>
      <c r="M138" s="556">
        <v>0</v>
      </c>
      <c r="N138" s="556">
        <v>0</v>
      </c>
      <c r="O138" s="556">
        <v>0.42361739965669593</v>
      </c>
      <c r="P138" s="556">
        <v>0</v>
      </c>
      <c r="Q138" s="556">
        <v>7.8170935831742713E-2</v>
      </c>
      <c r="R138" s="556">
        <v>0</v>
      </c>
      <c r="S138" s="172">
        <f t="shared" si="1"/>
        <v>0.99999999999999989</v>
      </c>
    </row>
    <row r="139" spans="2:20" x14ac:dyDescent="0.3">
      <c r="B139" s="175" t="s">
        <v>485</v>
      </c>
      <c r="C139" s="175">
        <v>2030</v>
      </c>
      <c r="D139" s="176" t="s">
        <v>497</v>
      </c>
      <c r="E139" s="556">
        <v>0</v>
      </c>
      <c r="F139" s="556"/>
      <c r="G139" s="556">
        <v>0</v>
      </c>
      <c r="H139" s="556">
        <v>0.33540341301132914</v>
      </c>
      <c r="I139" s="556">
        <v>0.08</v>
      </c>
      <c r="J139" s="556">
        <v>0</v>
      </c>
      <c r="K139" s="556">
        <v>0</v>
      </c>
      <c r="L139" s="556">
        <v>0</v>
      </c>
      <c r="M139" s="556">
        <v>0.04</v>
      </c>
      <c r="N139" s="556">
        <v>0</v>
      </c>
      <c r="O139" s="556">
        <v>0.45600000000000002</v>
      </c>
      <c r="P139" s="556">
        <v>0.02</v>
      </c>
      <c r="Q139" s="556">
        <v>6.8139581287206499E-2</v>
      </c>
      <c r="R139" s="556">
        <v>0</v>
      </c>
      <c r="S139" s="172">
        <f t="shared" si="1"/>
        <v>0.99954299429853566</v>
      </c>
      <c r="T139" t="s">
        <v>1043</v>
      </c>
    </row>
    <row r="140" spans="2:20" x14ac:dyDescent="0.3">
      <c r="B140" s="175" t="s">
        <v>485</v>
      </c>
      <c r="C140" s="175">
        <v>2050</v>
      </c>
      <c r="D140" s="176" t="s">
        <v>497</v>
      </c>
      <c r="E140" s="556">
        <v>0</v>
      </c>
      <c r="F140" s="556"/>
      <c r="G140" s="556">
        <v>0</v>
      </c>
      <c r="H140" s="556">
        <v>7.8832363684801288E-2</v>
      </c>
      <c r="I140" s="556">
        <v>0.15</v>
      </c>
      <c r="J140" s="556">
        <v>0</v>
      </c>
      <c r="K140" s="556">
        <v>0</v>
      </c>
      <c r="L140" s="556">
        <v>0</v>
      </c>
      <c r="M140" s="556">
        <v>0.1</v>
      </c>
      <c r="N140" s="556">
        <v>0</v>
      </c>
      <c r="O140" s="556">
        <v>0.50600000000000001</v>
      </c>
      <c r="P140" s="556">
        <v>8.5000000000000006E-2</v>
      </c>
      <c r="Q140" s="556">
        <v>7.9710630613734401E-2</v>
      </c>
      <c r="R140" s="556">
        <v>0</v>
      </c>
      <c r="S140" s="172">
        <f t="shared" si="1"/>
        <v>0.99954299429853566</v>
      </c>
      <c r="T140" t="s">
        <v>1043</v>
      </c>
    </row>
    <row r="141" spans="2:20" x14ac:dyDescent="0.3">
      <c r="B141" s="180"/>
      <c r="C141" s="180"/>
      <c r="D141" s="181"/>
      <c r="E141" s="557"/>
      <c r="F141" s="557"/>
      <c r="G141" s="557"/>
      <c r="H141" s="557"/>
      <c r="I141" s="557"/>
      <c r="J141" s="557"/>
      <c r="K141" s="557"/>
      <c r="L141" s="557"/>
      <c r="M141" s="557"/>
      <c r="N141" s="557"/>
      <c r="O141" s="557"/>
      <c r="P141" s="557"/>
      <c r="Q141" s="557"/>
      <c r="R141" s="557"/>
      <c r="S141" s="185">
        <f t="shared" si="1"/>
        <v>0</v>
      </c>
    </row>
    <row r="142" spans="2:20" x14ac:dyDescent="0.3">
      <c r="B142" s="170" t="s">
        <v>486</v>
      </c>
      <c r="C142" s="190">
        <v>2021</v>
      </c>
      <c r="D142" s="170"/>
      <c r="E142" s="556">
        <v>8.3013990767005202E-3</v>
      </c>
      <c r="F142" s="556">
        <v>8.3013990767005202E-3</v>
      </c>
      <c r="G142" s="556">
        <v>4.0460377582643842E-2</v>
      </c>
      <c r="H142" s="556">
        <v>0.34027899928580496</v>
      </c>
      <c r="I142" s="556">
        <v>1.0248979091153257E-2</v>
      </c>
      <c r="J142" s="556">
        <v>0</v>
      </c>
      <c r="K142" s="556">
        <v>0</v>
      </c>
      <c r="L142" s="556">
        <v>0</v>
      </c>
      <c r="M142" s="556">
        <v>0</v>
      </c>
      <c r="N142" s="556">
        <v>0</v>
      </c>
      <c r="O142" s="556">
        <v>0.58049486383623083</v>
      </c>
      <c r="P142" s="556">
        <v>0</v>
      </c>
      <c r="Q142" s="556">
        <v>1.1913982050766009E-2</v>
      </c>
      <c r="R142" s="556">
        <v>0</v>
      </c>
      <c r="S142" s="172">
        <f t="shared" si="1"/>
        <v>0.99999999999999989</v>
      </c>
    </row>
    <row r="143" spans="2:20" x14ac:dyDescent="0.3">
      <c r="B143" s="170" t="s">
        <v>486</v>
      </c>
      <c r="C143" s="190">
        <v>2030</v>
      </c>
      <c r="D143" s="170"/>
      <c r="E143" s="556">
        <v>0</v>
      </c>
      <c r="F143" s="556"/>
      <c r="G143" s="556">
        <v>0</v>
      </c>
      <c r="H143" s="556">
        <v>0.27999999999999992</v>
      </c>
      <c r="I143" s="556">
        <v>0</v>
      </c>
      <c r="J143" s="556">
        <v>0</v>
      </c>
      <c r="K143" s="556">
        <v>0</v>
      </c>
      <c r="L143" s="556">
        <v>0</v>
      </c>
      <c r="M143" s="556">
        <v>0.02</v>
      </c>
      <c r="N143" s="556">
        <v>0</v>
      </c>
      <c r="O143" s="556">
        <v>0.68</v>
      </c>
      <c r="P143" s="556">
        <v>0.01</v>
      </c>
      <c r="Q143" s="556">
        <v>0.01</v>
      </c>
      <c r="R143" s="556">
        <v>0</v>
      </c>
      <c r="S143" s="172">
        <f t="shared" si="1"/>
        <v>1</v>
      </c>
    </row>
    <row r="144" spans="2:20" x14ac:dyDescent="0.3">
      <c r="B144" s="170" t="s">
        <v>486</v>
      </c>
      <c r="C144" s="190">
        <v>2050</v>
      </c>
      <c r="D144" s="170"/>
      <c r="E144" s="556">
        <v>0</v>
      </c>
      <c r="F144" s="556"/>
      <c r="G144" s="556">
        <v>0</v>
      </c>
      <c r="H144" s="556">
        <v>0.13918941615832292</v>
      </c>
      <c r="I144" s="556">
        <v>0</v>
      </c>
      <c r="J144" s="556">
        <v>0</v>
      </c>
      <c r="K144" s="556">
        <v>0</v>
      </c>
      <c r="L144" s="556">
        <v>0</v>
      </c>
      <c r="M144" s="556">
        <v>0.09</v>
      </c>
      <c r="N144" s="556">
        <v>0</v>
      </c>
      <c r="O144" s="556">
        <v>0.70581058384167705</v>
      </c>
      <c r="P144" s="556">
        <v>4.4999999999999998E-2</v>
      </c>
      <c r="Q144" s="556">
        <v>0.02</v>
      </c>
      <c r="R144" s="556">
        <v>0</v>
      </c>
      <c r="S144" s="172">
        <f t="shared" ref="S144:S162" si="2">SUM(E144:R144)</f>
        <v>1</v>
      </c>
    </row>
    <row r="145" spans="2:20" x14ac:dyDescent="0.3">
      <c r="B145" s="180"/>
      <c r="C145" s="180"/>
      <c r="D145" s="181"/>
      <c r="E145" s="557"/>
      <c r="F145" s="557"/>
      <c r="G145" s="557"/>
      <c r="H145" s="557"/>
      <c r="I145" s="557"/>
      <c r="J145" s="557"/>
      <c r="K145" s="557"/>
      <c r="L145" s="557"/>
      <c r="M145" s="557"/>
      <c r="N145" s="557"/>
      <c r="O145" s="557"/>
      <c r="P145" s="557"/>
      <c r="Q145" s="557"/>
      <c r="R145" s="557"/>
      <c r="S145" s="185">
        <f t="shared" si="2"/>
        <v>0</v>
      </c>
    </row>
    <row r="146" spans="2:20" x14ac:dyDescent="0.3">
      <c r="B146" s="170" t="s">
        <v>31</v>
      </c>
      <c r="C146" s="190">
        <v>2021</v>
      </c>
      <c r="D146" s="191"/>
      <c r="E146" s="556">
        <v>0</v>
      </c>
      <c r="F146" s="556">
        <v>0</v>
      </c>
      <c r="G146" s="556">
        <v>0.60033111051396904</v>
      </c>
      <c r="H146" s="556">
        <v>0.15234285737018208</v>
      </c>
      <c r="I146" s="556">
        <v>9.6699525508950118E-4</v>
      </c>
      <c r="J146" s="556">
        <v>0</v>
      </c>
      <c r="K146" s="556">
        <v>0</v>
      </c>
      <c r="L146" s="556">
        <v>0</v>
      </c>
      <c r="M146" s="556">
        <v>0</v>
      </c>
      <c r="N146" s="556">
        <v>0</v>
      </c>
      <c r="O146" s="556">
        <v>0.24635903686075952</v>
      </c>
      <c r="P146" s="556">
        <v>0</v>
      </c>
      <c r="Q146" s="556">
        <v>0</v>
      </c>
      <c r="R146" s="556">
        <v>0</v>
      </c>
      <c r="S146" s="172">
        <f t="shared" si="2"/>
        <v>1</v>
      </c>
    </row>
    <row r="147" spans="2:20" x14ac:dyDescent="0.3">
      <c r="B147" s="170" t="s">
        <v>31</v>
      </c>
      <c r="C147" s="190">
        <v>2030</v>
      </c>
      <c r="D147" s="191"/>
      <c r="E147" s="556">
        <v>0</v>
      </c>
      <c r="F147" s="556"/>
      <c r="G147" s="556">
        <v>0.45</v>
      </c>
      <c r="H147" s="556">
        <v>0.12495101241018899</v>
      </c>
      <c r="I147" s="556">
        <v>3.74265186152841E-2</v>
      </c>
      <c r="J147" s="556">
        <v>2.5959042399769299E-2</v>
      </c>
      <c r="K147" s="556">
        <v>0</v>
      </c>
      <c r="L147" s="556">
        <v>0</v>
      </c>
      <c r="M147" s="556">
        <v>0</v>
      </c>
      <c r="N147" s="556">
        <v>0</v>
      </c>
      <c r="O147" s="556">
        <v>0.34200000000000003</v>
      </c>
      <c r="P147" s="556">
        <v>0</v>
      </c>
      <c r="Q147" s="556">
        <v>0</v>
      </c>
      <c r="R147" s="556">
        <v>0.02</v>
      </c>
      <c r="S147" s="172">
        <f t="shared" si="2"/>
        <v>1.0003365734252425</v>
      </c>
    </row>
    <row r="148" spans="2:20" x14ac:dyDescent="0.3">
      <c r="B148" s="170" t="s">
        <v>31</v>
      </c>
      <c r="C148" s="190">
        <v>2050</v>
      </c>
      <c r="D148" s="191"/>
      <c r="E148" s="556">
        <v>0</v>
      </c>
      <c r="F148" s="556"/>
      <c r="G148" s="556">
        <v>0.1</v>
      </c>
      <c r="H148" s="556">
        <v>0.11</v>
      </c>
      <c r="I148" s="556">
        <v>3.74265186152841E-2</v>
      </c>
      <c r="J148" s="556">
        <v>8.6676572560673598E-2</v>
      </c>
      <c r="K148" s="556">
        <v>0</v>
      </c>
      <c r="L148" s="556">
        <v>0</v>
      </c>
      <c r="M148" s="556">
        <v>0</v>
      </c>
      <c r="N148" s="556">
        <v>0</v>
      </c>
      <c r="O148" s="556">
        <v>0.59599999999999997</v>
      </c>
      <c r="P148" s="556">
        <v>0</v>
      </c>
      <c r="Q148" s="556">
        <v>0</v>
      </c>
      <c r="R148" s="556">
        <v>7.0000000000000007E-2</v>
      </c>
      <c r="S148" s="172">
        <f t="shared" si="2"/>
        <v>1.0001030911759576</v>
      </c>
    </row>
    <row r="149" spans="2:20" x14ac:dyDescent="0.3">
      <c r="B149" s="180"/>
      <c r="C149" s="180"/>
      <c r="D149" s="181"/>
      <c r="E149" s="184"/>
      <c r="F149" s="184"/>
      <c r="G149" s="184"/>
      <c r="H149" s="184"/>
      <c r="I149" s="184"/>
      <c r="J149" s="184"/>
      <c r="K149" s="184"/>
      <c r="L149" s="184"/>
      <c r="M149" s="184"/>
      <c r="N149" s="184"/>
      <c r="O149" s="184"/>
      <c r="P149" s="184"/>
      <c r="Q149" s="184"/>
      <c r="R149" s="184"/>
      <c r="S149" s="185">
        <f t="shared" si="2"/>
        <v>0</v>
      </c>
    </row>
    <row r="150" spans="2:20" x14ac:dyDescent="0.3">
      <c r="B150" s="170" t="s">
        <v>487</v>
      </c>
      <c r="C150" s="170"/>
      <c r="D150" s="170"/>
      <c r="E150" s="171"/>
      <c r="F150" s="171"/>
      <c r="G150" s="171"/>
      <c r="H150" s="171"/>
      <c r="I150" s="171"/>
      <c r="J150" s="171"/>
      <c r="K150" s="171"/>
      <c r="L150" s="171"/>
      <c r="M150" s="171"/>
      <c r="N150" s="171"/>
      <c r="O150" s="171"/>
      <c r="P150" s="171"/>
      <c r="Q150" s="171"/>
      <c r="R150" s="171"/>
      <c r="S150" s="172">
        <f t="shared" si="2"/>
        <v>0</v>
      </c>
    </row>
    <row r="151" spans="2:20" x14ac:dyDescent="0.3">
      <c r="B151" s="175" t="s">
        <v>488</v>
      </c>
      <c r="C151" s="175">
        <v>2021</v>
      </c>
      <c r="D151" s="176" t="s">
        <v>497</v>
      </c>
      <c r="E151" s="556">
        <v>0</v>
      </c>
      <c r="F151" s="556">
        <v>0</v>
      </c>
      <c r="G151" s="556">
        <v>1.9754512164146254E-2</v>
      </c>
      <c r="H151" s="556">
        <v>0.32243631567381942</v>
      </c>
      <c r="I151" s="556">
        <v>0.25696781203673896</v>
      </c>
      <c r="J151" s="556">
        <v>0</v>
      </c>
      <c r="K151" s="556">
        <v>0</v>
      </c>
      <c r="L151" s="556">
        <v>0</v>
      </c>
      <c r="M151" s="556">
        <v>0</v>
      </c>
      <c r="N151" s="556">
        <v>0</v>
      </c>
      <c r="O151" s="556">
        <v>0.25840134449752034</v>
      </c>
      <c r="P151" s="556">
        <v>0</v>
      </c>
      <c r="Q151" s="556">
        <v>0.14244001562777497</v>
      </c>
      <c r="R151" s="556">
        <v>0</v>
      </c>
      <c r="S151" s="172">
        <f t="shared" si="2"/>
        <v>1</v>
      </c>
    </row>
    <row r="152" spans="2:20" x14ac:dyDescent="0.3">
      <c r="B152" s="175" t="s">
        <v>488</v>
      </c>
      <c r="C152" s="175">
        <v>2030</v>
      </c>
      <c r="D152" s="176" t="s">
        <v>497</v>
      </c>
      <c r="E152" s="556">
        <v>0</v>
      </c>
      <c r="F152" s="556">
        <v>0</v>
      </c>
      <c r="G152" s="556">
        <v>0</v>
      </c>
      <c r="H152" s="556">
        <v>0.20091293942866595</v>
      </c>
      <c r="I152" s="556">
        <v>0.3</v>
      </c>
      <c r="J152" s="556">
        <v>2.5000000000000001E-2</v>
      </c>
      <c r="K152" s="556">
        <v>0</v>
      </c>
      <c r="L152" s="556">
        <v>0.05</v>
      </c>
      <c r="M152" s="556">
        <v>0</v>
      </c>
      <c r="N152" s="556">
        <v>0</v>
      </c>
      <c r="O152" s="556">
        <v>0.28000000000000003</v>
      </c>
      <c r="P152" s="556">
        <v>0</v>
      </c>
      <c r="Q152" s="556">
        <v>0.144087060571334</v>
      </c>
      <c r="R152" s="556">
        <v>0</v>
      </c>
      <c r="S152" s="172">
        <f t="shared" si="2"/>
        <v>1</v>
      </c>
      <c r="T152" t="s">
        <v>1044</v>
      </c>
    </row>
    <row r="153" spans="2:20" x14ac:dyDescent="0.3">
      <c r="B153" s="175" t="s">
        <v>488</v>
      </c>
      <c r="C153" s="175">
        <v>2050</v>
      </c>
      <c r="D153" s="176" t="s">
        <v>497</v>
      </c>
      <c r="E153" s="556">
        <v>0</v>
      </c>
      <c r="F153" s="556">
        <v>0</v>
      </c>
      <c r="G153" s="556">
        <v>0</v>
      </c>
      <c r="H153" s="556">
        <v>4.0000000000000036E-2</v>
      </c>
      <c r="I153" s="556">
        <v>0.24</v>
      </c>
      <c r="J153" s="556">
        <v>0</v>
      </c>
      <c r="K153" s="556">
        <v>0</v>
      </c>
      <c r="L153" s="556">
        <v>0</v>
      </c>
      <c r="M153" s="556">
        <v>0.18</v>
      </c>
      <c r="N153" s="556">
        <v>0</v>
      </c>
      <c r="O153" s="556">
        <v>0.25</v>
      </c>
      <c r="P153" s="556">
        <v>0.09</v>
      </c>
      <c r="Q153" s="556">
        <v>0.2</v>
      </c>
      <c r="R153" s="556">
        <v>0</v>
      </c>
      <c r="S153" s="172">
        <f t="shared" si="2"/>
        <v>1</v>
      </c>
    </row>
    <row r="154" spans="2:20" x14ac:dyDescent="0.3">
      <c r="B154" s="180"/>
      <c r="C154" s="180"/>
      <c r="D154" s="181"/>
      <c r="E154" s="557"/>
      <c r="F154" s="557"/>
      <c r="G154" s="557"/>
      <c r="H154" s="557"/>
      <c r="I154" s="557"/>
      <c r="J154" s="557"/>
      <c r="K154" s="557"/>
      <c r="L154" s="557"/>
      <c r="M154" s="557"/>
      <c r="N154" s="557"/>
      <c r="O154" s="557"/>
      <c r="P154" s="557"/>
      <c r="Q154" s="557"/>
      <c r="R154" s="557"/>
      <c r="S154" s="185">
        <f t="shared" si="2"/>
        <v>0</v>
      </c>
    </row>
    <row r="155" spans="2:20" x14ac:dyDescent="0.3">
      <c r="B155" s="175" t="s">
        <v>489</v>
      </c>
      <c r="C155" s="175">
        <v>2021</v>
      </c>
      <c r="D155" s="176" t="s">
        <v>497</v>
      </c>
      <c r="E155" s="556">
        <v>0</v>
      </c>
      <c r="F155" s="556">
        <v>0</v>
      </c>
      <c r="G155" s="556">
        <v>0.14647136735122718</v>
      </c>
      <c r="H155" s="556">
        <v>0.33207214845968225</v>
      </c>
      <c r="I155" s="556">
        <v>1.3333320523131574E-2</v>
      </c>
      <c r="J155" s="556">
        <v>0</v>
      </c>
      <c r="K155" s="556">
        <v>0</v>
      </c>
      <c r="L155" s="556">
        <v>0</v>
      </c>
      <c r="M155" s="556">
        <v>0</v>
      </c>
      <c r="N155" s="556">
        <v>0</v>
      </c>
      <c r="O155" s="556">
        <v>0.48260816054781014</v>
      </c>
      <c r="P155" s="556">
        <v>0</v>
      </c>
      <c r="Q155" s="556">
        <v>2.5515003118148919E-2</v>
      </c>
      <c r="R155" s="556">
        <v>0</v>
      </c>
      <c r="S155" s="172">
        <f t="shared" si="2"/>
        <v>1.0000000000000002</v>
      </c>
    </row>
    <row r="156" spans="2:20" x14ac:dyDescent="0.3">
      <c r="B156" s="175" t="s">
        <v>489</v>
      </c>
      <c r="C156" s="175">
        <v>2030</v>
      </c>
      <c r="D156" s="176" t="s">
        <v>497</v>
      </c>
      <c r="E156" s="556">
        <v>0</v>
      </c>
      <c r="F156" s="556"/>
      <c r="G156" s="556">
        <v>0.04</v>
      </c>
      <c r="H156" s="556">
        <v>0.30999999999999994</v>
      </c>
      <c r="I156" s="556">
        <v>0.02</v>
      </c>
      <c r="J156" s="556">
        <v>0</v>
      </c>
      <c r="K156" s="556">
        <v>0</v>
      </c>
      <c r="L156" s="556">
        <v>0</v>
      </c>
      <c r="M156" s="556">
        <v>0.06</v>
      </c>
      <c r="N156" s="556">
        <v>0</v>
      </c>
      <c r="O156" s="556">
        <v>0.52</v>
      </c>
      <c r="P156" s="556">
        <v>0.03</v>
      </c>
      <c r="Q156" s="556">
        <v>0.02</v>
      </c>
      <c r="R156" s="556">
        <v>0</v>
      </c>
      <c r="S156" s="172">
        <f t="shared" si="2"/>
        <v>1</v>
      </c>
    </row>
    <row r="157" spans="2:20" x14ac:dyDescent="0.3">
      <c r="B157" s="175" t="s">
        <v>489</v>
      </c>
      <c r="C157" s="175">
        <v>2050</v>
      </c>
      <c r="D157" s="176" t="s">
        <v>497</v>
      </c>
      <c r="E157" s="556">
        <v>0</v>
      </c>
      <c r="F157" s="556"/>
      <c r="G157" s="556">
        <v>0</v>
      </c>
      <c r="H157" s="556">
        <v>8.3851481186099974E-2</v>
      </c>
      <c r="I157" s="556">
        <v>0.02</v>
      </c>
      <c r="J157" s="556">
        <v>0</v>
      </c>
      <c r="K157" s="556">
        <v>0</v>
      </c>
      <c r="L157" s="556">
        <v>0</v>
      </c>
      <c r="M157" s="556">
        <v>0.22</v>
      </c>
      <c r="N157" s="556">
        <v>0</v>
      </c>
      <c r="O157" s="556">
        <v>0.54</v>
      </c>
      <c r="P157" s="556">
        <v>0.11</v>
      </c>
      <c r="Q157" s="556">
        <v>2.6148518813899999E-2</v>
      </c>
      <c r="R157" s="556">
        <v>0</v>
      </c>
      <c r="S157" s="172">
        <f t="shared" si="2"/>
        <v>1</v>
      </c>
    </row>
    <row r="158" spans="2:20" x14ac:dyDescent="0.3">
      <c r="B158" s="180"/>
      <c r="C158" s="180"/>
      <c r="D158" s="181"/>
      <c r="E158" s="184"/>
      <c r="F158" s="184"/>
      <c r="G158" s="184"/>
      <c r="H158" s="184"/>
      <c r="I158" s="184"/>
      <c r="J158" s="184"/>
      <c r="K158" s="184"/>
      <c r="L158" s="184"/>
      <c r="M158" s="184"/>
      <c r="N158" s="184"/>
      <c r="O158" s="184"/>
      <c r="P158" s="184"/>
      <c r="Q158" s="184"/>
      <c r="R158" s="184"/>
      <c r="S158" s="185">
        <f t="shared" si="2"/>
        <v>0</v>
      </c>
    </row>
    <row r="159" spans="2:20" x14ac:dyDescent="0.3">
      <c r="B159" s="424" t="s">
        <v>871</v>
      </c>
      <c r="C159" s="424"/>
      <c r="D159" s="424"/>
      <c r="E159" s="171" t="s">
        <v>438</v>
      </c>
      <c r="F159" s="171" t="s">
        <v>454</v>
      </c>
      <c r="G159" s="171" t="s">
        <v>440</v>
      </c>
      <c r="H159" s="171" t="s">
        <v>441</v>
      </c>
      <c r="I159" s="171" t="s">
        <v>450</v>
      </c>
      <c r="J159" s="171" t="s">
        <v>451</v>
      </c>
      <c r="K159" s="171" t="s">
        <v>452</v>
      </c>
      <c r="L159" s="171" t="s">
        <v>453</v>
      </c>
      <c r="M159" s="171" t="s">
        <v>443</v>
      </c>
      <c r="N159" s="171" t="s">
        <v>444</v>
      </c>
      <c r="O159" s="171" t="s">
        <v>495</v>
      </c>
      <c r="P159" s="171" t="s">
        <v>455</v>
      </c>
      <c r="Q159" s="171" t="s">
        <v>446</v>
      </c>
      <c r="R159" s="171" t="s">
        <v>447</v>
      </c>
      <c r="S159" s="172">
        <f t="shared" si="2"/>
        <v>0</v>
      </c>
    </row>
    <row r="160" spans="2:20" x14ac:dyDescent="0.3">
      <c r="B160" s="175" t="s">
        <v>871</v>
      </c>
      <c r="C160" s="175">
        <v>2021</v>
      </c>
      <c r="D160" s="176" t="s">
        <v>497</v>
      </c>
      <c r="E160" s="556">
        <v>0</v>
      </c>
      <c r="F160" s="556">
        <v>0</v>
      </c>
      <c r="G160" s="556">
        <v>0</v>
      </c>
      <c r="H160" s="556">
        <v>0</v>
      </c>
      <c r="I160" s="556">
        <v>0</v>
      </c>
      <c r="J160" s="556">
        <v>0</v>
      </c>
      <c r="K160" s="556">
        <v>0</v>
      </c>
      <c r="L160" s="556">
        <v>0</v>
      </c>
      <c r="M160" s="556">
        <v>0</v>
      </c>
      <c r="N160" s="556">
        <v>0</v>
      </c>
      <c r="O160" s="559">
        <v>1</v>
      </c>
      <c r="P160" s="556">
        <v>0</v>
      </c>
      <c r="Q160" s="556">
        <v>0</v>
      </c>
      <c r="R160" s="556">
        <v>0</v>
      </c>
      <c r="S160" s="172">
        <f t="shared" si="2"/>
        <v>1</v>
      </c>
    </row>
    <row r="161" spans="2:19" x14ac:dyDescent="0.3">
      <c r="B161" s="175" t="s">
        <v>871</v>
      </c>
      <c r="C161" s="175">
        <v>2030</v>
      </c>
      <c r="D161" s="176" t="s">
        <v>497</v>
      </c>
      <c r="E161" s="556">
        <v>0</v>
      </c>
      <c r="F161" s="556">
        <v>0</v>
      </c>
      <c r="G161" s="556">
        <v>0</v>
      </c>
      <c r="H161" s="556">
        <v>0</v>
      </c>
      <c r="I161" s="556">
        <v>0</v>
      </c>
      <c r="J161" s="556">
        <v>0</v>
      </c>
      <c r="K161" s="556">
        <v>0</v>
      </c>
      <c r="L161" s="556">
        <v>0</v>
      </c>
      <c r="M161" s="556">
        <v>0</v>
      </c>
      <c r="N161" s="556">
        <v>0</v>
      </c>
      <c r="O161" s="559">
        <v>1</v>
      </c>
      <c r="P161" s="556">
        <v>0</v>
      </c>
      <c r="Q161" s="556">
        <v>0</v>
      </c>
      <c r="R161" s="556">
        <v>0</v>
      </c>
      <c r="S161" s="172">
        <f t="shared" si="2"/>
        <v>1</v>
      </c>
    </row>
    <row r="162" spans="2:19" x14ac:dyDescent="0.3">
      <c r="B162" s="175" t="s">
        <v>871</v>
      </c>
      <c r="C162" s="175">
        <v>2050</v>
      </c>
      <c r="D162" s="176" t="s">
        <v>497</v>
      </c>
      <c r="E162" s="556">
        <v>0</v>
      </c>
      <c r="F162" s="556">
        <v>0</v>
      </c>
      <c r="G162" s="556">
        <v>0</v>
      </c>
      <c r="H162" s="556">
        <v>0</v>
      </c>
      <c r="I162" s="556">
        <v>0</v>
      </c>
      <c r="J162" s="556">
        <v>0</v>
      </c>
      <c r="K162" s="556">
        <v>0</v>
      </c>
      <c r="L162" s="556">
        <v>0</v>
      </c>
      <c r="M162" s="556">
        <v>0</v>
      </c>
      <c r="N162" s="556">
        <v>0</v>
      </c>
      <c r="O162" s="559">
        <v>1</v>
      </c>
      <c r="P162" s="556">
        <v>0</v>
      </c>
      <c r="Q162" s="556">
        <v>0</v>
      </c>
      <c r="R162" s="556">
        <v>0</v>
      </c>
      <c r="S162" s="172">
        <f t="shared" si="2"/>
        <v>1</v>
      </c>
    </row>
    <row r="167" spans="2:19" x14ac:dyDescent="0.3">
      <c r="B167" s="637" t="s">
        <v>879</v>
      </c>
      <c r="C167" s="637"/>
      <c r="D167" s="637"/>
      <c r="E167" s="637"/>
      <c r="F167" s="637"/>
      <c r="G167" s="637"/>
      <c r="H167" s="637"/>
      <c r="I167" s="637"/>
      <c r="J167" s="637"/>
      <c r="K167" s="637"/>
      <c r="L167" s="637"/>
      <c r="M167" s="637"/>
      <c r="N167" s="637"/>
      <c r="O167" s="637"/>
      <c r="P167" s="637"/>
      <c r="Q167" s="637"/>
      <c r="R167" s="637"/>
      <c r="S167" s="637"/>
    </row>
    <row r="168" spans="2:19" x14ac:dyDescent="0.3">
      <c r="B168" s="426"/>
      <c r="C168" s="426"/>
      <c r="D168" s="426"/>
      <c r="E168" s="426"/>
      <c r="F168" s="426"/>
      <c r="G168" s="426"/>
    </row>
    <row r="169" spans="2:19" x14ac:dyDescent="0.3">
      <c r="B169" s="650" t="s">
        <v>883</v>
      </c>
      <c r="C169" s="650"/>
      <c r="D169" s="650"/>
      <c r="E169" s="650"/>
      <c r="F169" s="650"/>
      <c r="G169" s="650"/>
      <c r="H169" s="650"/>
      <c r="I169" s="650"/>
      <c r="J169" s="650"/>
      <c r="K169" s="650"/>
      <c r="L169" s="650"/>
      <c r="M169" s="650"/>
      <c r="N169" s="650"/>
      <c r="O169" s="650"/>
      <c r="P169" s="650"/>
      <c r="Q169" s="650"/>
      <c r="R169" s="650"/>
      <c r="S169" s="650"/>
    </row>
    <row r="170" spans="2:19" x14ac:dyDescent="0.3">
      <c r="B170" s="650"/>
      <c r="C170" s="650"/>
      <c r="D170" s="650"/>
      <c r="E170" s="650"/>
      <c r="F170" s="650"/>
      <c r="G170" s="650"/>
      <c r="H170" s="650"/>
      <c r="I170" s="650"/>
      <c r="J170" s="650"/>
      <c r="K170" s="650"/>
      <c r="L170" s="650"/>
      <c r="M170" s="650"/>
      <c r="N170" s="650"/>
      <c r="O170" s="650"/>
      <c r="P170" s="650"/>
      <c r="Q170" s="650"/>
      <c r="R170" s="650"/>
      <c r="S170" s="650"/>
    </row>
    <row r="172" spans="2:19" x14ac:dyDescent="0.3">
      <c r="B172" s="638" t="s">
        <v>873</v>
      </c>
      <c r="C172" s="638"/>
      <c r="D172" s="639" t="s">
        <v>4</v>
      </c>
      <c r="E172" s="639"/>
      <c r="F172" s="639"/>
      <c r="G172" s="639"/>
    </row>
    <row r="173" spans="2:19" x14ac:dyDescent="0.3">
      <c r="B173" s="638"/>
      <c r="C173" s="638"/>
      <c r="D173" s="425">
        <v>2025</v>
      </c>
      <c r="E173" s="425">
        <v>2030</v>
      </c>
      <c r="F173" s="425">
        <v>2040</v>
      </c>
      <c r="G173" s="425">
        <v>2050</v>
      </c>
    </row>
    <row r="174" spans="2:19" x14ac:dyDescent="0.3">
      <c r="B174" s="635" t="s">
        <v>24</v>
      </c>
      <c r="C174" s="635"/>
      <c r="D174" s="211"/>
      <c r="E174" s="211"/>
      <c r="F174" s="211"/>
      <c r="G174" s="211"/>
    </row>
    <row r="175" spans="2:19" x14ac:dyDescent="0.3">
      <c r="B175" s="632" t="s">
        <v>460</v>
      </c>
      <c r="C175" s="632"/>
      <c r="D175" s="560">
        <v>0.98</v>
      </c>
      <c r="E175" s="560">
        <v>0.9</v>
      </c>
      <c r="F175" s="561"/>
      <c r="G175" s="561">
        <v>0.7</v>
      </c>
    </row>
    <row r="176" spans="2:19" x14ac:dyDescent="0.3">
      <c r="B176" s="632" t="s">
        <v>463</v>
      </c>
      <c r="C176" s="632"/>
      <c r="D176" s="561">
        <v>0.98</v>
      </c>
      <c r="E176" s="561">
        <v>0.95</v>
      </c>
      <c r="F176" s="561"/>
      <c r="G176" s="561">
        <v>0.9</v>
      </c>
    </row>
    <row r="177" spans="2:8" x14ac:dyDescent="0.3">
      <c r="B177" s="632" t="s">
        <v>465</v>
      </c>
      <c r="C177" s="632"/>
      <c r="D177" s="561">
        <v>1</v>
      </c>
      <c r="E177" s="561">
        <v>0.95</v>
      </c>
      <c r="F177" s="561"/>
      <c r="G177" s="561">
        <v>0.9</v>
      </c>
    </row>
    <row r="178" spans="2:8" x14ac:dyDescent="0.3">
      <c r="B178" s="632" t="s">
        <v>632</v>
      </c>
      <c r="C178" s="632"/>
      <c r="D178" s="561">
        <v>1</v>
      </c>
      <c r="E178" s="561">
        <v>0.95</v>
      </c>
      <c r="F178" s="561"/>
      <c r="G178" s="561">
        <v>0.9</v>
      </c>
    </row>
    <row r="179" spans="2:8" x14ac:dyDescent="0.3">
      <c r="B179" s="632" t="s">
        <v>546</v>
      </c>
      <c r="C179" s="632"/>
      <c r="D179" s="561">
        <v>0.98</v>
      </c>
      <c r="E179" s="561">
        <v>0.95</v>
      </c>
      <c r="F179" s="561"/>
      <c r="G179" s="560">
        <v>0.8</v>
      </c>
    </row>
    <row r="180" spans="2:8" x14ac:dyDescent="0.3">
      <c r="B180" s="632" t="s">
        <v>547</v>
      </c>
      <c r="C180" s="632"/>
      <c r="D180" s="561">
        <v>0.95</v>
      </c>
      <c r="E180" s="560">
        <v>0.75</v>
      </c>
      <c r="F180" s="560"/>
      <c r="G180" s="560">
        <v>0.75</v>
      </c>
    </row>
    <row r="181" spans="2:8" x14ac:dyDescent="0.3">
      <c r="B181" s="632" t="s">
        <v>472</v>
      </c>
      <c r="C181" s="632"/>
      <c r="D181" s="561">
        <v>0.98</v>
      </c>
      <c r="E181" s="561">
        <v>0.95</v>
      </c>
      <c r="F181" s="561"/>
      <c r="G181" s="561">
        <v>0.9</v>
      </c>
    </row>
    <row r="182" spans="2:8" x14ac:dyDescent="0.3">
      <c r="B182" s="635" t="s">
        <v>25</v>
      </c>
      <c r="C182" s="635"/>
      <c r="D182" s="211"/>
      <c r="E182" s="211"/>
      <c r="F182" s="211"/>
      <c r="G182" s="211"/>
    </row>
    <row r="183" spans="2:8" x14ac:dyDescent="0.3">
      <c r="B183" s="632" t="s">
        <v>474</v>
      </c>
      <c r="C183" s="632"/>
      <c r="D183" s="560">
        <v>0.95</v>
      </c>
      <c r="E183" s="560">
        <v>0.92</v>
      </c>
      <c r="F183" s="560"/>
      <c r="G183" s="560">
        <v>1</v>
      </c>
    </row>
    <row r="184" spans="2:8" x14ac:dyDescent="0.3">
      <c r="B184" s="632" t="s">
        <v>475</v>
      </c>
      <c r="C184" s="632"/>
      <c r="D184" s="560">
        <v>0.98</v>
      </c>
      <c r="E184" s="560">
        <v>0.95</v>
      </c>
      <c r="F184" s="560"/>
      <c r="G184" s="560">
        <v>0.87</v>
      </c>
    </row>
    <row r="185" spans="2:8" x14ac:dyDescent="0.3">
      <c r="B185" s="632" t="s">
        <v>478</v>
      </c>
      <c r="C185" s="632"/>
      <c r="D185" s="561">
        <v>0.95</v>
      </c>
      <c r="E185" s="561">
        <v>0.91</v>
      </c>
      <c r="F185" s="561"/>
      <c r="G185" s="561">
        <v>0.81</v>
      </c>
    </row>
    <row r="186" spans="2:8" x14ac:dyDescent="0.3">
      <c r="B186" s="635" t="s">
        <v>479</v>
      </c>
      <c r="C186" s="635"/>
      <c r="D186" s="211"/>
      <c r="E186" s="211"/>
      <c r="F186" s="211"/>
      <c r="G186" s="211"/>
    </row>
    <row r="187" spans="2:8" x14ac:dyDescent="0.3">
      <c r="B187" s="632" t="s">
        <v>550</v>
      </c>
      <c r="C187" s="632"/>
      <c r="D187" s="561">
        <v>0.97</v>
      </c>
      <c r="E187" s="561">
        <v>0.93</v>
      </c>
      <c r="F187" s="561"/>
      <c r="G187" s="561">
        <v>0.86</v>
      </c>
    </row>
    <row r="188" spans="2:8" x14ac:dyDescent="0.3">
      <c r="B188" s="632" t="s">
        <v>481</v>
      </c>
      <c r="C188" s="632"/>
      <c r="D188" s="561">
        <v>0.93</v>
      </c>
      <c r="E188" s="561">
        <v>0.86</v>
      </c>
      <c r="F188" s="561"/>
      <c r="G188" s="561">
        <v>0.75</v>
      </c>
      <c r="H188" t="s">
        <v>1045</v>
      </c>
    </row>
    <row r="189" spans="2:8" x14ac:dyDescent="0.3">
      <c r="B189" s="632" t="s">
        <v>482</v>
      </c>
      <c r="C189" s="632"/>
      <c r="D189" s="561">
        <v>0.95499999999999996</v>
      </c>
      <c r="E189" s="561">
        <v>0.91</v>
      </c>
      <c r="F189" s="561"/>
      <c r="G189" s="561">
        <v>0.8</v>
      </c>
    </row>
    <row r="190" spans="2:8" x14ac:dyDescent="0.3">
      <c r="B190" s="635" t="s">
        <v>553</v>
      </c>
      <c r="C190" s="635"/>
      <c r="D190" s="211"/>
      <c r="E190" s="211"/>
      <c r="F190" s="211"/>
      <c r="G190" s="211"/>
    </row>
    <row r="191" spans="2:8" x14ac:dyDescent="0.3">
      <c r="B191" s="632" t="s">
        <v>554</v>
      </c>
      <c r="C191" s="632"/>
      <c r="D191" s="561">
        <v>0.94</v>
      </c>
      <c r="E191" s="561">
        <v>0.86</v>
      </c>
      <c r="F191" s="561"/>
      <c r="G191" s="561">
        <v>0.64</v>
      </c>
      <c r="H191" t="s">
        <v>1045</v>
      </c>
    </row>
    <row r="192" spans="2:8" x14ac:dyDescent="0.3">
      <c r="B192" s="632" t="s">
        <v>555</v>
      </c>
      <c r="C192" s="632"/>
      <c r="D192" s="561">
        <v>0.93</v>
      </c>
      <c r="E192" s="561">
        <v>0.86</v>
      </c>
      <c r="F192" s="561"/>
      <c r="G192" s="561">
        <v>0.73</v>
      </c>
    </row>
    <row r="193" spans="2:19" x14ac:dyDescent="0.3">
      <c r="B193" s="635" t="s">
        <v>486</v>
      </c>
      <c r="C193" s="635"/>
      <c r="D193" s="561">
        <v>0.94</v>
      </c>
      <c r="E193" s="561">
        <v>0.88</v>
      </c>
      <c r="F193" s="561"/>
      <c r="G193" s="561">
        <v>0.74</v>
      </c>
    </row>
    <row r="194" spans="2:19" x14ac:dyDescent="0.3">
      <c r="B194" s="635" t="s">
        <v>31</v>
      </c>
      <c r="C194" s="635"/>
      <c r="D194" s="561">
        <v>0.95</v>
      </c>
      <c r="E194" s="561">
        <v>0.87</v>
      </c>
      <c r="F194" s="561"/>
      <c r="G194" s="561">
        <v>0.71</v>
      </c>
    </row>
    <row r="195" spans="2:19" x14ac:dyDescent="0.3">
      <c r="B195" s="635" t="s">
        <v>487</v>
      </c>
      <c r="C195" s="635"/>
      <c r="D195" s="211"/>
      <c r="E195" s="211"/>
      <c r="F195" s="211"/>
      <c r="G195" s="211"/>
    </row>
    <row r="196" spans="2:19" x14ac:dyDescent="0.3">
      <c r="B196" s="632" t="s">
        <v>488</v>
      </c>
      <c r="C196" s="632"/>
      <c r="D196" s="561">
        <v>0.94</v>
      </c>
      <c r="E196" s="561">
        <v>0.88</v>
      </c>
      <c r="F196" s="561"/>
      <c r="G196" s="561">
        <v>0.74</v>
      </c>
    </row>
    <row r="197" spans="2:19" x14ac:dyDescent="0.3">
      <c r="B197" s="632" t="s">
        <v>489</v>
      </c>
      <c r="C197" s="632"/>
      <c r="D197" s="561">
        <v>0.92500000000000004</v>
      </c>
      <c r="E197" s="561">
        <v>0.88</v>
      </c>
      <c r="F197" s="561"/>
      <c r="G197" s="561">
        <v>0.74</v>
      </c>
    </row>
    <row r="202" spans="2:19" x14ac:dyDescent="0.3">
      <c r="B202" s="637" t="s">
        <v>880</v>
      </c>
      <c r="C202" s="637"/>
      <c r="D202" s="637"/>
      <c r="E202" s="637"/>
      <c r="F202" s="637"/>
      <c r="G202" s="637"/>
      <c r="H202" s="637"/>
      <c r="I202" s="637"/>
      <c r="J202" s="637"/>
      <c r="K202" s="637"/>
      <c r="L202" s="637"/>
      <c r="M202" s="637"/>
      <c r="N202" s="637"/>
      <c r="O202" s="637"/>
      <c r="P202" s="637"/>
      <c r="Q202" s="637"/>
      <c r="R202" s="637"/>
      <c r="S202" s="637"/>
    </row>
    <row r="203" spans="2:19" x14ac:dyDescent="0.3">
      <c r="B203" s="426" t="s">
        <v>898</v>
      </c>
      <c r="C203" s="426"/>
      <c r="D203" s="426"/>
      <c r="E203" s="426"/>
      <c r="F203" s="426"/>
      <c r="G203" s="426"/>
    </row>
    <row r="204" spans="2:19" ht="14.4" customHeight="1" x14ac:dyDescent="0.3">
      <c r="B204" s="651" t="s">
        <v>1031</v>
      </c>
      <c r="C204" s="651"/>
      <c r="D204" s="651"/>
      <c r="E204" s="651"/>
      <c r="F204" s="651"/>
      <c r="G204" s="651"/>
      <c r="H204" s="651"/>
      <c r="I204" s="651"/>
      <c r="J204" s="651"/>
      <c r="K204" s="651"/>
      <c r="L204" s="651"/>
      <c r="M204" s="651"/>
      <c r="N204" s="651"/>
      <c r="O204" s="651"/>
      <c r="P204" s="651"/>
      <c r="Q204" s="651"/>
      <c r="R204" s="651"/>
      <c r="S204" s="651"/>
    </row>
    <row r="205" spans="2:19" x14ac:dyDescent="0.3">
      <c r="B205" s="651"/>
      <c r="C205" s="651"/>
      <c r="D205" s="651"/>
      <c r="E205" s="651"/>
      <c r="F205" s="651"/>
      <c r="G205" s="651"/>
      <c r="H205" s="651"/>
      <c r="I205" s="651"/>
      <c r="J205" s="651"/>
      <c r="K205" s="651"/>
      <c r="L205" s="651"/>
      <c r="M205" s="651"/>
      <c r="N205" s="651"/>
      <c r="O205" s="651"/>
      <c r="P205" s="651"/>
      <c r="Q205" s="651"/>
      <c r="R205" s="651"/>
      <c r="S205" s="651"/>
    </row>
    <row r="206" spans="2:19" ht="16.5" customHeight="1" x14ac:dyDescent="0.3">
      <c r="B206" s="652" t="s">
        <v>1034</v>
      </c>
      <c r="C206" s="652"/>
      <c r="D206" s="652"/>
      <c r="E206" s="652"/>
      <c r="F206" s="652"/>
      <c r="G206" s="652"/>
      <c r="H206" s="652"/>
      <c r="I206" s="652"/>
      <c r="J206" s="652"/>
      <c r="K206" s="652"/>
      <c r="L206" s="652"/>
      <c r="M206" s="652"/>
      <c r="N206" s="652"/>
      <c r="O206" s="652"/>
      <c r="P206" s="652"/>
      <c r="Q206" s="652"/>
      <c r="R206" s="652"/>
      <c r="S206" s="652"/>
    </row>
    <row r="208" spans="2:19" x14ac:dyDescent="0.3">
      <c r="D208" s="653" t="s">
        <v>22</v>
      </c>
      <c r="E208" s="653"/>
      <c r="F208" s="653"/>
      <c r="G208" s="653"/>
      <c r="H208" s="653"/>
      <c r="I208" s="653"/>
      <c r="K208" t="s">
        <v>1033</v>
      </c>
    </row>
    <row r="209" spans="2:13" x14ac:dyDescent="0.3">
      <c r="D209" s="250">
        <v>2025</v>
      </c>
      <c r="E209" s="250">
        <v>2030</v>
      </c>
      <c r="F209" s="250">
        <v>2035</v>
      </c>
      <c r="G209" s="250">
        <v>2040</v>
      </c>
      <c r="H209" s="250">
        <v>2045</v>
      </c>
      <c r="I209" s="250">
        <v>2050</v>
      </c>
      <c r="K209" s="576">
        <v>2019</v>
      </c>
      <c r="M209" s="555"/>
    </row>
    <row r="210" spans="2:13" x14ac:dyDescent="0.3">
      <c r="B210" s="646" t="s">
        <v>24</v>
      </c>
      <c r="C210" s="647"/>
      <c r="D210" s="216"/>
      <c r="E210" s="216">
        <v>0</v>
      </c>
      <c r="F210" s="216"/>
      <c r="G210" s="216"/>
      <c r="H210" s="216"/>
      <c r="I210" s="216"/>
      <c r="K210" s="378"/>
      <c r="M210" s="555"/>
    </row>
    <row r="211" spans="2:13" x14ac:dyDescent="0.3">
      <c r="B211" s="648" t="s">
        <v>573</v>
      </c>
      <c r="C211" s="649"/>
      <c r="D211" s="578">
        <v>0.48</v>
      </c>
      <c r="E211" s="578">
        <v>0.54</v>
      </c>
      <c r="F211" s="578">
        <v>0.56999999999999995</v>
      </c>
      <c r="G211" s="578">
        <v>0.56999999999999995</v>
      </c>
      <c r="H211" s="578">
        <v>0.6</v>
      </c>
      <c r="I211" s="578">
        <v>0.6</v>
      </c>
      <c r="K211" s="577">
        <v>0.41677861549006168</v>
      </c>
    </row>
    <row r="212" spans="2:13" x14ac:dyDescent="0.3">
      <c r="B212" s="648" t="s">
        <v>575</v>
      </c>
      <c r="C212" s="649"/>
      <c r="D212" s="578">
        <v>0.56621923937360197</v>
      </c>
      <c r="E212" s="578">
        <v>0.6</v>
      </c>
      <c r="F212" s="578">
        <v>0.625</v>
      </c>
      <c r="G212" s="578">
        <v>0.64999999999999991</v>
      </c>
      <c r="H212" s="578">
        <v>0.67499999999999993</v>
      </c>
      <c r="I212" s="578">
        <v>0.7</v>
      </c>
      <c r="K212" s="577">
        <v>0.53243847874720396</v>
      </c>
    </row>
    <row r="213" spans="2:13" x14ac:dyDescent="0.3">
      <c r="B213" s="648" t="s">
        <v>472</v>
      </c>
      <c r="C213" s="649"/>
      <c r="D213" s="579"/>
      <c r="E213" s="579"/>
      <c r="F213" s="579"/>
      <c r="G213" s="579"/>
      <c r="H213" s="579"/>
      <c r="I213" s="579"/>
      <c r="K213" s="577"/>
    </row>
    <row r="214" spans="2:13" x14ac:dyDescent="0.3">
      <c r="B214" s="646" t="s">
        <v>25</v>
      </c>
      <c r="C214" s="647"/>
      <c r="D214" s="216"/>
      <c r="E214" s="216"/>
      <c r="F214" s="216"/>
      <c r="G214" s="216"/>
      <c r="H214" s="216"/>
      <c r="I214" s="216"/>
      <c r="K214" s="577"/>
    </row>
    <row r="215" spans="2:13" x14ac:dyDescent="0.3">
      <c r="B215" s="648" t="s">
        <v>474</v>
      </c>
      <c r="C215" s="649"/>
      <c r="D215" s="579"/>
      <c r="E215" s="579"/>
      <c r="F215" s="579"/>
      <c r="G215" s="579"/>
      <c r="H215" s="579"/>
      <c r="I215" s="579"/>
      <c r="K215" s="577"/>
    </row>
    <row r="216" spans="2:13" x14ac:dyDescent="0.3">
      <c r="B216" s="648" t="s">
        <v>475</v>
      </c>
      <c r="C216" s="649"/>
      <c r="D216" s="578">
        <v>0.2475</v>
      </c>
      <c r="E216" s="578">
        <v>0.35</v>
      </c>
      <c r="F216" s="578">
        <v>0.35</v>
      </c>
      <c r="G216" s="578">
        <v>0.35</v>
      </c>
      <c r="H216" s="578">
        <v>0.35</v>
      </c>
      <c r="I216" s="578">
        <v>0.35</v>
      </c>
      <c r="K216" s="577">
        <v>0.14499999999999999</v>
      </c>
    </row>
    <row r="217" spans="2:13" x14ac:dyDescent="0.3">
      <c r="B217" s="648" t="s">
        <v>478</v>
      </c>
      <c r="C217" s="649"/>
      <c r="D217" s="579"/>
      <c r="E217" s="579"/>
      <c r="F217" s="579"/>
      <c r="G217" s="579"/>
      <c r="H217" s="579"/>
      <c r="I217" s="579"/>
      <c r="K217" s="577"/>
    </row>
    <row r="218" spans="2:13" x14ac:dyDescent="0.3">
      <c r="B218" s="646" t="s">
        <v>479</v>
      </c>
      <c r="C218" s="647"/>
      <c r="D218" s="216"/>
      <c r="E218" s="216"/>
      <c r="F218" s="216"/>
      <c r="G218" s="216"/>
      <c r="H218" s="216"/>
      <c r="I218" s="216"/>
      <c r="K218" s="577"/>
    </row>
    <row r="219" spans="2:13" x14ac:dyDescent="0.3">
      <c r="B219" s="648" t="s">
        <v>480</v>
      </c>
      <c r="C219" s="649"/>
      <c r="D219" s="579"/>
      <c r="E219" s="579"/>
      <c r="F219" s="579"/>
      <c r="G219" s="579"/>
      <c r="H219" s="579"/>
      <c r="I219" s="579"/>
      <c r="K219" s="577"/>
    </row>
    <row r="220" spans="2:13" x14ac:dyDescent="0.3">
      <c r="B220" s="648" t="s">
        <v>481</v>
      </c>
      <c r="C220" s="649"/>
      <c r="D220" s="579">
        <v>0.68834528076463553</v>
      </c>
      <c r="E220" s="579">
        <v>0.77</v>
      </c>
      <c r="F220" s="579">
        <v>0.79</v>
      </c>
      <c r="G220" s="579">
        <v>0.81</v>
      </c>
      <c r="H220" s="579">
        <v>0.83000000000000007</v>
      </c>
      <c r="I220" s="579">
        <v>0.85</v>
      </c>
      <c r="K220" s="577">
        <v>0.60669056152927103</v>
      </c>
    </row>
    <row r="221" spans="2:13" x14ac:dyDescent="0.3">
      <c r="B221" s="648" t="s">
        <v>482</v>
      </c>
      <c r="C221" s="649"/>
      <c r="D221" s="579"/>
      <c r="E221" s="579"/>
      <c r="F221" s="579"/>
      <c r="G221" s="579"/>
      <c r="H221" s="579"/>
      <c r="I221" s="579"/>
      <c r="K221" s="577"/>
    </row>
    <row r="222" spans="2:13" x14ac:dyDescent="0.3">
      <c r="B222" s="646" t="s">
        <v>553</v>
      </c>
      <c r="C222" s="647"/>
      <c r="D222" s="216"/>
      <c r="E222" s="216"/>
      <c r="F222" s="216"/>
      <c r="G222" s="216"/>
      <c r="H222" s="216"/>
      <c r="I222" s="216"/>
      <c r="K222" s="577"/>
    </row>
    <row r="223" spans="2:13" x14ac:dyDescent="0.3">
      <c r="B223" s="648" t="s">
        <v>554</v>
      </c>
      <c r="C223" s="649"/>
      <c r="D223" s="266"/>
      <c r="E223" s="266"/>
      <c r="F223" s="266"/>
      <c r="G223" s="266"/>
      <c r="H223" s="266"/>
      <c r="I223" s="266"/>
      <c r="K223" s="577"/>
    </row>
    <row r="224" spans="2:13" x14ac:dyDescent="0.3">
      <c r="B224" s="648" t="s">
        <v>682</v>
      </c>
      <c r="C224" s="649"/>
      <c r="D224" s="266"/>
      <c r="E224" s="266"/>
      <c r="F224" s="266"/>
      <c r="G224" s="266"/>
      <c r="H224" s="266"/>
      <c r="I224" s="266"/>
      <c r="K224" s="577"/>
    </row>
    <row r="225" spans="2:19" x14ac:dyDescent="0.3">
      <c r="B225" s="646" t="s">
        <v>486</v>
      </c>
      <c r="C225" s="647"/>
      <c r="D225" s="266"/>
      <c r="E225" s="266"/>
      <c r="F225" s="266"/>
      <c r="G225" s="266"/>
      <c r="H225" s="266"/>
      <c r="I225" s="266"/>
      <c r="K225" s="577"/>
    </row>
    <row r="226" spans="2:19" x14ac:dyDescent="0.3">
      <c r="B226" s="646" t="s">
        <v>31</v>
      </c>
      <c r="C226" s="647"/>
      <c r="D226" s="266"/>
      <c r="E226" s="266"/>
      <c r="F226" s="266"/>
      <c r="G226" s="266"/>
      <c r="H226" s="266"/>
      <c r="I226" s="266"/>
      <c r="K226" s="577"/>
    </row>
    <row r="227" spans="2:19" x14ac:dyDescent="0.3">
      <c r="B227" s="646" t="s">
        <v>487</v>
      </c>
      <c r="C227" s="647"/>
      <c r="D227" s="216"/>
      <c r="E227" s="216"/>
      <c r="F227" s="216"/>
      <c r="G227" s="216"/>
      <c r="H227" s="216"/>
      <c r="I227" s="216"/>
      <c r="K227" s="577"/>
    </row>
    <row r="228" spans="2:19" x14ac:dyDescent="0.3">
      <c r="B228" s="648" t="s">
        <v>488</v>
      </c>
      <c r="C228" s="649"/>
      <c r="D228" s="579">
        <v>0.74622106600024596</v>
      </c>
      <c r="E228" s="579">
        <v>0.78</v>
      </c>
      <c r="F228" s="579">
        <v>0.80249999999999999</v>
      </c>
      <c r="G228" s="579">
        <v>0.82499999999999996</v>
      </c>
      <c r="H228" s="579">
        <v>0.84749999999999992</v>
      </c>
      <c r="I228" s="579">
        <v>0.87</v>
      </c>
      <c r="K228" s="577">
        <v>0.712442132000492</v>
      </c>
    </row>
    <row r="229" spans="2:19" x14ac:dyDescent="0.3">
      <c r="B229" s="648" t="s">
        <v>489</v>
      </c>
      <c r="C229" s="649"/>
      <c r="D229" s="266"/>
      <c r="E229" s="266"/>
      <c r="F229" s="266"/>
      <c r="G229" s="266"/>
      <c r="H229" s="266"/>
      <c r="I229" s="266"/>
      <c r="K229" s="577"/>
    </row>
    <row r="233" spans="2:19" x14ac:dyDescent="0.3">
      <c r="B233" s="637" t="s">
        <v>881</v>
      </c>
      <c r="C233" s="637"/>
      <c r="D233" s="637"/>
      <c r="E233" s="637"/>
      <c r="F233" s="637"/>
      <c r="G233" s="637"/>
      <c r="H233" s="637"/>
      <c r="I233" s="637"/>
      <c r="J233" s="637"/>
      <c r="K233" s="637"/>
      <c r="L233" s="637"/>
      <c r="M233" s="637"/>
      <c r="N233" s="637"/>
      <c r="O233" s="637"/>
      <c r="P233" s="637"/>
      <c r="Q233" s="637"/>
      <c r="R233" s="637"/>
      <c r="S233" s="637"/>
    </row>
    <row r="234" spans="2:19" x14ac:dyDescent="0.3">
      <c r="B234" s="426" t="s">
        <v>885</v>
      </c>
      <c r="C234" s="426"/>
      <c r="D234" s="426"/>
      <c r="E234" s="426"/>
      <c r="F234" s="426"/>
      <c r="G234" s="426"/>
    </row>
    <row r="235" spans="2:19" x14ac:dyDescent="0.3">
      <c r="B235" s="650" t="s">
        <v>882</v>
      </c>
      <c r="C235" s="650"/>
      <c r="D235" s="650"/>
      <c r="E235" s="650"/>
      <c r="F235" s="650"/>
      <c r="G235" s="650"/>
      <c r="H235" s="650"/>
      <c r="I235" s="650"/>
      <c r="J235" s="650"/>
      <c r="K235" s="650"/>
      <c r="L235" s="650"/>
      <c r="M235" s="650"/>
      <c r="N235" s="650"/>
      <c r="O235" s="650"/>
      <c r="P235" s="650"/>
      <c r="Q235" s="650"/>
      <c r="R235" s="650"/>
      <c r="S235" s="650"/>
    </row>
    <row r="236" spans="2:19" x14ac:dyDescent="0.3">
      <c r="B236" s="650"/>
      <c r="C236" s="650"/>
      <c r="D236" s="650"/>
      <c r="E236" s="650"/>
      <c r="F236" s="650"/>
      <c r="G236" s="650"/>
      <c r="H236" s="650"/>
      <c r="I236" s="650"/>
      <c r="J236" s="650"/>
      <c r="K236" s="650"/>
      <c r="L236" s="650"/>
      <c r="M236" s="650"/>
      <c r="N236" s="650"/>
      <c r="O236" s="650"/>
      <c r="P236" s="650"/>
      <c r="Q236" s="650"/>
      <c r="R236" s="650"/>
      <c r="S236" s="650"/>
    </row>
    <row r="237" spans="2:19" x14ac:dyDescent="0.3">
      <c r="B237" s="1"/>
      <c r="C237" s="660"/>
      <c r="D237" s="660"/>
      <c r="E237" s="660"/>
      <c r="F237" s="1"/>
      <c r="G237" s="1"/>
      <c r="L237" s="555"/>
    </row>
    <row r="238" spans="2:19" x14ac:dyDescent="0.3">
      <c r="B238" s="1"/>
      <c r="C238" s="286">
        <v>2019</v>
      </c>
      <c r="D238" s="286">
        <v>2021</v>
      </c>
      <c r="E238" s="286">
        <v>2030</v>
      </c>
      <c r="F238" s="286">
        <v>2040</v>
      </c>
      <c r="G238" s="286">
        <v>2050</v>
      </c>
    </row>
    <row r="239" spans="2:19" x14ac:dyDescent="0.3">
      <c r="B239" s="292" t="s">
        <v>719</v>
      </c>
      <c r="C239" s="293" t="s">
        <v>727</v>
      </c>
      <c r="E239" s="234"/>
      <c r="F239" s="234"/>
      <c r="G239" s="235"/>
      <c r="J239" s="658" t="s">
        <v>897</v>
      </c>
      <c r="K239" s="659"/>
      <c r="L239" s="659"/>
      <c r="M239" s="659"/>
      <c r="N239" s="659"/>
      <c r="O239" s="659"/>
    </row>
    <row r="240" spans="2:19" x14ac:dyDescent="0.3">
      <c r="B240" s="294" t="s">
        <v>10</v>
      </c>
      <c r="C240" s="289"/>
      <c r="D240" s="289"/>
      <c r="E240" s="289"/>
      <c r="F240" s="289"/>
      <c r="G240" s="295"/>
      <c r="J240" s="659"/>
      <c r="K240" s="659"/>
      <c r="L240" s="659"/>
      <c r="M240" s="659"/>
      <c r="N240" s="659"/>
      <c r="O240" s="659"/>
      <c r="Q240" t="s">
        <v>1038</v>
      </c>
    </row>
    <row r="241" spans="2:21" x14ac:dyDescent="0.3">
      <c r="B241" s="296" t="s">
        <v>728</v>
      </c>
      <c r="C241" s="562">
        <v>1</v>
      </c>
      <c r="D241" s="562">
        <v>1</v>
      </c>
      <c r="E241" s="562">
        <v>0.95</v>
      </c>
      <c r="F241" s="562">
        <v>0.64999999999999991</v>
      </c>
      <c r="G241" s="563">
        <v>0.6</v>
      </c>
      <c r="J241" s="659"/>
      <c r="K241" s="659"/>
      <c r="L241" s="659"/>
      <c r="M241" s="659"/>
      <c r="N241" s="659"/>
      <c r="O241" s="659"/>
    </row>
    <row r="242" spans="2:21" x14ac:dyDescent="0.3">
      <c r="B242" s="296" t="s">
        <v>729</v>
      </c>
      <c r="C242" s="562">
        <v>0</v>
      </c>
      <c r="D242" s="562">
        <v>0</v>
      </c>
      <c r="E242" s="564">
        <v>0.05</v>
      </c>
      <c r="F242" s="562">
        <v>0.17500000000000004</v>
      </c>
      <c r="G242" s="565">
        <v>0.2</v>
      </c>
      <c r="J242" s="659"/>
      <c r="K242" s="659"/>
      <c r="L242" s="659"/>
      <c r="M242" s="659"/>
      <c r="N242" s="659"/>
      <c r="O242" s="659"/>
    </row>
    <row r="243" spans="2:21" x14ac:dyDescent="0.3">
      <c r="B243" s="296" t="s">
        <v>730</v>
      </c>
      <c r="C243" s="562">
        <v>0</v>
      </c>
      <c r="D243" s="562">
        <v>0</v>
      </c>
      <c r="E243" s="564">
        <v>0</v>
      </c>
      <c r="F243" s="562">
        <v>0.17500000000000004</v>
      </c>
      <c r="G243" s="565">
        <v>0.2</v>
      </c>
      <c r="H243" t="s">
        <v>1046</v>
      </c>
      <c r="J243" s="659"/>
      <c r="K243" s="659"/>
      <c r="L243" s="659"/>
      <c r="M243" s="659"/>
      <c r="N243" s="659"/>
      <c r="O243" s="659"/>
    </row>
    <row r="244" spans="2:21" x14ac:dyDescent="0.3">
      <c r="B244" s="294" t="s">
        <v>14</v>
      </c>
      <c r="C244" s="566"/>
      <c r="D244" s="566"/>
      <c r="E244" s="566"/>
      <c r="F244" s="566"/>
      <c r="G244" s="567"/>
      <c r="J244" s="659"/>
      <c r="K244" s="659"/>
      <c r="L244" s="659"/>
      <c r="M244" s="659"/>
      <c r="N244" s="659"/>
      <c r="O244" s="659"/>
    </row>
    <row r="245" spans="2:21" x14ac:dyDescent="0.3">
      <c r="B245" s="296" t="s">
        <v>731</v>
      </c>
      <c r="C245" s="568">
        <v>1</v>
      </c>
      <c r="D245" s="568">
        <v>1</v>
      </c>
      <c r="E245" s="568">
        <v>0.85</v>
      </c>
      <c r="F245" s="568">
        <v>0.65</v>
      </c>
      <c r="G245" s="569">
        <v>0</v>
      </c>
      <c r="J245" s="659"/>
      <c r="K245" s="659"/>
      <c r="L245" s="659"/>
      <c r="M245" s="659"/>
      <c r="N245" s="659"/>
      <c r="O245" s="659"/>
    </row>
    <row r="246" spans="2:21" x14ac:dyDescent="0.3">
      <c r="B246" s="296" t="s">
        <v>737</v>
      </c>
      <c r="C246" s="568">
        <v>0</v>
      </c>
      <c r="D246" s="568">
        <v>0</v>
      </c>
      <c r="E246" s="568">
        <v>0</v>
      </c>
      <c r="F246" s="568">
        <v>0.19833333333333336</v>
      </c>
      <c r="G246" s="569">
        <v>0.23800000000000002</v>
      </c>
      <c r="J246" s="659"/>
      <c r="K246" s="659"/>
      <c r="L246" s="659"/>
      <c r="M246" s="659"/>
      <c r="N246" s="659"/>
      <c r="O246" s="659"/>
    </row>
    <row r="247" spans="2:21" x14ac:dyDescent="0.3">
      <c r="B247" s="296" t="s">
        <v>732</v>
      </c>
      <c r="C247" s="568">
        <v>0</v>
      </c>
      <c r="D247" s="568">
        <v>0</v>
      </c>
      <c r="E247" s="568">
        <v>0.15</v>
      </c>
      <c r="F247" s="569">
        <v>0.15</v>
      </c>
      <c r="G247" s="569">
        <v>0.76200000000000001</v>
      </c>
      <c r="H247" t="s">
        <v>1047</v>
      </c>
      <c r="J247" s="659"/>
      <c r="K247" s="659"/>
      <c r="L247" s="659"/>
      <c r="M247" s="659"/>
      <c r="N247" s="659"/>
      <c r="O247" s="659"/>
    </row>
    <row r="248" spans="2:21" x14ac:dyDescent="0.3">
      <c r="B248" s="294" t="s">
        <v>720</v>
      </c>
      <c r="C248" s="566"/>
      <c r="D248" s="566"/>
      <c r="E248" s="566"/>
      <c r="F248" s="566"/>
      <c r="G248" s="567"/>
      <c r="J248" s="659"/>
      <c r="K248" s="659"/>
      <c r="L248" s="659"/>
      <c r="M248" s="659"/>
      <c r="N248" s="659"/>
      <c r="O248" s="659"/>
    </row>
    <row r="249" spans="2:21" x14ac:dyDescent="0.3">
      <c r="B249" s="296" t="s">
        <v>733</v>
      </c>
      <c r="C249" s="562">
        <v>1</v>
      </c>
      <c r="D249" s="562">
        <v>1</v>
      </c>
      <c r="E249" s="562">
        <v>1</v>
      </c>
      <c r="F249" s="562">
        <v>0.75</v>
      </c>
      <c r="G249" s="563">
        <v>0.19999999999999996</v>
      </c>
      <c r="J249" s="659"/>
      <c r="K249" s="659"/>
      <c r="L249" s="659"/>
      <c r="M249" s="659"/>
      <c r="N249" s="659"/>
      <c r="O249" s="659"/>
    </row>
    <row r="250" spans="2:21" x14ac:dyDescent="0.3">
      <c r="B250" s="296" t="s">
        <v>745</v>
      </c>
      <c r="C250" s="562">
        <v>0</v>
      </c>
      <c r="D250" s="562">
        <v>0</v>
      </c>
      <c r="E250" s="562">
        <v>0</v>
      </c>
      <c r="F250" s="562">
        <v>0.2</v>
      </c>
      <c r="G250" s="563">
        <v>0.45</v>
      </c>
      <c r="J250" s="659"/>
      <c r="K250" s="659"/>
      <c r="L250" s="659"/>
      <c r="M250" s="659"/>
      <c r="N250" s="659"/>
      <c r="O250" s="659"/>
    </row>
    <row r="251" spans="2:21" x14ac:dyDescent="0.3">
      <c r="B251" s="296" t="s">
        <v>735</v>
      </c>
      <c r="C251" s="562">
        <v>0</v>
      </c>
      <c r="D251" s="562">
        <v>0</v>
      </c>
      <c r="E251" s="562">
        <v>0</v>
      </c>
      <c r="F251" s="562">
        <v>0.05</v>
      </c>
      <c r="G251" s="563">
        <v>0.35</v>
      </c>
      <c r="J251" s="659"/>
      <c r="K251" s="659"/>
      <c r="L251" s="659"/>
      <c r="M251" s="659"/>
      <c r="N251" s="659"/>
      <c r="O251" s="659"/>
      <c r="R251" s="504"/>
      <c r="S251" s="583">
        <v>2019</v>
      </c>
      <c r="T251" s="583">
        <v>2030</v>
      </c>
      <c r="U251" s="583">
        <v>2050</v>
      </c>
    </row>
    <row r="252" spans="2:21" x14ac:dyDescent="0.3">
      <c r="B252" s="294" t="s">
        <v>721</v>
      </c>
      <c r="C252" s="631">
        <f>SUM(C253:C257)</f>
        <v>1</v>
      </c>
      <c r="D252" s="631">
        <f t="shared" ref="D252:G252" si="3">SUM(D253:D257)</f>
        <v>1</v>
      </c>
      <c r="E252" s="631">
        <f t="shared" si="3"/>
        <v>1</v>
      </c>
      <c r="F252" s="631">
        <f t="shared" si="3"/>
        <v>1</v>
      </c>
      <c r="G252" s="631">
        <f t="shared" si="3"/>
        <v>1</v>
      </c>
      <c r="J252" s="659"/>
      <c r="K252" s="659"/>
      <c r="L252" s="659"/>
      <c r="M252" s="659"/>
      <c r="N252" s="659"/>
      <c r="O252" s="659"/>
      <c r="R252" s="582" t="s">
        <v>1038</v>
      </c>
      <c r="S252" s="584">
        <v>0.25</v>
      </c>
      <c r="T252" s="584">
        <v>0.32</v>
      </c>
      <c r="U252" s="584">
        <v>0.38</v>
      </c>
    </row>
    <row r="253" spans="2:21" x14ac:dyDescent="0.3">
      <c r="B253" s="296" t="s">
        <v>705</v>
      </c>
      <c r="C253" s="562">
        <v>0.28644564394135302</v>
      </c>
      <c r="D253" s="562">
        <v>0.28644564394135302</v>
      </c>
      <c r="E253" s="562">
        <v>0.25644564394135305</v>
      </c>
      <c r="F253" s="562">
        <v>0.17311231060801974</v>
      </c>
      <c r="G253" s="563">
        <v>0.15644564394135305</v>
      </c>
      <c r="H253" s="546"/>
      <c r="I253" s="546"/>
      <c r="J253" s="659"/>
      <c r="K253" s="659"/>
      <c r="L253" s="659"/>
      <c r="M253" s="659"/>
      <c r="N253" s="659"/>
      <c r="O253" s="659"/>
    </row>
    <row r="254" spans="2:21" x14ac:dyDescent="0.3">
      <c r="B254" s="296" t="s">
        <v>441</v>
      </c>
      <c r="C254" s="562">
        <v>0.71355435605864703</v>
      </c>
      <c r="D254" s="562">
        <v>0.71355435605864703</v>
      </c>
      <c r="E254" s="562">
        <v>0.673554356058647</v>
      </c>
      <c r="F254" s="562">
        <f>1-F253-F255-F256-F257</f>
        <v>0.27355435605864703</v>
      </c>
      <c r="G254" s="563">
        <v>0.14000000000000001</v>
      </c>
      <c r="J254" s="659"/>
      <c r="K254" s="659"/>
      <c r="L254" s="659"/>
      <c r="M254" s="659"/>
      <c r="N254" s="659"/>
      <c r="O254" s="659"/>
    </row>
    <row r="255" spans="2:21" x14ac:dyDescent="0.3">
      <c r="B255" s="296" t="s">
        <v>736</v>
      </c>
      <c r="C255" s="562">
        <v>0</v>
      </c>
      <c r="D255" s="562">
        <v>0</v>
      </c>
      <c r="E255" s="562">
        <v>0.03</v>
      </c>
      <c r="F255" s="562">
        <v>8.8333333333333347E-2</v>
      </c>
      <c r="G255" s="563">
        <v>0.1</v>
      </c>
      <c r="H255" s="546"/>
      <c r="I255" s="546"/>
      <c r="J255" s="659"/>
      <c r="K255" s="659"/>
      <c r="L255" s="659"/>
      <c r="M255" s="659"/>
      <c r="N255" s="659"/>
      <c r="O255" s="659"/>
    </row>
    <row r="256" spans="2:21" x14ac:dyDescent="0.3">
      <c r="B256" s="296" t="s">
        <v>737</v>
      </c>
      <c r="C256" s="562">
        <v>0</v>
      </c>
      <c r="D256" s="562">
        <v>0</v>
      </c>
      <c r="E256" s="562">
        <v>0.04</v>
      </c>
      <c r="F256" s="562">
        <v>0.13166666666666665</v>
      </c>
      <c r="G256" s="563">
        <f>1-G253-G254-G255-G257</f>
        <v>0.20355435605864691</v>
      </c>
      <c r="J256" s="659"/>
      <c r="K256" s="659"/>
      <c r="L256" s="659"/>
      <c r="M256" s="659"/>
      <c r="N256" s="659"/>
      <c r="O256" s="659"/>
    </row>
    <row r="257" spans="2:19" x14ac:dyDescent="0.3">
      <c r="B257" s="296" t="s">
        <v>447</v>
      </c>
      <c r="C257" s="562">
        <v>0</v>
      </c>
      <c r="D257" s="562">
        <v>0</v>
      </c>
      <c r="E257" s="562">
        <v>0</v>
      </c>
      <c r="F257" s="562">
        <v>0.33333333333333331</v>
      </c>
      <c r="G257" s="563">
        <v>0.4</v>
      </c>
      <c r="J257" s="659"/>
      <c r="K257" s="659"/>
      <c r="L257" s="659"/>
      <c r="M257" s="659"/>
      <c r="N257" s="659"/>
      <c r="O257" s="659"/>
    </row>
    <row r="258" spans="2:19" x14ac:dyDescent="0.3">
      <c r="B258" s="294" t="s">
        <v>722</v>
      </c>
      <c r="C258" s="566"/>
      <c r="D258" s="566"/>
      <c r="E258" s="566"/>
      <c r="F258" s="566"/>
      <c r="G258" s="567"/>
      <c r="J258" s="659"/>
      <c r="K258" s="659"/>
      <c r="L258" s="659"/>
      <c r="M258" s="659"/>
      <c r="N258" s="659"/>
      <c r="O258" s="659"/>
    </row>
    <row r="259" spans="2:19" x14ac:dyDescent="0.3">
      <c r="B259" s="296" t="s">
        <v>738</v>
      </c>
      <c r="C259" s="562">
        <v>1</v>
      </c>
      <c r="D259" s="562">
        <v>1</v>
      </c>
      <c r="E259" s="562">
        <v>0.9</v>
      </c>
      <c r="F259" s="562">
        <v>0.77</v>
      </c>
      <c r="G259" s="563">
        <v>0.6</v>
      </c>
      <c r="H259" t="s">
        <v>1048</v>
      </c>
      <c r="J259" s="659"/>
      <c r="K259" s="659"/>
      <c r="L259" s="659"/>
      <c r="M259" s="659"/>
      <c r="N259" s="659"/>
      <c r="O259" s="659"/>
    </row>
    <row r="260" spans="2:19" x14ac:dyDescent="0.3">
      <c r="B260" s="296" t="s">
        <v>739</v>
      </c>
      <c r="C260" s="562">
        <v>0</v>
      </c>
      <c r="D260" s="562">
        <v>0</v>
      </c>
      <c r="E260" s="562">
        <v>0.05</v>
      </c>
      <c r="F260" s="562">
        <v>0.15</v>
      </c>
      <c r="G260" s="563">
        <v>0.3</v>
      </c>
      <c r="J260" s="659"/>
      <c r="K260" s="659"/>
      <c r="L260" s="659"/>
      <c r="M260" s="659"/>
      <c r="N260" s="659"/>
      <c r="O260" s="659"/>
    </row>
    <row r="261" spans="2:19" x14ac:dyDescent="0.3">
      <c r="B261" s="296" t="s">
        <v>748</v>
      </c>
      <c r="C261" s="562">
        <v>0</v>
      </c>
      <c r="D261" s="562">
        <v>0</v>
      </c>
      <c r="E261" s="562">
        <v>0.05</v>
      </c>
      <c r="F261" s="562">
        <v>0.08</v>
      </c>
      <c r="G261" s="563">
        <v>0.1</v>
      </c>
      <c r="J261" s="659"/>
      <c r="K261" s="659"/>
      <c r="L261" s="659"/>
      <c r="M261" s="659"/>
      <c r="N261" s="659"/>
      <c r="O261" s="659"/>
    </row>
    <row r="262" spans="2:19" x14ac:dyDescent="0.3">
      <c r="B262" s="294" t="s">
        <v>723</v>
      </c>
      <c r="C262" s="566"/>
      <c r="D262" s="566"/>
      <c r="E262" s="566"/>
      <c r="F262" s="566"/>
      <c r="G262" s="567"/>
      <c r="J262" s="659"/>
      <c r="K262" s="659"/>
      <c r="L262" s="659"/>
      <c r="M262" s="659"/>
      <c r="N262" s="659"/>
      <c r="O262" s="659"/>
    </row>
    <row r="263" spans="2:19" x14ac:dyDescent="0.3">
      <c r="B263" s="296" t="s">
        <v>741</v>
      </c>
      <c r="C263" s="562">
        <v>1</v>
      </c>
      <c r="D263" s="562">
        <v>1</v>
      </c>
      <c r="E263" s="562">
        <v>1</v>
      </c>
      <c r="F263" s="562">
        <v>0.83333333333333337</v>
      </c>
      <c r="G263" s="563">
        <v>0.8</v>
      </c>
      <c r="J263" s="659"/>
      <c r="K263" s="659"/>
      <c r="L263" s="659"/>
      <c r="M263" s="659"/>
      <c r="N263" s="659"/>
      <c r="O263" s="659"/>
    </row>
    <row r="264" spans="2:19" x14ac:dyDescent="0.3">
      <c r="B264" s="297" t="s">
        <v>742</v>
      </c>
      <c r="C264" s="570">
        <v>0</v>
      </c>
      <c r="D264" s="570">
        <v>0</v>
      </c>
      <c r="E264" s="570">
        <v>0</v>
      </c>
      <c r="F264" s="562">
        <v>0.16666666666666666</v>
      </c>
      <c r="G264" s="571">
        <v>0.2</v>
      </c>
      <c r="J264" s="659"/>
      <c r="K264" s="659"/>
      <c r="L264" s="659"/>
      <c r="M264" s="659"/>
      <c r="N264" s="659"/>
      <c r="O264" s="659"/>
    </row>
    <row r="266" spans="2:19" x14ac:dyDescent="0.3">
      <c r="B266" s="294" t="s">
        <v>1053</v>
      </c>
      <c r="C266" s="626">
        <v>2019</v>
      </c>
      <c r="D266" s="626">
        <v>2030</v>
      </c>
      <c r="E266" s="626">
        <v>2050</v>
      </c>
      <c r="F266" s="627" t="s">
        <v>1054</v>
      </c>
      <c r="G266" s="628"/>
    </row>
    <row r="267" spans="2:19" x14ac:dyDescent="0.3">
      <c r="B267" s="625" t="s">
        <v>1049</v>
      </c>
      <c r="C267" s="407">
        <v>0</v>
      </c>
      <c r="D267" s="407">
        <v>-120</v>
      </c>
      <c r="E267" s="407">
        <v>-300</v>
      </c>
      <c r="F267" t="s">
        <v>1055</v>
      </c>
    </row>
    <row r="268" spans="2:19" x14ac:dyDescent="0.3">
      <c r="B268" s="625" t="s">
        <v>1050</v>
      </c>
      <c r="C268" s="407">
        <v>0</v>
      </c>
      <c r="D268" s="407">
        <v>-700</v>
      </c>
      <c r="E268" s="407">
        <v>-700</v>
      </c>
      <c r="F268" t="s">
        <v>1052</v>
      </c>
      <c r="G268" t="s">
        <v>1051</v>
      </c>
    </row>
    <row r="269" spans="2:19" x14ac:dyDescent="0.3">
      <c r="F269" t="s">
        <v>1056</v>
      </c>
    </row>
    <row r="270" spans="2:19" x14ac:dyDescent="0.3">
      <c r="B270" s="637" t="s">
        <v>888</v>
      </c>
      <c r="C270" s="637"/>
      <c r="D270" s="637"/>
      <c r="E270" s="637"/>
      <c r="F270" s="637"/>
      <c r="G270" s="637"/>
      <c r="H270" s="637"/>
      <c r="I270" s="637"/>
      <c r="J270" s="637"/>
      <c r="K270" s="637"/>
      <c r="L270" s="637"/>
      <c r="M270" s="637"/>
      <c r="N270" s="637"/>
      <c r="O270" s="637"/>
      <c r="P270" s="637"/>
      <c r="Q270" s="637"/>
      <c r="R270" s="637"/>
      <c r="S270" s="637"/>
    </row>
    <row r="271" spans="2:19" x14ac:dyDescent="0.3">
      <c r="B271" s="426" t="s">
        <v>884</v>
      </c>
      <c r="C271" s="426"/>
      <c r="D271" s="426"/>
      <c r="E271" s="426"/>
      <c r="F271" s="426"/>
      <c r="G271" s="426"/>
    </row>
    <row r="272" spans="2:19" x14ac:dyDescent="0.3">
      <c r="B272" s="650" t="s">
        <v>889</v>
      </c>
      <c r="C272" s="650"/>
      <c r="D272" s="650"/>
      <c r="E272" s="650"/>
      <c r="F272" s="650"/>
      <c r="G272" s="650"/>
      <c r="H272" s="650"/>
      <c r="I272" s="650"/>
      <c r="J272" s="650"/>
      <c r="K272" s="650"/>
      <c r="L272" s="650"/>
      <c r="M272" s="650"/>
      <c r="N272" s="650"/>
      <c r="O272" s="650"/>
      <c r="P272" s="650"/>
      <c r="Q272" s="650"/>
      <c r="R272" s="650"/>
      <c r="S272" s="650"/>
    </row>
    <row r="273" spans="2:19" x14ac:dyDescent="0.3">
      <c r="B273" s="650"/>
      <c r="C273" s="650"/>
      <c r="D273" s="650"/>
      <c r="E273" s="650"/>
      <c r="F273" s="650"/>
      <c r="G273" s="650"/>
      <c r="H273" s="650"/>
      <c r="I273" s="650"/>
      <c r="J273" s="650"/>
      <c r="K273" s="650"/>
      <c r="L273" s="650"/>
      <c r="M273" s="650"/>
      <c r="N273" s="650"/>
      <c r="O273" s="650"/>
      <c r="P273" s="650"/>
      <c r="Q273" s="650"/>
      <c r="R273" s="650"/>
      <c r="S273" s="650"/>
    </row>
    <row r="274" spans="2:19" x14ac:dyDescent="0.3">
      <c r="B274" s="654" t="s">
        <v>1035</v>
      </c>
      <c r="C274" s="654"/>
      <c r="D274" s="654"/>
      <c r="E274" s="654"/>
      <c r="F274" s="654"/>
      <c r="G274" s="654"/>
      <c r="H274" s="654"/>
      <c r="I274" s="654"/>
      <c r="J274" s="654"/>
      <c r="K274" s="654"/>
      <c r="L274" s="654"/>
      <c r="M274" s="654"/>
      <c r="N274" s="654"/>
      <c r="O274" s="654"/>
      <c r="P274" s="654"/>
      <c r="Q274" s="654"/>
      <c r="R274" s="654"/>
      <c r="S274" s="654"/>
    </row>
    <row r="276" spans="2:19" x14ac:dyDescent="0.3">
      <c r="B276" s="657"/>
      <c r="C276" s="656" t="s">
        <v>4</v>
      </c>
      <c r="D276" s="656"/>
      <c r="E276" s="656"/>
      <c r="F276" s="656"/>
      <c r="G276" s="656"/>
      <c r="H276" s="656"/>
      <c r="K276" s="555"/>
    </row>
    <row r="277" spans="2:19" x14ac:dyDescent="0.3">
      <c r="B277" s="657"/>
      <c r="C277" s="300">
        <v>2025</v>
      </c>
      <c r="D277" s="300">
        <v>2030</v>
      </c>
      <c r="E277" s="300">
        <v>2035</v>
      </c>
      <c r="F277" s="300">
        <v>2040</v>
      </c>
      <c r="G277" s="157">
        <v>2045</v>
      </c>
      <c r="H277" s="157">
        <v>2050</v>
      </c>
    </row>
    <row r="278" spans="2:19" x14ac:dyDescent="0.3">
      <c r="B278" s="424" t="s">
        <v>24</v>
      </c>
      <c r="C278" s="580">
        <v>0</v>
      </c>
      <c r="D278" s="580">
        <v>3.25</v>
      </c>
      <c r="E278" s="580">
        <v>3.25</v>
      </c>
      <c r="F278" s="580">
        <v>3.37</v>
      </c>
      <c r="G278" s="580">
        <v>3.37</v>
      </c>
      <c r="H278" s="580">
        <v>3.37</v>
      </c>
    </row>
    <row r="279" spans="2:19" x14ac:dyDescent="0.3">
      <c r="B279" s="175" t="s">
        <v>752</v>
      </c>
      <c r="C279" s="572">
        <v>7.0000000000000007E-2</v>
      </c>
      <c r="D279" s="572">
        <v>0.14000000000000001</v>
      </c>
      <c r="E279" s="572">
        <f>(D279+F279)/2</f>
        <v>0.29249999999999998</v>
      </c>
      <c r="F279" s="572">
        <f>(D279+H279)/2</f>
        <v>0.44500000000000001</v>
      </c>
      <c r="G279" s="572">
        <f>(F279+H279)/2</f>
        <v>0.59750000000000003</v>
      </c>
      <c r="H279" s="572">
        <v>0.75</v>
      </c>
      <c r="J279" s="581" t="s">
        <v>1036</v>
      </c>
    </row>
    <row r="280" spans="2:19" x14ac:dyDescent="0.3">
      <c r="B280" s="175" t="s">
        <v>753</v>
      </c>
      <c r="C280" s="573">
        <v>1</v>
      </c>
      <c r="D280" s="573">
        <v>0.9</v>
      </c>
      <c r="E280" s="573">
        <v>0.82</v>
      </c>
      <c r="F280" s="573">
        <v>0.75</v>
      </c>
      <c r="G280" s="573">
        <v>0.68</v>
      </c>
      <c r="H280" s="573">
        <v>0.62</v>
      </c>
      <c r="J280" s="581" t="s">
        <v>1037</v>
      </c>
    </row>
    <row r="281" spans="2:19" x14ac:dyDescent="0.3">
      <c r="B281" s="175" t="s">
        <v>754</v>
      </c>
      <c r="C281" s="573">
        <f t="shared" ref="C281:H281" si="4">1-C280</f>
        <v>0</v>
      </c>
      <c r="D281" s="573">
        <f t="shared" si="4"/>
        <v>9.9999999999999978E-2</v>
      </c>
      <c r="E281" s="573">
        <f t="shared" si="4"/>
        <v>0.18000000000000005</v>
      </c>
      <c r="F281" s="573">
        <f t="shared" si="4"/>
        <v>0.25</v>
      </c>
      <c r="G281" s="573">
        <f t="shared" si="4"/>
        <v>0.31999999999999995</v>
      </c>
      <c r="H281" s="573">
        <f t="shared" si="4"/>
        <v>0.38</v>
      </c>
      <c r="J281" s="581" t="s">
        <v>1037</v>
      </c>
    </row>
    <row r="282" spans="2:19" x14ac:dyDescent="0.3">
      <c r="B282" s="424" t="s">
        <v>25</v>
      </c>
      <c r="C282" s="580">
        <v>0</v>
      </c>
      <c r="D282" s="580">
        <v>2.15</v>
      </c>
      <c r="E282" s="580">
        <v>3.8</v>
      </c>
      <c r="F282" s="580">
        <v>6</v>
      </c>
      <c r="G282" s="580">
        <v>6.5</v>
      </c>
      <c r="H282" s="580">
        <v>7</v>
      </c>
    </row>
    <row r="283" spans="2:19" x14ac:dyDescent="0.3">
      <c r="B283" s="175" t="s">
        <v>752</v>
      </c>
      <c r="C283" s="572">
        <v>0.1</v>
      </c>
      <c r="D283" s="572">
        <v>0.22</v>
      </c>
      <c r="E283" s="572">
        <f>(D283+F283)/2</f>
        <v>0.29075000000000001</v>
      </c>
      <c r="F283" s="572">
        <f>(D283+H283)/2</f>
        <v>0.36149999999999999</v>
      </c>
      <c r="G283" s="572">
        <f>(F283+H283)/2</f>
        <v>0.43225000000000002</v>
      </c>
      <c r="H283" s="572">
        <v>0.503</v>
      </c>
    </row>
    <row r="284" spans="2:19" x14ac:dyDescent="0.3">
      <c r="B284" s="175" t="s">
        <v>753</v>
      </c>
      <c r="C284" s="573">
        <v>1</v>
      </c>
      <c r="D284" s="573">
        <v>0.9</v>
      </c>
      <c r="E284" s="573">
        <v>0.82</v>
      </c>
      <c r="F284" s="573">
        <v>0.75</v>
      </c>
      <c r="G284" s="573">
        <v>0.68</v>
      </c>
      <c r="H284" s="573">
        <v>0.64</v>
      </c>
    </row>
    <row r="285" spans="2:19" x14ac:dyDescent="0.3">
      <c r="B285" s="175" t="s">
        <v>754</v>
      </c>
      <c r="C285" s="573">
        <f t="shared" ref="C285:H285" si="5">1-C284</f>
        <v>0</v>
      </c>
      <c r="D285" s="573">
        <f t="shared" si="5"/>
        <v>9.9999999999999978E-2</v>
      </c>
      <c r="E285" s="573">
        <f t="shared" si="5"/>
        <v>0.18000000000000005</v>
      </c>
      <c r="F285" s="573">
        <f t="shared" si="5"/>
        <v>0.25</v>
      </c>
      <c r="G285" s="573">
        <f t="shared" si="5"/>
        <v>0.31999999999999995</v>
      </c>
      <c r="H285" s="573">
        <f t="shared" si="5"/>
        <v>0.36</v>
      </c>
    </row>
    <row r="286" spans="2:19" x14ac:dyDescent="0.3">
      <c r="B286" s="424" t="s">
        <v>479</v>
      </c>
      <c r="C286" s="580">
        <v>0</v>
      </c>
      <c r="D286" s="580">
        <v>1.2</v>
      </c>
      <c r="E286" s="580">
        <v>5</v>
      </c>
      <c r="F286" s="580">
        <v>5.5</v>
      </c>
      <c r="G286" s="580">
        <v>6</v>
      </c>
      <c r="H286" s="580">
        <v>7</v>
      </c>
    </row>
    <row r="287" spans="2:19" x14ac:dyDescent="0.3">
      <c r="B287" s="175" t="s">
        <v>752</v>
      </c>
      <c r="C287" s="572">
        <v>0.12</v>
      </c>
      <c r="D287" s="572">
        <v>0.19</v>
      </c>
      <c r="E287" s="572">
        <f>(D287+F287)/2</f>
        <v>0.255</v>
      </c>
      <c r="F287" s="572">
        <f>(D287+H287)/2</f>
        <v>0.32</v>
      </c>
      <c r="G287" s="572">
        <f>(F287+H287)/2</f>
        <v>0.38500000000000001</v>
      </c>
      <c r="H287" s="572">
        <v>0.45</v>
      </c>
    </row>
    <row r="288" spans="2:19" x14ac:dyDescent="0.3">
      <c r="B288" s="175" t="s">
        <v>753</v>
      </c>
      <c r="C288" s="573">
        <v>1</v>
      </c>
      <c r="D288" s="573">
        <v>0.9</v>
      </c>
      <c r="E288" s="573">
        <v>0.9</v>
      </c>
      <c r="F288" s="573">
        <v>0.8</v>
      </c>
      <c r="G288" s="573">
        <v>0.8</v>
      </c>
      <c r="H288" s="573">
        <v>0.8</v>
      </c>
    </row>
    <row r="289" spans="2:8" x14ac:dyDescent="0.3">
      <c r="B289" s="175" t="s">
        <v>754</v>
      </c>
      <c r="C289" s="573">
        <f t="shared" ref="C289:H289" si="6">1-C288</f>
        <v>0</v>
      </c>
      <c r="D289" s="573">
        <f t="shared" si="6"/>
        <v>9.9999999999999978E-2</v>
      </c>
      <c r="E289" s="573">
        <f t="shared" si="6"/>
        <v>9.9999999999999978E-2</v>
      </c>
      <c r="F289" s="573">
        <f t="shared" si="6"/>
        <v>0.19999999999999996</v>
      </c>
      <c r="G289" s="573">
        <f t="shared" si="6"/>
        <v>0.19999999999999996</v>
      </c>
      <c r="H289" s="573">
        <f t="shared" si="6"/>
        <v>0.19999999999999996</v>
      </c>
    </row>
    <row r="290" spans="2:8" x14ac:dyDescent="0.3">
      <c r="B290" s="424" t="s">
        <v>553</v>
      </c>
      <c r="C290" s="580">
        <v>0</v>
      </c>
      <c r="D290" s="580">
        <v>0</v>
      </c>
      <c r="E290" s="580">
        <v>0</v>
      </c>
      <c r="F290" s="580">
        <v>0</v>
      </c>
      <c r="G290" s="580">
        <v>1.5</v>
      </c>
      <c r="H290" s="580">
        <v>2.5</v>
      </c>
    </row>
    <row r="291" spans="2:8" x14ac:dyDescent="0.3">
      <c r="B291" s="175" t="s">
        <v>752</v>
      </c>
      <c r="C291" s="574">
        <v>0.25</v>
      </c>
      <c r="D291" s="574">
        <v>0.45</v>
      </c>
      <c r="E291" s="574">
        <f>(D291+F291)/2</f>
        <v>0.58750000000000002</v>
      </c>
      <c r="F291" s="574">
        <f>(D291+H291)/2</f>
        <v>0.72499999999999998</v>
      </c>
      <c r="G291" s="574">
        <f>(F291+H291)/2</f>
        <v>0.86250000000000004</v>
      </c>
      <c r="H291" s="574">
        <v>1</v>
      </c>
    </row>
    <row r="292" spans="2:8" x14ac:dyDescent="0.3">
      <c r="B292" s="175" t="s">
        <v>753</v>
      </c>
      <c r="C292" s="575">
        <v>1</v>
      </c>
      <c r="D292" s="575">
        <v>0.9</v>
      </c>
      <c r="E292" s="575">
        <v>0.9</v>
      </c>
      <c r="F292" s="575">
        <v>0.8</v>
      </c>
      <c r="G292" s="575">
        <v>0.8</v>
      </c>
      <c r="H292" s="575">
        <v>0.7</v>
      </c>
    </row>
    <row r="293" spans="2:8" x14ac:dyDescent="0.3">
      <c r="B293" s="175" t="s">
        <v>754</v>
      </c>
      <c r="C293" s="575">
        <f t="shared" ref="C293:H293" si="7">1-C292</f>
        <v>0</v>
      </c>
      <c r="D293" s="575">
        <f t="shared" si="7"/>
        <v>9.9999999999999978E-2</v>
      </c>
      <c r="E293" s="575">
        <f t="shared" si="7"/>
        <v>9.9999999999999978E-2</v>
      </c>
      <c r="F293" s="575">
        <f t="shared" si="7"/>
        <v>0.19999999999999996</v>
      </c>
      <c r="G293" s="575">
        <f t="shared" si="7"/>
        <v>0.19999999999999996</v>
      </c>
      <c r="H293" s="575">
        <f t="shared" si="7"/>
        <v>0.30000000000000004</v>
      </c>
    </row>
    <row r="294" spans="2:8" x14ac:dyDescent="0.3">
      <c r="B294" s="424" t="s">
        <v>486</v>
      </c>
      <c r="C294" s="166"/>
      <c r="D294" s="166"/>
      <c r="E294" s="166"/>
      <c r="F294" s="166"/>
      <c r="G294" s="166"/>
      <c r="H294" s="166"/>
    </row>
    <row r="295" spans="2:8" x14ac:dyDescent="0.3">
      <c r="B295" s="424" t="s">
        <v>31</v>
      </c>
      <c r="C295" s="166"/>
      <c r="D295" s="166"/>
      <c r="E295" s="166"/>
      <c r="F295" s="166"/>
      <c r="G295" s="166"/>
      <c r="H295" s="166"/>
    </row>
    <row r="296" spans="2:8" x14ac:dyDescent="0.3">
      <c r="B296" s="424" t="s">
        <v>487</v>
      </c>
      <c r="C296" s="580">
        <v>0</v>
      </c>
      <c r="D296" s="580">
        <v>0</v>
      </c>
      <c r="E296" s="580">
        <v>0.5</v>
      </c>
      <c r="F296" s="580">
        <v>1</v>
      </c>
      <c r="G296" s="580">
        <v>2</v>
      </c>
      <c r="H296" s="580">
        <v>3</v>
      </c>
    </row>
    <row r="297" spans="2:8" x14ac:dyDescent="0.3">
      <c r="B297" s="175" t="s">
        <v>752</v>
      </c>
      <c r="C297" s="572">
        <v>0.55000000000000004</v>
      </c>
      <c r="D297" s="572">
        <v>0.67</v>
      </c>
      <c r="E297" s="572">
        <f>(D297+F297)/2</f>
        <v>0.75249999999999995</v>
      </c>
      <c r="F297" s="572">
        <f>(D297+H297)/2</f>
        <v>0.83499999999999996</v>
      </c>
      <c r="G297" s="572">
        <f>(F297+H297)/2</f>
        <v>0.91749999999999998</v>
      </c>
      <c r="H297" s="572">
        <v>1</v>
      </c>
    </row>
    <row r="298" spans="2:8" x14ac:dyDescent="0.3">
      <c r="B298" s="175" t="s">
        <v>753</v>
      </c>
      <c r="C298" s="572">
        <v>0.5</v>
      </c>
      <c r="D298" s="572">
        <v>0.5</v>
      </c>
      <c r="E298" s="572">
        <v>0.5</v>
      </c>
      <c r="F298" s="572">
        <v>0.5</v>
      </c>
      <c r="G298" s="572">
        <v>0.5</v>
      </c>
      <c r="H298" s="572">
        <v>0.5</v>
      </c>
    </row>
    <row r="299" spans="2:8" x14ac:dyDescent="0.3">
      <c r="B299" s="175" t="s">
        <v>754</v>
      </c>
      <c r="C299" s="572">
        <f t="shared" ref="C299:H299" si="8">1-C298</f>
        <v>0.5</v>
      </c>
      <c r="D299" s="572">
        <f t="shared" si="8"/>
        <v>0.5</v>
      </c>
      <c r="E299" s="572">
        <f t="shared" si="8"/>
        <v>0.5</v>
      </c>
      <c r="F299" s="572">
        <f t="shared" si="8"/>
        <v>0.5</v>
      </c>
      <c r="G299" s="572">
        <f t="shared" si="8"/>
        <v>0.5</v>
      </c>
      <c r="H299" s="572">
        <f t="shared" si="8"/>
        <v>0.5</v>
      </c>
    </row>
    <row r="300" spans="2:8" x14ac:dyDescent="0.3">
      <c r="B300" s="305" t="s">
        <v>762</v>
      </c>
      <c r="C300" s="307">
        <f t="shared" ref="C300:H300" si="9">C296+C290+C286+C282+C278</f>
        <v>0</v>
      </c>
      <c r="D300" s="307">
        <f t="shared" si="9"/>
        <v>6.6</v>
      </c>
      <c r="E300" s="307">
        <f t="shared" si="9"/>
        <v>12.55</v>
      </c>
      <c r="F300" s="307">
        <f t="shared" si="9"/>
        <v>15.870000000000001</v>
      </c>
      <c r="G300" s="307">
        <f t="shared" si="9"/>
        <v>19.37</v>
      </c>
      <c r="H300" s="307">
        <f t="shared" si="9"/>
        <v>22.87</v>
      </c>
    </row>
    <row r="301" spans="2:8" x14ac:dyDescent="0.3">
      <c r="B301" s="1"/>
      <c r="C301" s="1"/>
      <c r="D301" s="1"/>
      <c r="E301" s="1"/>
      <c r="F301" s="1"/>
      <c r="G301" s="1"/>
      <c r="H301" s="1"/>
    </row>
    <row r="302" spans="2:8" x14ac:dyDescent="0.3">
      <c r="B302" s="424" t="s">
        <v>763</v>
      </c>
      <c r="C302" s="1"/>
      <c r="D302" s="1"/>
      <c r="E302" s="1"/>
      <c r="F302" s="1"/>
      <c r="G302" s="1"/>
      <c r="H302" s="1"/>
    </row>
    <row r="303" spans="2:8" x14ac:dyDescent="0.3">
      <c r="B303" s="308" t="s">
        <v>764</v>
      </c>
      <c r="C303" s="5">
        <v>0</v>
      </c>
      <c r="D303" s="5">
        <v>0</v>
      </c>
      <c r="E303" s="5">
        <v>0</v>
      </c>
      <c r="F303" s="5">
        <v>0</v>
      </c>
      <c r="G303" s="5">
        <v>0</v>
      </c>
      <c r="H303" s="5">
        <v>0</v>
      </c>
    </row>
    <row r="304" spans="2:8" x14ac:dyDescent="0.3">
      <c r="B304" s="175" t="s">
        <v>752</v>
      </c>
      <c r="C304" s="310">
        <v>0.36799999999999999</v>
      </c>
      <c r="D304" s="310">
        <v>0.42299999999999999</v>
      </c>
      <c r="E304" s="310">
        <v>0.54200000000000004</v>
      </c>
      <c r="F304" s="310">
        <v>0.80200000000000005</v>
      </c>
      <c r="G304" s="310">
        <v>0.90800000000000003</v>
      </c>
      <c r="H304" s="311">
        <v>1</v>
      </c>
    </row>
    <row r="305" spans="2:8" x14ac:dyDescent="0.3">
      <c r="B305" s="175" t="s">
        <v>753</v>
      </c>
      <c r="C305" s="380">
        <v>1</v>
      </c>
      <c r="D305" s="380">
        <v>0.9</v>
      </c>
      <c r="E305" s="380">
        <v>0.9</v>
      </c>
      <c r="F305" s="380">
        <v>0.8</v>
      </c>
      <c r="G305" s="380">
        <v>0.8</v>
      </c>
      <c r="H305" s="380">
        <v>0.6</v>
      </c>
    </row>
    <row r="306" spans="2:8" x14ac:dyDescent="0.3">
      <c r="B306" s="175" t="s">
        <v>754</v>
      </c>
      <c r="C306" s="380">
        <f t="shared" ref="C306:H306" si="10">1-C305</f>
        <v>0</v>
      </c>
      <c r="D306" s="380">
        <f t="shared" si="10"/>
        <v>9.9999999999999978E-2</v>
      </c>
      <c r="E306" s="380">
        <f t="shared" si="10"/>
        <v>9.9999999999999978E-2</v>
      </c>
      <c r="F306" s="380">
        <f t="shared" si="10"/>
        <v>0.19999999999999996</v>
      </c>
      <c r="G306" s="380">
        <f t="shared" si="10"/>
        <v>0.19999999999999996</v>
      </c>
      <c r="H306" s="380">
        <f t="shared" si="10"/>
        <v>0.4</v>
      </c>
    </row>
    <row r="307" spans="2:8" x14ac:dyDescent="0.3">
      <c r="B307" s="308" t="s">
        <v>765</v>
      </c>
      <c r="C307" s="40">
        <v>0</v>
      </c>
      <c r="D307" s="40">
        <v>0</v>
      </c>
      <c r="E307" s="384">
        <v>1</v>
      </c>
      <c r="F307" s="384">
        <v>1.5</v>
      </c>
      <c r="G307" s="384">
        <v>2</v>
      </c>
      <c r="H307" s="384">
        <v>3</v>
      </c>
    </row>
    <row r="308" spans="2:8" x14ac:dyDescent="0.3">
      <c r="B308" s="175" t="s">
        <v>752</v>
      </c>
      <c r="C308" s="385">
        <v>0.70299999999999996</v>
      </c>
      <c r="D308" s="385">
        <v>0.75900000000000001</v>
      </c>
      <c r="E308" s="385">
        <v>0.80800000000000005</v>
      </c>
      <c r="F308" s="385">
        <v>0.86199999999999999</v>
      </c>
      <c r="G308" s="385">
        <v>0.91900000000000004</v>
      </c>
      <c r="H308" s="386">
        <v>1</v>
      </c>
    </row>
    <row r="309" spans="2:8" x14ac:dyDescent="0.3">
      <c r="B309" s="175" t="s">
        <v>753</v>
      </c>
      <c r="C309" s="381">
        <v>1</v>
      </c>
      <c r="D309" s="381">
        <v>0.9</v>
      </c>
      <c r="E309" s="381">
        <v>0.9</v>
      </c>
      <c r="F309" s="381">
        <v>0.8</v>
      </c>
      <c r="G309" s="381">
        <v>0.8</v>
      </c>
      <c r="H309" s="381">
        <v>0.6</v>
      </c>
    </row>
    <row r="310" spans="2:8" x14ac:dyDescent="0.3">
      <c r="B310" s="175" t="s">
        <v>754</v>
      </c>
      <c r="C310" s="381">
        <f t="shared" ref="C310:H310" si="11">1-C309</f>
        <v>0</v>
      </c>
      <c r="D310" s="381">
        <f t="shared" si="11"/>
        <v>9.9999999999999978E-2</v>
      </c>
      <c r="E310" s="381">
        <f t="shared" si="11"/>
        <v>9.9999999999999978E-2</v>
      </c>
      <c r="F310" s="381">
        <f t="shared" si="11"/>
        <v>0.19999999999999996</v>
      </c>
      <c r="G310" s="381">
        <f t="shared" si="11"/>
        <v>0.19999999999999996</v>
      </c>
      <c r="H310" s="381">
        <f t="shared" si="11"/>
        <v>0.4</v>
      </c>
    </row>
    <row r="311" spans="2:8" x14ac:dyDescent="0.3">
      <c r="B311" s="308" t="s">
        <v>766</v>
      </c>
      <c r="C311" s="40">
        <v>0</v>
      </c>
      <c r="D311" s="40">
        <v>0</v>
      </c>
      <c r="E311" s="40">
        <v>0</v>
      </c>
      <c r="F311" s="384">
        <v>1</v>
      </c>
      <c r="G311" s="384">
        <v>2</v>
      </c>
      <c r="H311" s="384">
        <v>3</v>
      </c>
    </row>
    <row r="312" spans="2:8" x14ac:dyDescent="0.3">
      <c r="B312" s="175" t="s">
        <v>752</v>
      </c>
      <c r="C312" s="387"/>
      <c r="D312" s="387"/>
      <c r="E312" s="387"/>
      <c r="F312" s="387"/>
      <c r="G312" s="387"/>
      <c r="H312" s="387"/>
    </row>
    <row r="313" spans="2:8" x14ac:dyDescent="0.3">
      <c r="B313" s="175" t="s">
        <v>753</v>
      </c>
      <c r="C313" s="381">
        <v>1</v>
      </c>
      <c r="D313" s="381">
        <v>0.9</v>
      </c>
      <c r="E313" s="381">
        <v>0.9</v>
      </c>
      <c r="F313" s="381">
        <v>0.8</v>
      </c>
      <c r="G313" s="381">
        <v>0.8</v>
      </c>
      <c r="H313" s="381">
        <v>0.6</v>
      </c>
    </row>
    <row r="314" spans="2:8" x14ac:dyDescent="0.3">
      <c r="B314" s="175" t="s">
        <v>754</v>
      </c>
      <c r="C314" s="381">
        <f t="shared" ref="C314:H314" si="12">1-C313</f>
        <v>0</v>
      </c>
      <c r="D314" s="381">
        <f t="shared" si="12"/>
        <v>9.9999999999999978E-2</v>
      </c>
      <c r="E314" s="381">
        <f t="shared" si="12"/>
        <v>9.9999999999999978E-2</v>
      </c>
      <c r="F314" s="381">
        <f t="shared" si="12"/>
        <v>0.19999999999999996</v>
      </c>
      <c r="G314" s="381">
        <f t="shared" si="12"/>
        <v>0.19999999999999996</v>
      </c>
      <c r="H314" s="381">
        <f t="shared" si="12"/>
        <v>0.4</v>
      </c>
    </row>
    <row r="315" spans="2:8" x14ac:dyDescent="0.3">
      <c r="B315" s="305" t="s">
        <v>768</v>
      </c>
      <c r="C315" s="306">
        <f t="shared" ref="C315:G315" si="13">C303+C307+C311</f>
        <v>0</v>
      </c>
      <c r="D315" s="306">
        <f t="shared" si="13"/>
        <v>0</v>
      </c>
      <c r="E315" s="306">
        <f t="shared" si="13"/>
        <v>1</v>
      </c>
      <c r="F315" s="306">
        <f t="shared" si="13"/>
        <v>2.5</v>
      </c>
      <c r="G315" s="306">
        <f t="shared" si="13"/>
        <v>4</v>
      </c>
      <c r="H315" s="306">
        <f>H303+H307+H311</f>
        <v>6</v>
      </c>
    </row>
    <row r="316" spans="2:8" x14ac:dyDescent="0.3">
      <c r="B316" s="1"/>
      <c r="C316" s="1"/>
      <c r="D316" s="1"/>
      <c r="E316" s="1"/>
      <c r="F316" s="1"/>
      <c r="G316" s="1"/>
      <c r="H316" s="1"/>
    </row>
    <row r="317" spans="2:8" x14ac:dyDescent="0.3">
      <c r="B317" s="305" t="s">
        <v>769</v>
      </c>
      <c r="C317" s="314">
        <f>C315+C300</f>
        <v>0</v>
      </c>
      <c r="D317" s="314">
        <f t="shared" ref="D317:H317" si="14">D315+D300</f>
        <v>6.6</v>
      </c>
      <c r="E317" s="314">
        <f t="shared" si="14"/>
        <v>13.55</v>
      </c>
      <c r="F317" s="314">
        <f t="shared" si="14"/>
        <v>18.37</v>
      </c>
      <c r="G317" s="314">
        <f t="shared" si="14"/>
        <v>23.37</v>
      </c>
      <c r="H317" s="314">
        <f t="shared" si="14"/>
        <v>28.87</v>
      </c>
    </row>
    <row r="318" spans="2:8" x14ac:dyDescent="0.3">
      <c r="B318" s="1"/>
      <c r="C318" s="1"/>
      <c r="D318" s="1"/>
      <c r="E318" s="1"/>
      <c r="F318" s="1"/>
      <c r="G318" s="1"/>
      <c r="H318" s="1"/>
    </row>
    <row r="319" spans="2:8" x14ac:dyDescent="0.3">
      <c r="B319" s="305" t="s">
        <v>770</v>
      </c>
      <c r="C319" s="314">
        <v>0</v>
      </c>
      <c r="D319" s="388">
        <v>0</v>
      </c>
      <c r="E319" s="388">
        <v>0</v>
      </c>
      <c r="F319" s="388">
        <v>1</v>
      </c>
      <c r="G319" s="388">
        <v>2</v>
      </c>
      <c r="H319" s="388">
        <v>5</v>
      </c>
    </row>
    <row r="320" spans="2:8" x14ac:dyDescent="0.3">
      <c r="B320" s="175" t="s">
        <v>753</v>
      </c>
      <c r="C320" s="298">
        <v>0</v>
      </c>
      <c r="D320" s="298">
        <v>0</v>
      </c>
      <c r="E320" s="298">
        <v>0</v>
      </c>
      <c r="F320" s="298">
        <v>0</v>
      </c>
      <c r="G320" s="298">
        <v>0</v>
      </c>
      <c r="H320" s="298">
        <v>0</v>
      </c>
    </row>
    <row r="321" spans="2:10" x14ac:dyDescent="0.3">
      <c r="B321" s="175" t="s">
        <v>754</v>
      </c>
      <c r="C321" s="298">
        <f t="shared" ref="C321:H321" si="15">1-C320</f>
        <v>1</v>
      </c>
      <c r="D321" s="298">
        <f t="shared" si="15"/>
        <v>1</v>
      </c>
      <c r="E321" s="298">
        <f t="shared" si="15"/>
        <v>1</v>
      </c>
      <c r="F321" s="298">
        <f t="shared" si="15"/>
        <v>1</v>
      </c>
      <c r="G321" s="298">
        <f t="shared" si="15"/>
        <v>1</v>
      </c>
      <c r="H321" s="298">
        <f t="shared" si="15"/>
        <v>1</v>
      </c>
    </row>
    <row r="322" spans="2:10" x14ac:dyDescent="0.3">
      <c r="B322" s="38"/>
      <c r="C322" s="38"/>
      <c r="D322" s="38"/>
      <c r="E322" s="38"/>
      <c r="F322" s="38"/>
      <c r="G322" s="38"/>
      <c r="H322" s="38"/>
    </row>
    <row r="323" spans="2:10" x14ac:dyDescent="0.3">
      <c r="B323" s="38" t="s">
        <v>771</v>
      </c>
      <c r="C323" s="630">
        <f t="shared" ref="C323:G323" si="16">C278*(1-C279)*C280+C282*(1-C283)*C284+C286*(1-C287)*C288+C290*(1-C291)*C292+C296*(1-C297)*C298+C303*(1-C304)*C305+C307*(1-C308)*C309+C311*(1-C312)*C313</f>
        <v>0</v>
      </c>
      <c r="D323" s="630">
        <f t="shared" si="16"/>
        <v>4.8995999999999995</v>
      </c>
      <c r="E323" s="630">
        <f t="shared" si="16"/>
        <v>7.6826854999999989</v>
      </c>
      <c r="F323" s="630">
        <f t="shared" si="16"/>
        <v>8.3161125000000009</v>
      </c>
      <c r="G323" s="630">
        <f t="shared" si="16"/>
        <v>8.3609240000000007</v>
      </c>
      <c r="H323" s="107">
        <f>H278*(1-H279)*H280+H282*(1-H283)*H284+H286*(1-H287)*H288+H290*(1-H291)*H292+H296*(1-H297)*H298+H303*(1-H304)*H305+H307*(1-H308)*H309+H311*(1-H312)*H313</f>
        <v>7.6289100000000003</v>
      </c>
    </row>
    <row r="324" spans="2:10" x14ac:dyDescent="0.3">
      <c r="B324" s="38" t="s">
        <v>772</v>
      </c>
      <c r="C324" s="630">
        <f t="shared" ref="C324:G324" si="17">C278*(1-C279)*C281+C282*(1-C283)*C285+C286*(1-C287)*C289+C290*(1-C291)*C293+C296*(1-C297)*C299+C303*(1-C304)*C306+C307*(1-C308)*C310+C311*(1-C312)*C314</f>
        <v>0</v>
      </c>
      <c r="D324" s="630">
        <f t="shared" si="17"/>
        <v>0.54439999999999988</v>
      </c>
      <c r="E324" s="630">
        <f t="shared" si="17"/>
        <v>1.3525894999999999</v>
      </c>
      <c r="F324" s="630">
        <f t="shared" si="17"/>
        <v>2.4972374999999998</v>
      </c>
      <c r="G324" s="630">
        <f t="shared" si="17"/>
        <v>2.9091259999999992</v>
      </c>
      <c r="H324" s="107">
        <f>H278*(1-H279)*H281+H282*(1-H283)*H285+H286*(1-H287)*H289+H290*(1-H291)*H293+H296*(1-H297)*H299+H303*(1-H304)*H306+H307*(1-H308)*H310+H311*(1-H312)*H314</f>
        <v>3.5425900000000001</v>
      </c>
    </row>
    <row r="325" spans="2:10" x14ac:dyDescent="0.3">
      <c r="B325" s="38" t="s">
        <v>773</v>
      </c>
      <c r="C325" s="630">
        <f t="shared" ref="C325:G325" si="18">C278*(C279)*C280+C282*(C283)*C284+C286*(C287)*C288+C290*(C291)*C292+C296*(C297)*C298+C303*(C304)*C305+C307*(C308)*C309+C311*(C312)*C313</f>
        <v>0</v>
      </c>
      <c r="D325" s="630">
        <f t="shared" si="18"/>
        <v>1.0404</v>
      </c>
      <c r="E325" s="630">
        <f t="shared" si="18"/>
        <v>3.7483144999999993</v>
      </c>
      <c r="F325" s="630">
        <f t="shared" si="18"/>
        <v>5.6113874999999993</v>
      </c>
      <c r="G325" s="630">
        <f t="shared" si="18"/>
        <v>8.5506760000000011</v>
      </c>
      <c r="H325" s="107">
        <f>H278*(H279)*H280+H282*(H283)*H284+H286*(H287)*H288+H290*(H291)*H292+H296*(H297)*H298+H303*(H304)*H305+H307*(H308)*H309+H311*(H312)*H313</f>
        <v>11.39049</v>
      </c>
    </row>
    <row r="326" spans="2:10" x14ac:dyDescent="0.3">
      <c r="B326" s="38" t="s">
        <v>774</v>
      </c>
      <c r="C326" s="630">
        <f t="shared" ref="C326:G326" si="19">C278*(C279)*C281+C282*(C283)*C285+C286*(C287)*C289+C290*(C291)*C293+C296*(C297)*C299+C303*(C304)*C306+C307*(C308)*C310+C311*(C312)*C314</f>
        <v>0</v>
      </c>
      <c r="D326" s="630">
        <f t="shared" si="19"/>
        <v>0.11559999999999998</v>
      </c>
      <c r="E326" s="630">
        <f t="shared" si="19"/>
        <v>0.76641049999999999</v>
      </c>
      <c r="F326" s="630">
        <f t="shared" si="19"/>
        <v>1.9452624999999999</v>
      </c>
      <c r="G326" s="630">
        <f t="shared" si="19"/>
        <v>3.5492739999999996</v>
      </c>
      <c r="H326" s="630">
        <f>H278*(H279)*H281+H282*(H283)*H285+H286*(H287)*H289+H290*(H291)*H293+H296*(H297)*H299+H303*(H304)*H306+H307*(H308)*H310+H311*(H312)*H314</f>
        <v>6.3080100000000003</v>
      </c>
      <c r="J326" s="629"/>
    </row>
    <row r="327" spans="2:10" x14ac:dyDescent="0.3">
      <c r="B327" s="38" t="s">
        <v>775</v>
      </c>
      <c r="C327" s="630">
        <f t="shared" ref="C327:H327" si="20">C319*C320</f>
        <v>0</v>
      </c>
      <c r="D327" s="630">
        <f t="shared" si="20"/>
        <v>0</v>
      </c>
      <c r="E327" s="630">
        <f t="shared" si="20"/>
        <v>0</v>
      </c>
      <c r="F327" s="630">
        <f t="shared" si="20"/>
        <v>0</v>
      </c>
      <c r="G327" s="630">
        <f t="shared" si="20"/>
        <v>0</v>
      </c>
      <c r="H327" s="630">
        <f t="shared" si="20"/>
        <v>0</v>
      </c>
    </row>
    <row r="328" spans="2:10" x14ac:dyDescent="0.3">
      <c r="B328" s="38" t="s">
        <v>776</v>
      </c>
      <c r="C328" s="630">
        <f t="shared" ref="C328:G328" si="21">C319*C321</f>
        <v>0</v>
      </c>
      <c r="D328" s="630">
        <f t="shared" si="21"/>
        <v>0</v>
      </c>
      <c r="E328" s="630">
        <f t="shared" si="21"/>
        <v>0</v>
      </c>
      <c r="F328" s="630">
        <f t="shared" si="21"/>
        <v>1</v>
      </c>
      <c r="G328" s="630">
        <f t="shared" si="21"/>
        <v>2</v>
      </c>
      <c r="H328" s="630">
        <f>H319*H321</f>
        <v>5</v>
      </c>
    </row>
    <row r="329" spans="2:10" x14ac:dyDescent="0.3">
      <c r="B329" s="38" t="s">
        <v>777</v>
      </c>
      <c r="C329" s="38"/>
      <c r="D329" s="38"/>
      <c r="E329" s="38"/>
      <c r="F329" s="38"/>
      <c r="G329" s="38"/>
      <c r="H329" s="38"/>
    </row>
    <row r="330" spans="2:10" x14ac:dyDescent="0.3">
      <c r="B330" s="38"/>
      <c r="C330" s="38"/>
      <c r="D330" s="38"/>
      <c r="E330" s="38"/>
      <c r="F330" s="38"/>
      <c r="G330" s="38"/>
      <c r="H330" s="38"/>
    </row>
    <row r="331" spans="2:10" x14ac:dyDescent="0.3">
      <c r="B331" s="305" t="s">
        <v>778</v>
      </c>
      <c r="C331" s="314">
        <f t="shared" ref="C331:G331" si="22">C323+C325+C327</f>
        <v>0</v>
      </c>
      <c r="D331" s="314">
        <f t="shared" si="22"/>
        <v>5.9399999999999995</v>
      </c>
      <c r="E331" s="314">
        <f t="shared" si="22"/>
        <v>11.430999999999997</v>
      </c>
      <c r="F331" s="314">
        <f t="shared" si="22"/>
        <v>13.9275</v>
      </c>
      <c r="G331" s="314">
        <f t="shared" si="22"/>
        <v>16.9116</v>
      </c>
      <c r="H331" s="314">
        <f>H323+H325+H327</f>
        <v>19.019400000000001</v>
      </c>
    </row>
    <row r="332" spans="2:10" x14ac:dyDescent="0.3">
      <c r="B332" s="38"/>
      <c r="C332" s="38"/>
      <c r="D332" s="38"/>
      <c r="E332" s="38"/>
      <c r="F332" s="38"/>
      <c r="G332" s="38"/>
      <c r="H332" s="38"/>
    </row>
    <row r="333" spans="2:10" x14ac:dyDescent="0.3">
      <c r="B333" s="38" t="s">
        <v>779</v>
      </c>
      <c r="C333" s="107">
        <f t="shared" ref="C333:G333" si="23">C324+C326+C328</f>
        <v>0</v>
      </c>
      <c r="D333" s="107">
        <f t="shared" si="23"/>
        <v>0.65999999999999992</v>
      </c>
      <c r="E333" s="107">
        <f t="shared" si="23"/>
        <v>2.1189999999999998</v>
      </c>
      <c r="F333" s="107">
        <f t="shared" si="23"/>
        <v>5.4424999999999999</v>
      </c>
      <c r="G333" s="107">
        <f t="shared" si="23"/>
        <v>8.4583999999999993</v>
      </c>
      <c r="H333" s="70">
        <f>H324+H326+H328</f>
        <v>14.8506</v>
      </c>
    </row>
    <row r="334" spans="2:10" x14ac:dyDescent="0.3">
      <c r="B334" s="38" t="s">
        <v>780</v>
      </c>
      <c r="C334" s="107">
        <f t="shared" ref="C334:G334" si="24">C323</f>
        <v>0</v>
      </c>
      <c r="D334" s="107">
        <f t="shared" si="24"/>
        <v>4.8995999999999995</v>
      </c>
      <c r="E334" s="107">
        <f t="shared" si="24"/>
        <v>7.6826854999999989</v>
      </c>
      <c r="F334" s="107">
        <f t="shared" si="24"/>
        <v>8.3161125000000009</v>
      </c>
      <c r="G334" s="107">
        <f t="shared" si="24"/>
        <v>8.3609240000000007</v>
      </c>
      <c r="H334" s="107">
        <f>H323</f>
        <v>7.6289100000000003</v>
      </c>
      <c r="I334" s="729"/>
    </row>
    <row r="335" spans="2:10" x14ac:dyDescent="0.3">
      <c r="B335" s="38" t="s">
        <v>781</v>
      </c>
      <c r="C335" s="107">
        <f t="shared" ref="C335:H335" si="25">C325+C327</f>
        <v>0</v>
      </c>
      <c r="D335" s="107">
        <f t="shared" si="25"/>
        <v>1.0404</v>
      </c>
      <c r="E335" s="107">
        <f t="shared" si="25"/>
        <v>3.7483144999999993</v>
      </c>
      <c r="F335" s="107">
        <f t="shared" si="25"/>
        <v>5.6113874999999993</v>
      </c>
      <c r="G335" s="107">
        <f t="shared" si="25"/>
        <v>8.5506760000000011</v>
      </c>
      <c r="H335" s="107">
        <f t="shared" si="25"/>
        <v>11.39049</v>
      </c>
    </row>
    <row r="338" spans="2:19" x14ac:dyDescent="0.3">
      <c r="B338" s="637" t="s">
        <v>886</v>
      </c>
      <c r="C338" s="637"/>
      <c r="D338" s="637"/>
      <c r="E338" s="637"/>
      <c r="F338" s="637"/>
      <c r="G338" s="637"/>
      <c r="H338" s="637"/>
      <c r="I338" s="637"/>
      <c r="J338" s="637"/>
      <c r="K338" s="637"/>
      <c r="L338" s="637"/>
      <c r="M338" s="637"/>
      <c r="N338" s="637"/>
      <c r="O338" s="637"/>
      <c r="P338" s="637"/>
      <c r="Q338" s="637"/>
      <c r="R338" s="637"/>
      <c r="S338" s="637"/>
    </row>
    <row r="340" spans="2:19" x14ac:dyDescent="0.3">
      <c r="B340" s="650" t="s">
        <v>887</v>
      </c>
      <c r="C340" s="650"/>
      <c r="D340" s="650"/>
      <c r="E340" s="650"/>
      <c r="F340" s="650"/>
      <c r="G340" s="650"/>
      <c r="H340" s="650"/>
      <c r="I340" s="650"/>
      <c r="J340" s="650"/>
      <c r="K340" s="650"/>
      <c r="L340" s="650"/>
      <c r="M340" s="650"/>
      <c r="N340" s="650"/>
      <c r="O340" s="650"/>
      <c r="P340" s="650"/>
      <c r="Q340" s="650"/>
      <c r="R340" s="650"/>
      <c r="S340" s="650"/>
    </row>
    <row r="341" spans="2:19" x14ac:dyDescent="0.3">
      <c r="B341" s="650"/>
      <c r="C341" s="650"/>
      <c r="D341" s="650"/>
      <c r="E341" s="650"/>
      <c r="F341" s="650"/>
      <c r="G341" s="650"/>
      <c r="H341" s="650"/>
      <c r="I341" s="650"/>
      <c r="J341" s="650"/>
      <c r="K341" s="650"/>
      <c r="L341" s="650"/>
      <c r="M341" s="650"/>
      <c r="N341" s="650"/>
      <c r="O341" s="650"/>
      <c r="P341" s="650"/>
      <c r="Q341" s="650"/>
      <c r="R341" s="650"/>
      <c r="S341" s="650"/>
    </row>
    <row r="343" spans="2:19" x14ac:dyDescent="0.3">
      <c r="B343" s="655"/>
      <c r="C343" s="655"/>
      <c r="D343" s="655"/>
      <c r="E343" s="655"/>
      <c r="F343" s="655"/>
      <c r="G343" s="655"/>
      <c r="H343" s="655"/>
      <c r="I343" s="655"/>
      <c r="J343" s="655"/>
      <c r="K343" s="655"/>
      <c r="L343" s="655"/>
      <c r="M343" s="655"/>
      <c r="N343" s="655"/>
      <c r="O343" s="655"/>
      <c r="P343" s="655"/>
      <c r="Q343" s="655"/>
      <c r="R343" s="655"/>
      <c r="S343" s="655"/>
    </row>
    <row r="344" spans="2:19" x14ac:dyDescent="0.3">
      <c r="B344" s="655"/>
      <c r="C344" s="655"/>
      <c r="D344" s="655"/>
      <c r="E344" s="655"/>
      <c r="F344" s="655"/>
      <c r="G344" s="655"/>
      <c r="H344" s="655"/>
      <c r="I344" s="655"/>
      <c r="J344" s="655"/>
      <c r="K344" s="655"/>
      <c r="L344" s="655"/>
      <c r="M344" s="655"/>
      <c r="N344" s="655"/>
      <c r="O344" s="655"/>
      <c r="P344" s="655"/>
      <c r="Q344" s="655"/>
      <c r="R344" s="655"/>
      <c r="S344" s="655"/>
    </row>
    <row r="345" spans="2:19" x14ac:dyDescent="0.3">
      <c r="B345" s="655"/>
      <c r="C345" s="655"/>
      <c r="D345" s="655"/>
      <c r="E345" s="655"/>
      <c r="F345" s="655"/>
      <c r="G345" s="655"/>
      <c r="H345" s="655"/>
      <c r="I345" s="655"/>
      <c r="J345" s="655"/>
      <c r="K345" s="655"/>
      <c r="L345" s="655"/>
      <c r="M345" s="655"/>
      <c r="N345" s="655"/>
      <c r="O345" s="655"/>
      <c r="P345" s="655"/>
      <c r="Q345" s="655"/>
      <c r="R345" s="655"/>
      <c r="S345" s="655"/>
    </row>
    <row r="346" spans="2:19" x14ac:dyDescent="0.3">
      <c r="B346" s="655"/>
      <c r="C346" s="655"/>
      <c r="D346" s="655"/>
      <c r="E346" s="655"/>
      <c r="F346" s="655"/>
      <c r="G346" s="655"/>
      <c r="H346" s="655"/>
      <c r="I346" s="655"/>
      <c r="J346" s="655"/>
      <c r="K346" s="655"/>
      <c r="L346" s="655"/>
      <c r="M346" s="655"/>
      <c r="N346" s="655"/>
      <c r="O346" s="655"/>
      <c r="P346" s="655"/>
      <c r="Q346" s="655"/>
      <c r="R346" s="655"/>
      <c r="S346" s="655"/>
    </row>
  </sheetData>
  <mergeCells count="75">
    <mergeCell ref="B274:S274"/>
    <mergeCell ref="B340:S341"/>
    <mergeCell ref="B343:S346"/>
    <mergeCell ref="B22:S22"/>
    <mergeCell ref="C276:H276"/>
    <mergeCell ref="B276:B277"/>
    <mergeCell ref="B270:S270"/>
    <mergeCell ref="B272:S273"/>
    <mergeCell ref="B338:S338"/>
    <mergeCell ref="J239:O264"/>
    <mergeCell ref="C237:E237"/>
    <mergeCell ref="B214:C214"/>
    <mergeCell ref="B218:C218"/>
    <mergeCell ref="B222:C222"/>
    <mergeCell ref="B225:C225"/>
    <mergeCell ref="B192:C192"/>
    <mergeCell ref="B235:S236"/>
    <mergeCell ref="B169:S170"/>
    <mergeCell ref="B204:S205"/>
    <mergeCell ref="B223:C223"/>
    <mergeCell ref="B224:C224"/>
    <mergeCell ref="B228:C228"/>
    <mergeCell ref="B229:C229"/>
    <mergeCell ref="B211:C211"/>
    <mergeCell ref="B212:C212"/>
    <mergeCell ref="B213:C213"/>
    <mergeCell ref="B215:C215"/>
    <mergeCell ref="B216:C216"/>
    <mergeCell ref="B206:S206"/>
    <mergeCell ref="D208:I208"/>
    <mergeCell ref="B210:C210"/>
    <mergeCell ref="B197:C197"/>
    <mergeCell ref="B4:S4"/>
    <mergeCell ref="B167:S167"/>
    <mergeCell ref="B202:S202"/>
    <mergeCell ref="B233:S233"/>
    <mergeCell ref="B75:S75"/>
    <mergeCell ref="B44:S44"/>
    <mergeCell ref="B46:S46"/>
    <mergeCell ref="L60:L68"/>
    <mergeCell ref="E7:M7"/>
    <mergeCell ref="B226:C226"/>
    <mergeCell ref="B227:C227"/>
    <mergeCell ref="B217:C217"/>
    <mergeCell ref="B219:C219"/>
    <mergeCell ref="B220:C220"/>
    <mergeCell ref="B221:C221"/>
    <mergeCell ref="B179:C179"/>
    <mergeCell ref="B71:S71"/>
    <mergeCell ref="B193:C193"/>
    <mergeCell ref="B194:C194"/>
    <mergeCell ref="B195:C195"/>
    <mergeCell ref="B196:C196"/>
    <mergeCell ref="B187:C187"/>
    <mergeCell ref="B188:C188"/>
    <mergeCell ref="B189:C189"/>
    <mergeCell ref="B190:C190"/>
    <mergeCell ref="B191:C191"/>
    <mergeCell ref="B186:C186"/>
    <mergeCell ref="B185:C185"/>
    <mergeCell ref="B74:S74"/>
    <mergeCell ref="B172:C173"/>
    <mergeCell ref="D172:G172"/>
    <mergeCell ref="B174:C174"/>
    <mergeCell ref="B77:D77"/>
    <mergeCell ref="B78:D78"/>
    <mergeCell ref="B180:C180"/>
    <mergeCell ref="B181:C181"/>
    <mergeCell ref="B182:C182"/>
    <mergeCell ref="B183:C183"/>
    <mergeCell ref="B184:C184"/>
    <mergeCell ref="B175:C175"/>
    <mergeCell ref="B176:C176"/>
    <mergeCell ref="B177:C177"/>
    <mergeCell ref="B178:C178"/>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2A6099"/>
  </sheetPr>
  <dimension ref="A2:AML109"/>
  <sheetViews>
    <sheetView topLeftCell="A82" workbookViewId="0">
      <selection activeCell="I95" sqref="I95"/>
    </sheetView>
  </sheetViews>
  <sheetFormatPr baseColWidth="10" defaultColWidth="8.6640625" defaultRowHeight="14.4" x14ac:dyDescent="0.3"/>
  <cols>
    <col min="1" max="1" width="8.44140625" style="1" customWidth="1"/>
    <col min="2" max="2" width="41" style="1" customWidth="1"/>
    <col min="3" max="5" width="12.6640625" style="1" customWidth="1"/>
    <col min="6" max="14" width="8.44140625" style="1" customWidth="1"/>
    <col min="15" max="15" width="32.44140625" style="1" customWidth="1"/>
    <col min="16" max="16" width="8.44140625" style="1" customWidth="1"/>
    <col min="17" max="17" width="16" style="1" customWidth="1"/>
    <col min="18" max="18" width="21" style="1" customWidth="1"/>
    <col min="19" max="25" width="8.44140625" style="1" customWidth="1"/>
    <col min="26" max="26" width="27.5546875" style="1" customWidth="1"/>
    <col min="27" max="36" width="8.44140625" style="1" customWidth="1"/>
    <col min="37" max="37" width="32.6640625" style="1" customWidth="1"/>
    <col min="38" max="47" width="8.44140625" style="1" customWidth="1"/>
    <col min="48" max="48" width="28.6640625" style="1" customWidth="1"/>
    <col min="49" max="58" width="8.44140625" style="1" customWidth="1"/>
    <col min="59" max="59" width="29.6640625" style="1" customWidth="1"/>
    <col min="60" max="1025" width="8.44140625" style="1" customWidth="1"/>
  </cols>
  <sheetData>
    <row r="2" spans="2:21" ht="15.75" customHeight="1" x14ac:dyDescent="0.3">
      <c r="B2" s="699" t="s">
        <v>688</v>
      </c>
      <c r="C2" s="699"/>
      <c r="D2" s="699"/>
      <c r="E2" s="699"/>
      <c r="F2" s="699"/>
      <c r="G2" s="699"/>
      <c r="H2" s="699"/>
      <c r="I2" s="699"/>
      <c r="J2" s="699"/>
      <c r="K2" s="699"/>
      <c r="L2" s="699"/>
      <c r="M2" s="699"/>
    </row>
    <row r="3" spans="2:21" x14ac:dyDescent="0.3">
      <c r="B3" s="699"/>
      <c r="C3" s="699"/>
      <c r="D3" s="699"/>
      <c r="E3" s="699"/>
      <c r="F3" s="699"/>
      <c r="G3" s="699"/>
      <c r="H3" s="699"/>
      <c r="I3" s="699"/>
      <c r="J3" s="699"/>
      <c r="K3" s="699"/>
      <c r="L3" s="699"/>
      <c r="M3" s="699"/>
    </row>
    <row r="4" spans="2:21" ht="31.5" customHeight="1" x14ac:dyDescent="0.3">
      <c r="B4" s="699"/>
      <c r="C4" s="699"/>
      <c r="D4" s="699"/>
      <c r="E4" s="699"/>
      <c r="F4" s="699"/>
      <c r="G4" s="699"/>
      <c r="H4" s="699"/>
      <c r="I4" s="699"/>
      <c r="J4" s="699"/>
      <c r="K4" s="699"/>
      <c r="L4" s="699"/>
      <c r="M4" s="699"/>
    </row>
    <row r="6" spans="2:21" x14ac:dyDescent="0.3">
      <c r="B6" s="661" t="s">
        <v>35</v>
      </c>
      <c r="C6" s="661"/>
      <c r="D6" s="661"/>
      <c r="E6" s="661"/>
    </row>
    <row r="8" spans="2:21" x14ac:dyDescent="0.3">
      <c r="B8" s="1" t="s">
        <v>689</v>
      </c>
      <c r="C8" s="1" t="s">
        <v>690</v>
      </c>
      <c r="D8" s="1" t="s">
        <v>691</v>
      </c>
      <c r="E8" s="1" t="s">
        <v>692</v>
      </c>
      <c r="F8" s="1" t="s">
        <v>693</v>
      </c>
      <c r="G8" s="1" t="s">
        <v>694</v>
      </c>
      <c r="H8" s="1" t="s">
        <v>695</v>
      </c>
      <c r="I8" s="1" t="s">
        <v>696</v>
      </c>
      <c r="J8" s="1" t="s">
        <v>697</v>
      </c>
      <c r="K8" s="1" t="s">
        <v>698</v>
      </c>
      <c r="L8" s="1">
        <v>2021</v>
      </c>
    </row>
    <row r="9" spans="2:21" x14ac:dyDescent="0.3">
      <c r="B9" s="1" t="s">
        <v>699</v>
      </c>
      <c r="C9" s="118">
        <v>0.25185800000000003</v>
      </c>
      <c r="D9" s="118">
        <v>0.26766899999999999</v>
      </c>
      <c r="E9" s="118">
        <v>0.34481699999999998</v>
      </c>
      <c r="F9" s="118">
        <v>0.30367499999999997</v>
      </c>
      <c r="G9" s="118">
        <v>0.31878499999999999</v>
      </c>
      <c r="H9" s="118">
        <v>0.29667700299999999</v>
      </c>
      <c r="I9" s="118">
        <v>0.33257187500000002</v>
      </c>
      <c r="J9" s="118">
        <v>0.26835721000000001</v>
      </c>
      <c r="K9" s="118">
        <v>0.21152071</v>
      </c>
      <c r="L9" s="1">
        <v>0.27601450100000002</v>
      </c>
      <c r="M9" s="1" t="s">
        <v>700</v>
      </c>
      <c r="U9" s="1" t="s">
        <v>701</v>
      </c>
    </row>
    <row r="10" spans="2:21" x14ac:dyDescent="0.3">
      <c r="B10" s="1" t="s">
        <v>702</v>
      </c>
      <c r="C10" s="118">
        <v>1.02154206792777</v>
      </c>
      <c r="D10" s="118">
        <v>1.0747438736027499</v>
      </c>
      <c r="E10" s="118">
        <v>1.07953325451419</v>
      </c>
      <c r="F10" s="118">
        <v>1.13712777300086</v>
      </c>
      <c r="G10" s="118">
        <v>1.1746692605330999</v>
      </c>
      <c r="H10" s="118">
        <v>1.1758214316422999</v>
      </c>
      <c r="I10" s="118">
        <v>1.1997218830610501</v>
      </c>
      <c r="J10" s="118">
        <v>1.18694877472055</v>
      </c>
      <c r="K10" s="118">
        <v>1.0813103396388599</v>
      </c>
      <c r="L10" s="1">
        <v>1.1072387790197766</v>
      </c>
      <c r="M10" s="1" t="s">
        <v>703</v>
      </c>
      <c r="U10" s="1" t="s">
        <v>704</v>
      </c>
    </row>
    <row r="11" spans="2:21" x14ac:dyDescent="0.3">
      <c r="B11" s="1" t="s">
        <v>705</v>
      </c>
      <c r="C11" s="118">
        <v>12.742173731199999</v>
      </c>
      <c r="D11" s="118">
        <v>12.3697754229</v>
      </c>
      <c r="E11" s="118">
        <v>12.9426425058</v>
      </c>
      <c r="F11" s="118">
        <v>12.430739516399999</v>
      </c>
      <c r="G11" s="118">
        <v>11.8719980654</v>
      </c>
      <c r="H11" s="118">
        <v>12.6198719878</v>
      </c>
      <c r="I11" s="118">
        <v>11.7601136131</v>
      </c>
      <c r="J11" s="118">
        <v>11.960882294399999</v>
      </c>
      <c r="K11" s="118">
        <v>11.315100597700001</v>
      </c>
      <c r="L11" s="1">
        <v>11.982554456000001</v>
      </c>
      <c r="M11" s="1" t="s">
        <v>706</v>
      </c>
      <c r="U11" s="1" t="s">
        <v>707</v>
      </c>
    </row>
    <row r="12" spans="2:21" x14ac:dyDescent="0.3">
      <c r="B12" s="281" t="s">
        <v>708</v>
      </c>
      <c r="C12" s="118">
        <v>12.411117731199999</v>
      </c>
      <c r="D12" s="118">
        <v>12.0648026229</v>
      </c>
      <c r="E12" s="118">
        <v>12.6466985058</v>
      </c>
      <c r="F12" s="118">
        <v>12.1207507164</v>
      </c>
      <c r="G12" s="118">
        <v>11.556993265399999</v>
      </c>
      <c r="H12" s="118">
        <v>12.3299471878</v>
      </c>
      <c r="I12" s="118">
        <v>11.453636013100001</v>
      </c>
      <c r="J12" s="118">
        <v>11.675244168000001</v>
      </c>
      <c r="K12" s="118">
        <v>11.056536832900001</v>
      </c>
      <c r="L12" s="1">
        <f>0.98*L11</f>
        <v>11.74290336688</v>
      </c>
      <c r="U12" s="1" t="s">
        <v>709</v>
      </c>
    </row>
    <row r="13" spans="2:21" x14ac:dyDescent="0.3">
      <c r="B13" s="282" t="s">
        <v>710</v>
      </c>
      <c r="C13" s="118">
        <v>9.2301915000000001</v>
      </c>
      <c r="D13" s="118">
        <v>8.9492195999999993</v>
      </c>
      <c r="E13" s="118">
        <v>9.7781280000000006</v>
      </c>
      <c r="F13" s="118">
        <v>9.2906921823000008</v>
      </c>
      <c r="G13" s="118">
        <v>8.6343027297999999</v>
      </c>
      <c r="H13" s="118">
        <v>9.3188314215000005</v>
      </c>
      <c r="I13" s="118">
        <v>8.3445133995000003</v>
      </c>
      <c r="J13" s="118">
        <v>8.6976094480999997</v>
      </c>
      <c r="K13" s="118">
        <v>8.3579907388999999</v>
      </c>
      <c r="L13" s="1">
        <f>J13/J12*L12</f>
        <v>8.7480129582075197</v>
      </c>
      <c r="U13" s="1" t="s">
        <v>711</v>
      </c>
    </row>
    <row r="14" spans="2:21" x14ac:dyDescent="0.3">
      <c r="B14" s="282" t="s">
        <v>712</v>
      </c>
      <c r="C14" s="118">
        <v>2.5308855000000001</v>
      </c>
      <c r="D14" s="118">
        <v>2.4954885</v>
      </c>
      <c r="E14" s="118">
        <v>2.2924215000000001</v>
      </c>
      <c r="F14" s="118">
        <v>2.2393260000000001</v>
      </c>
      <c r="G14" s="118">
        <v>2.3427224999999998</v>
      </c>
      <c r="H14" s="118">
        <v>2.4293520000000002</v>
      </c>
      <c r="I14" s="118">
        <v>2.5206390000000001</v>
      </c>
      <c r="J14" s="118">
        <v>2.5011520200000001</v>
      </c>
      <c r="K14" s="118">
        <v>2.3104804904999998</v>
      </c>
      <c r="L14" s="1">
        <f>J14/J12*L12</f>
        <v>2.5156464442291839</v>
      </c>
    </row>
    <row r="15" spans="2:21" x14ac:dyDescent="0.3">
      <c r="B15" s="282" t="s">
        <v>713</v>
      </c>
      <c r="C15" s="118">
        <v>0.65004073119999894</v>
      </c>
      <c r="D15" s="118">
        <v>0.620094522899999</v>
      </c>
      <c r="E15" s="118">
        <v>0.57614900580000095</v>
      </c>
      <c r="F15" s="118">
        <v>0.59073253410000104</v>
      </c>
      <c r="G15" s="118">
        <v>0.57996803559999899</v>
      </c>
      <c r="H15" s="118">
        <v>0.58176376630000004</v>
      </c>
      <c r="I15" s="118">
        <v>0.58848361360000001</v>
      </c>
      <c r="J15" s="118">
        <v>0.47648269989999698</v>
      </c>
      <c r="K15" s="118">
        <v>0.38806560349999902</v>
      </c>
      <c r="L15" s="407">
        <f>J15/J12*L12</f>
        <v>0.47924396444329226</v>
      </c>
    </row>
    <row r="16" spans="2:21" x14ac:dyDescent="0.3">
      <c r="B16" s="1" t="s">
        <v>714</v>
      </c>
      <c r="C16" s="118">
        <v>14.0155737991278</v>
      </c>
      <c r="D16" s="118">
        <v>13.7121882965028</v>
      </c>
      <c r="E16" s="118">
        <v>14.366992760314201</v>
      </c>
      <c r="F16" s="118">
        <v>13.8715422894009</v>
      </c>
      <c r="G16" s="118">
        <v>13.3654523259331</v>
      </c>
      <c r="H16" s="118">
        <v>14.092370422442301</v>
      </c>
      <c r="I16" s="118">
        <v>13.292407371161101</v>
      </c>
      <c r="J16" s="118">
        <v>13.416188279120499</v>
      </c>
      <c r="K16" s="118">
        <v>12.6079316473389</v>
      </c>
      <c r="L16" s="1">
        <v>13.365807736019777</v>
      </c>
    </row>
    <row r="20" spans="2:17" s="283" customFormat="1" x14ac:dyDescent="0.3"/>
    <row r="21" spans="2:17" s="284" customFormat="1" x14ac:dyDescent="0.3">
      <c r="B21" s="661">
        <v>2019</v>
      </c>
      <c r="C21" s="661"/>
      <c r="D21" s="661"/>
      <c r="E21" s="661"/>
    </row>
    <row r="22" spans="2:17" s="283" customFormat="1" x14ac:dyDescent="0.3"/>
    <row r="23" spans="2:17" s="283" customFormat="1" x14ac:dyDescent="0.3">
      <c r="B23" s="36" t="s">
        <v>715</v>
      </c>
      <c r="C23" s="36" t="s">
        <v>699</v>
      </c>
      <c r="D23" s="36" t="s">
        <v>716</v>
      </c>
      <c r="E23" s="36" t="s">
        <v>705</v>
      </c>
      <c r="F23" s="36" t="s">
        <v>717</v>
      </c>
      <c r="G23" s="36" t="s">
        <v>718</v>
      </c>
      <c r="H23" s="36" t="s">
        <v>52</v>
      </c>
      <c r="K23" s="36" t="s">
        <v>456</v>
      </c>
      <c r="L23" s="36" t="s">
        <v>699</v>
      </c>
      <c r="M23" s="36" t="s">
        <v>716</v>
      </c>
      <c r="N23" s="36" t="s">
        <v>705</v>
      </c>
      <c r="O23" s="36" t="s">
        <v>717</v>
      </c>
      <c r="P23" s="36" t="s">
        <v>718</v>
      </c>
      <c r="Q23" s="36" t="s">
        <v>52</v>
      </c>
    </row>
    <row r="24" spans="2:17" s="283" customFormat="1" x14ac:dyDescent="0.3">
      <c r="B24" s="36" t="s">
        <v>719</v>
      </c>
      <c r="C24" s="285">
        <f>J9</f>
        <v>0.26835721000000001</v>
      </c>
      <c r="D24" s="285"/>
      <c r="E24" s="285"/>
      <c r="F24" s="285"/>
      <c r="G24" s="285"/>
      <c r="H24" s="285">
        <f t="shared" ref="H24:H30" si="0">SUM(C24:G24)</f>
        <v>0.26835721000000001</v>
      </c>
      <c r="K24" s="36" t="s">
        <v>719</v>
      </c>
      <c r="L24" s="285">
        <f>C24*11.63</f>
        <v>3.1209943523000003</v>
      </c>
      <c r="M24" s="285"/>
      <c r="N24" s="285"/>
      <c r="O24" s="285"/>
      <c r="P24" s="285"/>
      <c r="Q24" s="285">
        <f t="shared" ref="Q24:Q29" si="1">H24*11.63</f>
        <v>3.1209943523000003</v>
      </c>
    </row>
    <row r="25" spans="2:17" s="283" customFormat="1" x14ac:dyDescent="0.3">
      <c r="B25" s="36" t="s">
        <v>14</v>
      </c>
      <c r="C25" s="285"/>
      <c r="D25" s="285">
        <f>J10*41%</f>
        <v>0.48664899763542552</v>
      </c>
      <c r="E25" s="285"/>
      <c r="F25" s="285"/>
      <c r="G25" s="285"/>
      <c r="H25" s="285">
        <f t="shared" si="0"/>
        <v>0.48664899763542552</v>
      </c>
      <c r="K25" s="36" t="s">
        <v>14</v>
      </c>
      <c r="L25" s="285"/>
      <c r="M25" s="285">
        <f>D25*11.63</f>
        <v>5.6597278424999988</v>
      </c>
      <c r="N25" s="285"/>
      <c r="O25" s="285"/>
      <c r="P25" s="285"/>
      <c r="Q25" s="285">
        <f t="shared" si="1"/>
        <v>5.6597278424999988</v>
      </c>
    </row>
    <row r="26" spans="2:17" s="283" customFormat="1" x14ac:dyDescent="0.3">
      <c r="B26" s="36" t="s">
        <v>720</v>
      </c>
      <c r="C26" s="285"/>
      <c r="D26" s="285">
        <f>J10*0.09</f>
        <v>0.10682538972484951</v>
      </c>
      <c r="E26" s="285">
        <f>J13</f>
        <v>8.6976094480999997</v>
      </c>
      <c r="F26" s="285"/>
      <c r="G26" s="285"/>
      <c r="H26" s="285">
        <f t="shared" si="0"/>
        <v>8.80443483782485</v>
      </c>
      <c r="K26" s="36" t="s">
        <v>720</v>
      </c>
      <c r="L26" s="285"/>
      <c r="M26" s="285">
        <f>D26*11.63</f>
        <v>1.2423792824999997</v>
      </c>
      <c r="N26" s="285">
        <f>E26*11.63</f>
        <v>101.153197881403</v>
      </c>
      <c r="O26" s="285"/>
      <c r="P26" s="285"/>
      <c r="Q26" s="285">
        <f t="shared" si="1"/>
        <v>102.39557716390301</v>
      </c>
    </row>
    <row r="27" spans="2:17" s="283" customFormat="1" x14ac:dyDescent="0.3">
      <c r="B27" s="36" t="s">
        <v>721</v>
      </c>
      <c r="C27" s="285"/>
      <c r="D27" s="285">
        <f>J10*0.5</f>
        <v>0.59347438736027502</v>
      </c>
      <c r="E27" s="285">
        <f>J15*0.5</f>
        <v>0.23824134994999849</v>
      </c>
      <c r="F27" s="285"/>
      <c r="G27" s="285"/>
      <c r="H27" s="285">
        <f t="shared" si="0"/>
        <v>0.83171573731027348</v>
      </c>
      <c r="K27" s="36" t="s">
        <v>721</v>
      </c>
      <c r="L27" s="285"/>
      <c r="M27" s="285">
        <f>D27*11.63</f>
        <v>6.9021071249999988</v>
      </c>
      <c r="N27" s="285">
        <f>E27*11.63</f>
        <v>2.7707468999184828</v>
      </c>
      <c r="O27" s="285"/>
      <c r="P27" s="285"/>
      <c r="Q27" s="285">
        <f t="shared" si="1"/>
        <v>9.6728540249184807</v>
      </c>
    </row>
    <row r="28" spans="2:17" s="283" customFormat="1" x14ac:dyDescent="0.3">
      <c r="B28" s="36" t="s">
        <v>722</v>
      </c>
      <c r="C28" s="285"/>
      <c r="D28" s="285"/>
      <c r="E28" s="285">
        <f>J14</f>
        <v>2.5011520200000001</v>
      </c>
      <c r="F28" s="284"/>
      <c r="G28" s="285"/>
      <c r="H28" s="285">
        <f t="shared" si="0"/>
        <v>2.5011520200000001</v>
      </c>
      <c r="K28" s="36" t="s">
        <v>722</v>
      </c>
      <c r="L28" s="285"/>
      <c r="M28" s="285"/>
      <c r="N28" s="285">
        <f>E28*11.63</f>
        <v>29.088397992600004</v>
      </c>
      <c r="O28" s="285"/>
      <c r="P28" s="285"/>
      <c r="Q28" s="285">
        <f t="shared" si="1"/>
        <v>29.088397992600004</v>
      </c>
    </row>
    <row r="29" spans="2:17" s="283" customFormat="1" x14ac:dyDescent="0.3">
      <c r="B29" s="36" t="s">
        <v>723</v>
      </c>
      <c r="C29" s="285"/>
      <c r="D29" s="285"/>
      <c r="E29" s="285">
        <f>J15*0.5</f>
        <v>0.23824134994999849</v>
      </c>
      <c r="F29" s="285"/>
      <c r="G29" s="285"/>
      <c r="H29" s="285">
        <f t="shared" si="0"/>
        <v>0.23824134994999849</v>
      </c>
      <c r="K29" s="36" t="s">
        <v>723</v>
      </c>
      <c r="L29" s="285"/>
      <c r="M29" s="285"/>
      <c r="N29" s="285">
        <f>E29*11.63</f>
        <v>2.7707468999184828</v>
      </c>
      <c r="O29" s="285"/>
      <c r="P29" s="285"/>
      <c r="Q29" s="285">
        <f t="shared" si="1"/>
        <v>2.7707468999184828</v>
      </c>
    </row>
    <row r="30" spans="2:17" s="283" customFormat="1" x14ac:dyDescent="0.3">
      <c r="B30" s="36" t="s">
        <v>52</v>
      </c>
      <c r="C30" s="285">
        <f>+SUM(C24:C29)</f>
        <v>0.26835721000000001</v>
      </c>
      <c r="D30" s="285">
        <f>+SUM(D24:D29)</f>
        <v>1.18694877472055</v>
      </c>
      <c r="E30" s="285">
        <f>+SUM(E24:E29)</f>
        <v>11.675244167999995</v>
      </c>
      <c r="F30" s="285">
        <f>+SUM(F24:F29)</f>
        <v>0</v>
      </c>
      <c r="G30" s="285">
        <f>+SUM(G24:G29)</f>
        <v>0</v>
      </c>
      <c r="H30" s="285">
        <f t="shared" si="0"/>
        <v>13.130550152720545</v>
      </c>
      <c r="K30" s="36" t="s">
        <v>52</v>
      </c>
      <c r="L30" s="285">
        <f>C30*11.63</f>
        <v>3.1209943523000003</v>
      </c>
      <c r="M30" s="285">
        <f>D30*11.63</f>
        <v>13.804214249999998</v>
      </c>
      <c r="N30" s="285">
        <f>E30*11.63</f>
        <v>135.78308967383995</v>
      </c>
      <c r="O30" s="285"/>
      <c r="P30" s="285"/>
      <c r="Q30" s="285">
        <f>SUM(Q24:Q29)</f>
        <v>152.70829827613997</v>
      </c>
    </row>
    <row r="31" spans="2:17" s="283" customFormat="1" x14ac:dyDescent="0.3"/>
    <row r="32" spans="2:17" s="283" customFormat="1" x14ac:dyDescent="0.3">
      <c r="B32" s="661">
        <v>2021</v>
      </c>
      <c r="C32" s="661"/>
      <c r="D32" s="661"/>
      <c r="E32" s="661"/>
      <c r="F32" s="284"/>
      <c r="G32" s="284"/>
      <c r="H32" s="284"/>
      <c r="I32" s="284"/>
      <c r="J32" s="284"/>
      <c r="K32" s="284"/>
      <c r="L32" s="284"/>
      <c r="M32" s="284"/>
      <c r="N32" s="284"/>
      <c r="O32" s="284"/>
      <c r="P32" s="284"/>
      <c r="Q32" s="284"/>
    </row>
    <row r="33" spans="2:17" s="283" customFormat="1" x14ac:dyDescent="0.3"/>
    <row r="34" spans="2:17" s="283" customFormat="1" x14ac:dyDescent="0.3">
      <c r="B34" s="36" t="s">
        <v>715</v>
      </c>
      <c r="C34" s="36" t="s">
        <v>699</v>
      </c>
      <c r="D34" s="36" t="s">
        <v>716</v>
      </c>
      <c r="E34" s="36" t="s">
        <v>705</v>
      </c>
      <c r="F34" s="36" t="s">
        <v>717</v>
      </c>
      <c r="G34" s="36" t="s">
        <v>718</v>
      </c>
      <c r="H34" s="36" t="s">
        <v>52</v>
      </c>
      <c r="K34" s="36" t="s">
        <v>456</v>
      </c>
      <c r="L34" s="36" t="s">
        <v>699</v>
      </c>
      <c r="M34" s="36" t="s">
        <v>716</v>
      </c>
      <c r="N34" s="36" t="s">
        <v>705</v>
      </c>
      <c r="O34" s="36" t="s">
        <v>717</v>
      </c>
      <c r="P34" s="36" t="s">
        <v>718</v>
      </c>
      <c r="Q34" s="36" t="s">
        <v>52</v>
      </c>
    </row>
    <row r="35" spans="2:17" s="283" customFormat="1" x14ac:dyDescent="0.3">
      <c r="B35" s="36" t="s">
        <v>719</v>
      </c>
      <c r="C35" s="285">
        <f>L9</f>
        <v>0.27601450100000002</v>
      </c>
      <c r="D35" s="285"/>
      <c r="E35" s="285"/>
      <c r="F35" s="285"/>
      <c r="G35" s="285"/>
      <c r="H35" s="285">
        <f>SUM(C35:G35)</f>
        <v>0.27601450100000002</v>
      </c>
      <c r="K35" s="36" t="s">
        <v>719</v>
      </c>
      <c r="L35" s="285">
        <f>C35*11.63</f>
        <v>3.2100486466300007</v>
      </c>
      <c r="M35" s="285"/>
      <c r="N35" s="285"/>
      <c r="O35" s="285"/>
      <c r="P35" s="285"/>
      <c r="Q35" s="285">
        <f t="shared" ref="Q35:Q40" si="2">H35*11.63</f>
        <v>3.2100486466300007</v>
      </c>
    </row>
    <row r="36" spans="2:17" s="283" customFormat="1" x14ac:dyDescent="0.3">
      <c r="B36" s="36" t="s">
        <v>14</v>
      </c>
      <c r="C36" s="285"/>
      <c r="D36" s="285">
        <f>L10*41%</f>
        <v>0.45396789939810839</v>
      </c>
      <c r="E36" s="285"/>
      <c r="F36" s="285"/>
      <c r="G36" s="285"/>
      <c r="H36" s="285">
        <f t="shared" ref="H36:H40" si="3">SUM(C36:G36)</f>
        <v>0.45396789939810839</v>
      </c>
      <c r="K36" s="36" t="s">
        <v>14</v>
      </c>
      <c r="L36" s="285"/>
      <c r="M36" s="285">
        <f>D36*11.63</f>
        <v>5.2796466700000009</v>
      </c>
      <c r="N36" s="285"/>
      <c r="O36" s="285"/>
      <c r="P36" s="285"/>
      <c r="Q36" s="285">
        <f t="shared" si="2"/>
        <v>5.2796466700000009</v>
      </c>
    </row>
    <row r="37" spans="2:17" s="283" customFormat="1" x14ac:dyDescent="0.3">
      <c r="B37" s="36" t="s">
        <v>720</v>
      </c>
      <c r="C37" s="285"/>
      <c r="D37" s="285">
        <f>L10*0.09</f>
        <v>9.9651490111779886E-2</v>
      </c>
      <c r="E37" s="285">
        <f>L13</f>
        <v>8.7480129582075197</v>
      </c>
      <c r="F37" s="285"/>
      <c r="G37" s="285"/>
      <c r="H37" s="285">
        <f t="shared" si="3"/>
        <v>8.8476644483192999</v>
      </c>
      <c r="K37" s="36" t="s">
        <v>720</v>
      </c>
      <c r="L37" s="285"/>
      <c r="M37" s="285">
        <f>D37*11.63</f>
        <v>1.1589468300000001</v>
      </c>
      <c r="N37" s="285">
        <f>E37*11.63</f>
        <v>101.73939070395346</v>
      </c>
      <c r="O37" s="285"/>
      <c r="P37" s="285"/>
      <c r="Q37" s="285">
        <f t="shared" si="2"/>
        <v>102.89833753395347</v>
      </c>
    </row>
    <row r="38" spans="2:17" s="283" customFormat="1" x14ac:dyDescent="0.3">
      <c r="B38" s="36" t="s">
        <v>721</v>
      </c>
      <c r="C38" s="285"/>
      <c r="D38" s="285">
        <f>L10*0.5</f>
        <v>0.55361938950988832</v>
      </c>
      <c r="E38" s="285">
        <f>L15*0.5</f>
        <v>0.23962198222164613</v>
      </c>
      <c r="F38" s="285"/>
      <c r="G38" s="285"/>
      <c r="H38" s="285">
        <f t="shared" si="3"/>
        <v>0.79324137173153442</v>
      </c>
      <c r="K38" s="36" t="s">
        <v>721</v>
      </c>
      <c r="L38" s="285"/>
      <c r="M38" s="285">
        <f>D38*11.63</f>
        <v>6.4385935000000014</v>
      </c>
      <c r="N38" s="285">
        <f>E38*11.63</f>
        <v>2.7868036532377447</v>
      </c>
      <c r="O38" s="285"/>
      <c r="P38" s="285"/>
      <c r="Q38" s="285">
        <f t="shared" si="2"/>
        <v>9.2253971532377452</v>
      </c>
    </row>
    <row r="39" spans="2:17" s="283" customFormat="1" x14ac:dyDescent="0.3">
      <c r="B39" s="36" t="s">
        <v>722</v>
      </c>
      <c r="C39" s="285"/>
      <c r="D39" s="285"/>
      <c r="E39" s="285">
        <f>L14</f>
        <v>2.5156464442291839</v>
      </c>
      <c r="F39" s="284"/>
      <c r="G39" s="285"/>
      <c r="H39" s="285">
        <f t="shared" si="3"/>
        <v>2.5156464442291839</v>
      </c>
      <c r="K39" s="36" t="s">
        <v>722</v>
      </c>
      <c r="L39" s="285"/>
      <c r="M39" s="285"/>
      <c r="N39" s="285">
        <f>E39*11.63</f>
        <v>29.256968146385411</v>
      </c>
      <c r="O39" s="285"/>
      <c r="P39" s="285"/>
      <c r="Q39" s="285">
        <f t="shared" si="2"/>
        <v>29.256968146385411</v>
      </c>
    </row>
    <row r="40" spans="2:17" s="283" customFormat="1" x14ac:dyDescent="0.3">
      <c r="B40" s="36" t="s">
        <v>723</v>
      </c>
      <c r="C40" s="285"/>
      <c r="D40" s="285"/>
      <c r="E40" s="285">
        <f>L15*0.5</f>
        <v>0.23962198222164613</v>
      </c>
      <c r="F40" s="285"/>
      <c r="G40" s="285"/>
      <c r="H40" s="285">
        <f t="shared" si="3"/>
        <v>0.23962198222164613</v>
      </c>
      <c r="K40" s="36" t="s">
        <v>723</v>
      </c>
      <c r="L40" s="285"/>
      <c r="M40" s="285"/>
      <c r="N40" s="285">
        <f>E40*11.63</f>
        <v>2.7868036532377447</v>
      </c>
      <c r="O40" s="285"/>
      <c r="P40" s="285"/>
      <c r="Q40" s="285">
        <f t="shared" si="2"/>
        <v>2.7868036532377447</v>
      </c>
    </row>
    <row r="41" spans="2:17" s="283" customFormat="1" x14ac:dyDescent="0.3">
      <c r="B41" s="36" t="s">
        <v>52</v>
      </c>
      <c r="C41" s="285">
        <f>SUM(C35:C40)</f>
        <v>0.27601450100000002</v>
      </c>
      <c r="D41" s="285">
        <f t="shared" ref="D41:G41" si="4">SUM(D35:D40)</f>
        <v>1.1072387790197766</v>
      </c>
      <c r="E41" s="285">
        <f t="shared" si="4"/>
        <v>11.742903366879995</v>
      </c>
      <c r="F41" s="285">
        <f t="shared" si="4"/>
        <v>0</v>
      </c>
      <c r="G41" s="285">
        <f t="shared" si="4"/>
        <v>0</v>
      </c>
      <c r="H41" s="285">
        <f>SUM(H35:H40)</f>
        <v>13.126156646899773</v>
      </c>
      <c r="K41" s="36" t="s">
        <v>52</v>
      </c>
      <c r="L41" s="285">
        <f>C41*11.63</f>
        <v>3.2100486466300007</v>
      </c>
      <c r="M41" s="285">
        <f>D41*11.63</f>
        <v>12.877187000000003</v>
      </c>
      <c r="N41" s="285">
        <f>E41*11.63</f>
        <v>136.56996615681436</v>
      </c>
      <c r="O41" s="285"/>
      <c r="P41" s="285"/>
      <c r="Q41" s="285">
        <f>SUM(Q35:Q40)</f>
        <v>152.65720180344437</v>
      </c>
    </row>
    <row r="44" spans="2:17" x14ac:dyDescent="0.3">
      <c r="B44" s="209" t="s">
        <v>724</v>
      </c>
    </row>
    <row r="47" spans="2:17" x14ac:dyDescent="0.3">
      <c r="B47" s="661" t="s">
        <v>725</v>
      </c>
      <c r="C47" s="661"/>
      <c r="D47" s="661"/>
      <c r="E47" s="661"/>
    </row>
    <row r="49" spans="2:6" x14ac:dyDescent="0.3">
      <c r="C49" s="660" t="s">
        <v>726</v>
      </c>
      <c r="D49" s="660"/>
      <c r="E49" s="660"/>
    </row>
    <row r="50" spans="2:6" x14ac:dyDescent="0.3">
      <c r="C50" s="286">
        <v>2019</v>
      </c>
      <c r="D50" s="286">
        <v>2021</v>
      </c>
      <c r="E50" s="286">
        <v>2030</v>
      </c>
      <c r="F50" s="286">
        <v>2050</v>
      </c>
    </row>
    <row r="51" spans="2:6" x14ac:dyDescent="0.3">
      <c r="B51" s="5" t="s">
        <v>719</v>
      </c>
      <c r="C51" s="287" t="s">
        <v>727</v>
      </c>
      <c r="D51" s="287" t="s">
        <v>727</v>
      </c>
    </row>
    <row r="52" spans="2:6" x14ac:dyDescent="0.3">
      <c r="B52" s="288" t="s">
        <v>10</v>
      </c>
      <c r="C52" s="289"/>
      <c r="D52" s="289"/>
      <c r="E52" s="289"/>
      <c r="F52" s="289"/>
    </row>
    <row r="53" spans="2:6" x14ac:dyDescent="0.3">
      <c r="B53" s="290" t="s">
        <v>728</v>
      </c>
      <c r="C53" s="291">
        <v>1</v>
      </c>
      <c r="D53" s="291">
        <v>1</v>
      </c>
      <c r="E53" s="291">
        <v>0</v>
      </c>
      <c r="F53" s="291">
        <v>0</v>
      </c>
    </row>
    <row r="54" spans="2:6" x14ac:dyDescent="0.3">
      <c r="B54" s="290" t="s">
        <v>729</v>
      </c>
      <c r="C54" s="291">
        <v>0</v>
      </c>
      <c r="D54" s="291">
        <v>0</v>
      </c>
      <c r="E54" s="291">
        <v>0</v>
      </c>
      <c r="F54" s="291">
        <v>0</v>
      </c>
    </row>
    <row r="55" spans="2:6" x14ac:dyDescent="0.3">
      <c r="B55" s="290" t="s">
        <v>730</v>
      </c>
      <c r="C55" s="291">
        <v>0</v>
      </c>
      <c r="D55" s="291">
        <v>0</v>
      </c>
      <c r="E55" s="291">
        <v>0</v>
      </c>
      <c r="F55" s="291">
        <v>0</v>
      </c>
    </row>
    <row r="56" spans="2:6" x14ac:dyDescent="0.3">
      <c r="B56" s="288" t="s">
        <v>14</v>
      </c>
      <c r="C56" s="289"/>
      <c r="D56" s="289"/>
      <c r="E56" s="289"/>
      <c r="F56" s="289"/>
    </row>
    <row r="57" spans="2:6" x14ac:dyDescent="0.3">
      <c r="B57" s="290" t="s">
        <v>731</v>
      </c>
      <c r="C57" s="291">
        <v>1</v>
      </c>
      <c r="D57" s="291">
        <v>1</v>
      </c>
      <c r="E57" s="291">
        <v>0</v>
      </c>
      <c r="F57" s="291">
        <v>0</v>
      </c>
    </row>
    <row r="58" spans="2:6" x14ac:dyDescent="0.3">
      <c r="B58" s="290" t="s">
        <v>732</v>
      </c>
      <c r="C58" s="291">
        <v>0</v>
      </c>
      <c r="D58" s="291">
        <v>0</v>
      </c>
      <c r="E58" s="291">
        <v>0</v>
      </c>
      <c r="F58" s="291">
        <v>0</v>
      </c>
    </row>
    <row r="59" spans="2:6" x14ac:dyDescent="0.3">
      <c r="B59" s="288" t="s">
        <v>720</v>
      </c>
      <c r="C59" s="289"/>
      <c r="D59" s="289"/>
      <c r="E59" s="289"/>
      <c r="F59" s="289"/>
    </row>
    <row r="60" spans="2:6" x14ac:dyDescent="0.3">
      <c r="B60" s="290" t="s">
        <v>733</v>
      </c>
      <c r="C60" s="291">
        <v>1</v>
      </c>
      <c r="D60" s="291">
        <v>1</v>
      </c>
      <c r="E60" s="291">
        <v>0</v>
      </c>
      <c r="F60" s="291">
        <v>0</v>
      </c>
    </row>
    <row r="61" spans="2:6" x14ac:dyDescent="0.3">
      <c r="B61" s="290" t="s">
        <v>734</v>
      </c>
      <c r="C61" s="291">
        <v>0</v>
      </c>
      <c r="D61" s="291">
        <v>0</v>
      </c>
      <c r="E61" s="291">
        <v>0</v>
      </c>
      <c r="F61" s="291">
        <v>0</v>
      </c>
    </row>
    <row r="62" spans="2:6" x14ac:dyDescent="0.3">
      <c r="B62" s="290" t="s">
        <v>735</v>
      </c>
      <c r="C62" s="291">
        <v>0</v>
      </c>
      <c r="D62" s="291">
        <v>0</v>
      </c>
      <c r="E62" s="291">
        <v>0</v>
      </c>
      <c r="F62" s="291">
        <v>0</v>
      </c>
    </row>
    <row r="63" spans="2:6" x14ac:dyDescent="0.3">
      <c r="B63" s="288" t="s">
        <v>721</v>
      </c>
      <c r="C63" s="289"/>
      <c r="D63" s="289"/>
      <c r="E63" s="289"/>
      <c r="F63" s="289"/>
    </row>
    <row r="64" spans="2:6" x14ac:dyDescent="0.3">
      <c r="B64" s="290" t="s">
        <v>705</v>
      </c>
      <c r="C64" s="291">
        <v>0.28644564394135302</v>
      </c>
      <c r="D64" s="291">
        <v>0.28644564394135302</v>
      </c>
      <c r="E64" s="291">
        <v>0.28644564394135302</v>
      </c>
      <c r="F64" s="291">
        <v>0.28644564394135302</v>
      </c>
    </row>
    <row r="65" spans="2:6" x14ac:dyDescent="0.3">
      <c r="B65" s="290" t="s">
        <v>441</v>
      </c>
      <c r="C65" s="291">
        <v>0.71355435605864703</v>
      </c>
      <c r="D65" s="291">
        <v>0.71355435605864703</v>
      </c>
      <c r="E65" s="291">
        <v>0.71355435605864703</v>
      </c>
      <c r="F65" s="291">
        <f>E65-F68</f>
        <v>0.56355435605864701</v>
      </c>
    </row>
    <row r="66" spans="2:6" x14ac:dyDescent="0.3">
      <c r="B66" s="290" t="s">
        <v>736</v>
      </c>
      <c r="C66" s="291">
        <v>0</v>
      </c>
      <c r="D66" s="291">
        <v>0</v>
      </c>
      <c r="E66" s="291">
        <v>0</v>
      </c>
      <c r="F66" s="291">
        <v>0</v>
      </c>
    </row>
    <row r="67" spans="2:6" x14ac:dyDescent="0.3">
      <c r="B67" s="290" t="s">
        <v>737</v>
      </c>
      <c r="C67" s="291">
        <v>0</v>
      </c>
      <c r="D67" s="291">
        <v>0</v>
      </c>
      <c r="E67" s="291">
        <v>0</v>
      </c>
      <c r="F67" s="291">
        <v>0</v>
      </c>
    </row>
    <row r="68" spans="2:6" x14ac:dyDescent="0.3">
      <c r="B68" s="290" t="s">
        <v>447</v>
      </c>
      <c r="C68" s="291">
        <v>0</v>
      </c>
      <c r="D68" s="291">
        <v>0</v>
      </c>
      <c r="E68" s="291">
        <v>0</v>
      </c>
      <c r="F68" s="291">
        <f>15%</f>
        <v>0.15</v>
      </c>
    </row>
    <row r="69" spans="2:6" x14ac:dyDescent="0.3">
      <c r="B69" s="288" t="s">
        <v>722</v>
      </c>
      <c r="C69" s="289"/>
      <c r="D69" s="289"/>
      <c r="E69" s="289"/>
      <c r="F69" s="289"/>
    </row>
    <row r="70" spans="2:6" x14ac:dyDescent="0.3">
      <c r="B70" s="290" t="s">
        <v>738</v>
      </c>
      <c r="C70" s="291">
        <v>1</v>
      </c>
      <c r="D70" s="291">
        <v>1</v>
      </c>
      <c r="E70" s="291">
        <f>C70</f>
        <v>1</v>
      </c>
      <c r="F70" s="291">
        <f>E70</f>
        <v>1</v>
      </c>
    </row>
    <row r="71" spans="2:6" x14ac:dyDescent="0.3">
      <c r="B71" s="290" t="s">
        <v>739</v>
      </c>
      <c r="C71" s="291">
        <v>0</v>
      </c>
      <c r="D71" s="291">
        <v>0</v>
      </c>
      <c r="E71" s="291">
        <v>0</v>
      </c>
      <c r="F71" s="291">
        <v>0</v>
      </c>
    </row>
    <row r="72" spans="2:6" x14ac:dyDescent="0.3">
      <c r="B72" s="290" t="s">
        <v>740</v>
      </c>
      <c r="C72" s="291">
        <v>0</v>
      </c>
      <c r="D72" s="291">
        <v>0</v>
      </c>
      <c r="E72" s="291">
        <v>0</v>
      </c>
      <c r="F72" s="291">
        <v>0</v>
      </c>
    </row>
    <row r="73" spans="2:6" x14ac:dyDescent="0.3">
      <c r="B73" s="288" t="s">
        <v>723</v>
      </c>
      <c r="C73" s="289"/>
      <c r="D73" s="289"/>
      <c r="E73" s="289"/>
      <c r="F73" s="289"/>
    </row>
    <row r="74" spans="2:6" x14ac:dyDescent="0.3">
      <c r="B74" s="290" t="s">
        <v>741</v>
      </c>
      <c r="C74" s="291">
        <v>1</v>
      </c>
      <c r="D74" s="291">
        <v>1</v>
      </c>
      <c r="E74" s="291">
        <f>C74</f>
        <v>1</v>
      </c>
      <c r="F74" s="291">
        <f>E74</f>
        <v>1</v>
      </c>
    </row>
    <row r="75" spans="2:6" x14ac:dyDescent="0.3">
      <c r="B75" s="290" t="s">
        <v>742</v>
      </c>
      <c r="C75" s="291">
        <v>0</v>
      </c>
      <c r="D75" s="291">
        <v>0</v>
      </c>
      <c r="E75" s="291">
        <v>0</v>
      </c>
      <c r="F75" s="291">
        <v>0</v>
      </c>
    </row>
    <row r="78" spans="2:6" x14ac:dyDescent="0.3">
      <c r="B78" s="661" t="s">
        <v>743</v>
      </c>
      <c r="C78" s="661"/>
      <c r="D78" s="661"/>
      <c r="E78" s="661"/>
    </row>
    <row r="81" spans="1:13 1026:1026" x14ac:dyDescent="0.3">
      <c r="A81" s="547"/>
      <c r="C81" s="660" t="s">
        <v>726</v>
      </c>
      <c r="D81" s="660"/>
      <c r="E81" s="660"/>
    </row>
    <row r="82" spans="1:13 1026:1026" x14ac:dyDescent="0.3">
      <c r="A82" s="547"/>
      <c r="C82" s="286">
        <v>2019</v>
      </c>
      <c r="D82" s="286">
        <v>2021</v>
      </c>
      <c r="E82" s="286">
        <v>2030</v>
      </c>
      <c r="F82" s="286">
        <v>2040</v>
      </c>
      <c r="G82" s="286">
        <v>2050</v>
      </c>
      <c r="AML82" s="1"/>
    </row>
    <row r="83" spans="1:13 1026:1026" x14ac:dyDescent="0.3">
      <c r="A83" s="547"/>
      <c r="B83" s="292" t="s">
        <v>719</v>
      </c>
      <c r="C83" s="293" t="s">
        <v>727</v>
      </c>
      <c r="D83" s="293" t="s">
        <v>727</v>
      </c>
      <c r="E83" s="234"/>
      <c r="F83" s="234"/>
      <c r="G83" s="235"/>
      <c r="AML83" s="1"/>
    </row>
    <row r="84" spans="1:13 1026:1026" x14ac:dyDescent="0.3">
      <c r="A84" s="547"/>
      <c r="B84" s="294" t="s">
        <v>10</v>
      </c>
      <c r="C84" s="289"/>
      <c r="D84" s="289"/>
      <c r="E84" s="289"/>
      <c r="F84" s="289"/>
      <c r="G84" s="295"/>
      <c r="AML84" s="1"/>
    </row>
    <row r="85" spans="1:13 1026:1026" x14ac:dyDescent="0.3">
      <c r="A85" s="547"/>
      <c r="B85" s="296" t="s">
        <v>728</v>
      </c>
      <c r="C85" s="395">
        <f>'A renseigner'!C241</f>
        <v>1</v>
      </c>
      <c r="D85" s="395">
        <f>'A renseigner'!D241</f>
        <v>1</v>
      </c>
      <c r="E85" s="395">
        <f>'A renseigner'!E241</f>
        <v>0.95</v>
      </c>
      <c r="F85" s="395">
        <f>'A renseigner'!F241</f>
        <v>0.64999999999999991</v>
      </c>
      <c r="G85" s="396">
        <f>'A renseigner'!G241</f>
        <v>0.6</v>
      </c>
      <c r="AML85" s="1"/>
    </row>
    <row r="86" spans="1:13 1026:1026" x14ac:dyDescent="0.3">
      <c r="A86" s="547"/>
      <c r="B86" s="296" t="s">
        <v>729</v>
      </c>
      <c r="C86" s="395">
        <f>'A renseigner'!C242</f>
        <v>0</v>
      </c>
      <c r="D86" s="395">
        <f>'A renseigner'!D242</f>
        <v>0</v>
      </c>
      <c r="E86" s="397">
        <f>'A renseigner'!E242</f>
        <v>0.05</v>
      </c>
      <c r="F86" s="395">
        <f>'A renseigner'!F242</f>
        <v>0.17500000000000004</v>
      </c>
      <c r="G86" s="398">
        <f>'A renseigner'!G242</f>
        <v>0.2</v>
      </c>
      <c r="AML86" s="1"/>
    </row>
    <row r="87" spans="1:13 1026:1026" x14ac:dyDescent="0.3">
      <c r="A87" s="547"/>
      <c r="B87" s="296" t="s">
        <v>730</v>
      </c>
      <c r="C87" s="395">
        <f>'A renseigner'!C243</f>
        <v>0</v>
      </c>
      <c r="D87" s="395">
        <f>'A renseigner'!D243</f>
        <v>0</v>
      </c>
      <c r="E87" s="397">
        <f>'A renseigner'!E243</f>
        <v>0</v>
      </c>
      <c r="F87" s="395">
        <f>'A renseigner'!F243</f>
        <v>0.17500000000000004</v>
      </c>
      <c r="G87" s="398">
        <f>'A renseigner'!G243</f>
        <v>0.2</v>
      </c>
      <c r="H87" s="150" t="s">
        <v>869</v>
      </c>
      <c r="I87" s="71" t="s">
        <v>744</v>
      </c>
      <c r="J87" s="49"/>
      <c r="AML87" s="1"/>
    </row>
    <row r="88" spans="1:13 1026:1026" x14ac:dyDescent="0.3">
      <c r="A88" s="547"/>
      <c r="B88" s="294" t="s">
        <v>14</v>
      </c>
      <c r="C88" s="399">
        <f>'A renseigner'!C244</f>
        <v>0</v>
      </c>
      <c r="D88" s="399">
        <f>'A renseigner'!D244</f>
        <v>0</v>
      </c>
      <c r="E88" s="399">
        <f>'A renseigner'!E244</f>
        <v>0</v>
      </c>
      <c r="F88" s="399">
        <f>'A renseigner'!F244</f>
        <v>0</v>
      </c>
      <c r="G88" s="400">
        <f>'A renseigner'!G244</f>
        <v>0</v>
      </c>
      <c r="I88" s="49"/>
      <c r="J88" s="49"/>
      <c r="AML88" s="1"/>
    </row>
    <row r="89" spans="1:13 1026:1026" x14ac:dyDescent="0.3">
      <c r="A89" s="547"/>
      <c r="B89" s="296" t="s">
        <v>731</v>
      </c>
      <c r="C89" s="401">
        <f>'A renseigner'!C245</f>
        <v>1</v>
      </c>
      <c r="D89" s="401">
        <f>'A renseigner'!D245</f>
        <v>1</v>
      </c>
      <c r="E89" s="401">
        <f>'A renseigner'!E245</f>
        <v>0.85</v>
      </c>
      <c r="F89" s="401">
        <f>'A renseigner'!F245</f>
        <v>0.65</v>
      </c>
      <c r="G89" s="402">
        <f>'A renseigner'!G245</f>
        <v>0</v>
      </c>
      <c r="I89" s="49"/>
      <c r="J89" s="49"/>
      <c r="AML89" s="1"/>
    </row>
    <row r="90" spans="1:13 1026:1026" x14ac:dyDescent="0.3">
      <c r="A90" s="547"/>
      <c r="B90" s="296" t="s">
        <v>737</v>
      </c>
      <c r="C90" s="401">
        <f>'A renseigner'!C246</f>
        <v>0</v>
      </c>
      <c r="D90" s="401">
        <f>'A renseigner'!D246</f>
        <v>0</v>
      </c>
      <c r="E90" s="401">
        <f>'A renseigner'!E246</f>
        <v>0</v>
      </c>
      <c r="F90" s="401">
        <f>'A renseigner'!F246</f>
        <v>0.19833333333333336</v>
      </c>
      <c r="G90" s="402">
        <f>'A renseigner'!G246</f>
        <v>0.23800000000000002</v>
      </c>
      <c r="I90" s="49"/>
      <c r="J90" s="49"/>
      <c r="AML90" s="1"/>
    </row>
    <row r="91" spans="1:13 1026:1026" x14ac:dyDescent="0.3">
      <c r="A91" s="547"/>
      <c r="B91" s="296" t="s">
        <v>732</v>
      </c>
      <c r="C91" s="401">
        <f>'A renseigner'!C247</f>
        <v>0</v>
      </c>
      <c r="D91" s="401">
        <f>'A renseigner'!D247</f>
        <v>0</v>
      </c>
      <c r="E91" s="401">
        <f>'A renseigner'!E247</f>
        <v>0.15</v>
      </c>
      <c r="F91" s="402">
        <f>'A renseigner'!F247</f>
        <v>0.15</v>
      </c>
      <c r="G91" s="402">
        <f>'A renseigner'!G247</f>
        <v>0.76200000000000001</v>
      </c>
      <c r="I91" s="49"/>
      <c r="J91" s="49"/>
      <c r="K91" s="179"/>
      <c r="AML91" s="1"/>
    </row>
    <row r="92" spans="1:13 1026:1026" x14ac:dyDescent="0.3">
      <c r="A92" s="547"/>
      <c r="B92" s="294" t="s">
        <v>720</v>
      </c>
      <c r="C92" s="399">
        <f>'A renseigner'!C248</f>
        <v>0</v>
      </c>
      <c r="D92" s="399">
        <f>'A renseigner'!D248</f>
        <v>0</v>
      </c>
      <c r="E92" s="399">
        <f>'A renseigner'!E248</f>
        <v>0</v>
      </c>
      <c r="F92" s="399">
        <f>'A renseigner'!F248</f>
        <v>0</v>
      </c>
      <c r="G92" s="400">
        <f>'A renseigner'!G248</f>
        <v>0</v>
      </c>
      <c r="I92" s="49"/>
      <c r="J92" s="49"/>
      <c r="AML92" s="1"/>
    </row>
    <row r="93" spans="1:13 1026:1026" x14ac:dyDescent="0.3">
      <c r="A93" s="547"/>
      <c r="B93" s="296" t="s">
        <v>733</v>
      </c>
      <c r="C93" s="395">
        <f>'A renseigner'!C249</f>
        <v>1</v>
      </c>
      <c r="D93" s="395">
        <f>'A renseigner'!D249</f>
        <v>1</v>
      </c>
      <c r="E93" s="395">
        <f>'A renseigner'!E249</f>
        <v>1</v>
      </c>
      <c r="F93" s="395">
        <f>'A renseigner'!F249</f>
        <v>0.75</v>
      </c>
      <c r="G93" s="396">
        <f>'A renseigner'!G249</f>
        <v>0.19999999999999996</v>
      </c>
      <c r="I93" s="49"/>
      <c r="J93" s="49"/>
      <c r="AML93" s="1"/>
    </row>
    <row r="94" spans="1:13 1026:1026" x14ac:dyDescent="0.3">
      <c r="A94" s="547"/>
      <c r="B94" s="296" t="s">
        <v>745</v>
      </c>
      <c r="C94" s="395">
        <f>'A renseigner'!C250</f>
        <v>0</v>
      </c>
      <c r="D94" s="395">
        <f>'A renseigner'!D250</f>
        <v>0</v>
      </c>
      <c r="E94" s="395">
        <f>'A renseigner'!E250</f>
        <v>0</v>
      </c>
      <c r="F94" s="395">
        <f>'A renseigner'!F250</f>
        <v>0.2</v>
      </c>
      <c r="G94" s="396">
        <f>'A renseigner'!G250</f>
        <v>0.45</v>
      </c>
      <c r="I94" s="49"/>
      <c r="J94" s="49"/>
      <c r="AML94" s="1"/>
    </row>
    <row r="95" spans="1:13 1026:1026" x14ac:dyDescent="0.3">
      <c r="A95" s="547"/>
      <c r="B95" s="296" t="s">
        <v>735</v>
      </c>
      <c r="C95" s="395">
        <f>'A renseigner'!C251</f>
        <v>0</v>
      </c>
      <c r="D95" s="395">
        <f>'A renseigner'!D251</f>
        <v>0</v>
      </c>
      <c r="E95" s="395">
        <f>'A renseigner'!E251</f>
        <v>0</v>
      </c>
      <c r="F95" s="395">
        <f>'A renseigner'!F251</f>
        <v>0.05</v>
      </c>
      <c r="G95" s="396">
        <f>'A renseigner'!G251</f>
        <v>0.35</v>
      </c>
      <c r="I95" s="71" t="s">
        <v>746</v>
      </c>
      <c r="J95" s="49"/>
      <c r="M95" s="1" t="s">
        <v>747</v>
      </c>
      <c r="AML95" s="1"/>
    </row>
    <row r="96" spans="1:13 1026:1026" x14ac:dyDescent="0.3">
      <c r="A96" s="547"/>
      <c r="B96" s="294" t="s">
        <v>721</v>
      </c>
      <c r="C96" s="399">
        <f>'A renseigner'!C252</f>
        <v>1</v>
      </c>
      <c r="D96" s="399">
        <f>'A renseigner'!D252</f>
        <v>1</v>
      </c>
      <c r="E96" s="399">
        <f>'A renseigner'!E252</f>
        <v>1</v>
      </c>
      <c r="F96" s="399">
        <f>'A renseigner'!F252</f>
        <v>1</v>
      </c>
      <c r="G96" s="400">
        <f>'A renseigner'!G252</f>
        <v>1</v>
      </c>
      <c r="I96" s="49"/>
      <c r="J96" s="49"/>
      <c r="K96" s="179"/>
      <c r="AML96" s="1"/>
    </row>
    <row r="97" spans="1:11 1026:1026" x14ac:dyDescent="0.3">
      <c r="A97" s="547"/>
      <c r="B97" s="296" t="s">
        <v>705</v>
      </c>
      <c r="C97" s="395">
        <f>'A renseigner'!C253</f>
        <v>0.28644564394135302</v>
      </c>
      <c r="D97" s="395">
        <f>'A renseigner'!D253</f>
        <v>0.28644564394135302</v>
      </c>
      <c r="E97" s="395">
        <f>'A renseigner'!E253</f>
        <v>0.25644564394135305</v>
      </c>
      <c r="F97" s="395">
        <f>'A renseigner'!F253</f>
        <v>0.17311231060801974</v>
      </c>
      <c r="G97" s="396">
        <f>'A renseigner'!G253</f>
        <v>0.15644564394135305</v>
      </c>
      <c r="I97" s="49"/>
      <c r="J97" s="49"/>
      <c r="AML97" s="1"/>
    </row>
    <row r="98" spans="1:11 1026:1026" x14ac:dyDescent="0.3">
      <c r="A98" s="547"/>
      <c r="B98" s="296" t="s">
        <v>441</v>
      </c>
      <c r="C98" s="395">
        <f>'A renseigner'!C254</f>
        <v>0.71355435605864703</v>
      </c>
      <c r="D98" s="395">
        <f>'A renseigner'!D254</f>
        <v>0.71355435605864703</v>
      </c>
      <c r="E98" s="395">
        <f>'A renseigner'!E254</f>
        <v>0.673554356058647</v>
      </c>
      <c r="F98" s="395">
        <f>'A renseigner'!F254</f>
        <v>0.27355435605864703</v>
      </c>
      <c r="G98" s="396">
        <f>'A renseigner'!G254</f>
        <v>0.14000000000000001</v>
      </c>
      <c r="I98" s="49"/>
      <c r="J98" s="49"/>
      <c r="AML98" s="1"/>
    </row>
    <row r="99" spans="1:11 1026:1026" x14ac:dyDescent="0.3">
      <c r="A99" s="547"/>
      <c r="B99" s="296" t="s">
        <v>736</v>
      </c>
      <c r="C99" s="395">
        <f>'A renseigner'!C255</f>
        <v>0</v>
      </c>
      <c r="D99" s="395">
        <f>'A renseigner'!D255</f>
        <v>0</v>
      </c>
      <c r="E99" s="395">
        <f>'A renseigner'!E255</f>
        <v>0.03</v>
      </c>
      <c r="F99" s="395">
        <f>'A renseigner'!F255</f>
        <v>8.8333333333333347E-2</v>
      </c>
      <c r="G99" s="396">
        <f>'A renseigner'!G255</f>
        <v>0.1</v>
      </c>
      <c r="I99" s="49"/>
      <c r="J99" s="49"/>
      <c r="AML99" s="1"/>
    </row>
    <row r="100" spans="1:11 1026:1026" x14ac:dyDescent="0.3">
      <c r="A100" s="547"/>
      <c r="B100" s="296" t="s">
        <v>737</v>
      </c>
      <c r="C100" s="395">
        <f>'A renseigner'!C256</f>
        <v>0</v>
      </c>
      <c r="D100" s="395">
        <f>'A renseigner'!D256</f>
        <v>0</v>
      </c>
      <c r="E100" s="395">
        <f>'A renseigner'!E256</f>
        <v>0.04</v>
      </c>
      <c r="F100" s="395">
        <f>'A renseigner'!F256</f>
        <v>0.13166666666666665</v>
      </c>
      <c r="G100" s="396">
        <f>'A renseigner'!G256</f>
        <v>0.20355435605864691</v>
      </c>
      <c r="I100" s="230"/>
      <c r="K100" s="179"/>
      <c r="AML100" s="1"/>
    </row>
    <row r="101" spans="1:11 1026:1026" x14ac:dyDescent="0.3">
      <c r="A101" s="547"/>
      <c r="B101" s="296" t="s">
        <v>447</v>
      </c>
      <c r="C101" s="395">
        <f>'A renseigner'!C257</f>
        <v>0</v>
      </c>
      <c r="D101" s="395">
        <f>'A renseigner'!D257</f>
        <v>0</v>
      </c>
      <c r="E101" s="395">
        <f>'A renseigner'!E257</f>
        <v>0</v>
      </c>
      <c r="F101" s="395">
        <f>'A renseigner'!F257</f>
        <v>0.33333333333333331</v>
      </c>
      <c r="G101" s="396">
        <f>'A renseigner'!G257</f>
        <v>0.4</v>
      </c>
      <c r="AML101" s="1"/>
    </row>
    <row r="102" spans="1:11 1026:1026" x14ac:dyDescent="0.3">
      <c r="A102" s="547"/>
      <c r="B102" s="294" t="s">
        <v>722</v>
      </c>
      <c r="C102" s="399">
        <f>'A renseigner'!C258</f>
        <v>0</v>
      </c>
      <c r="D102" s="399">
        <f>'A renseigner'!D258</f>
        <v>0</v>
      </c>
      <c r="E102" s="399">
        <f>'A renseigner'!E258</f>
        <v>0</v>
      </c>
      <c r="F102" s="399">
        <f>'A renseigner'!F258</f>
        <v>0</v>
      </c>
      <c r="G102" s="400">
        <f>'A renseigner'!G258</f>
        <v>0</v>
      </c>
      <c r="AML102" s="1"/>
    </row>
    <row r="103" spans="1:11 1026:1026" x14ac:dyDescent="0.3">
      <c r="A103" s="547"/>
      <c r="B103" s="296" t="s">
        <v>738</v>
      </c>
      <c r="C103" s="395">
        <f>'A renseigner'!C259</f>
        <v>1</v>
      </c>
      <c r="D103" s="395">
        <f>'A renseigner'!D259</f>
        <v>1</v>
      </c>
      <c r="E103" s="395">
        <f>'A renseigner'!E259</f>
        <v>0.9</v>
      </c>
      <c r="F103" s="395">
        <f>'A renseigner'!F259</f>
        <v>0.77</v>
      </c>
      <c r="G103" s="396">
        <f>'A renseigner'!G259</f>
        <v>0.6</v>
      </c>
      <c r="AML103" s="1"/>
    </row>
    <row r="104" spans="1:11 1026:1026" x14ac:dyDescent="0.3">
      <c r="A104" s="547"/>
      <c r="B104" s="296" t="s">
        <v>739</v>
      </c>
      <c r="C104" s="395">
        <f>'A renseigner'!C260</f>
        <v>0</v>
      </c>
      <c r="D104" s="395">
        <f>'A renseigner'!D260</f>
        <v>0</v>
      </c>
      <c r="E104" s="395">
        <f>'A renseigner'!E260</f>
        <v>0.05</v>
      </c>
      <c r="F104" s="395">
        <f>'A renseigner'!F260</f>
        <v>0.15</v>
      </c>
      <c r="G104" s="396">
        <f>'A renseigner'!G260</f>
        <v>0.3</v>
      </c>
      <c r="AML104" s="1"/>
    </row>
    <row r="105" spans="1:11 1026:1026" x14ac:dyDescent="0.3">
      <c r="A105" s="547"/>
      <c r="B105" s="296" t="s">
        <v>748</v>
      </c>
      <c r="C105" s="395">
        <f>'A renseigner'!C261</f>
        <v>0</v>
      </c>
      <c r="D105" s="395">
        <f>'A renseigner'!D261</f>
        <v>0</v>
      </c>
      <c r="E105" s="395">
        <f>'A renseigner'!E261</f>
        <v>0.05</v>
      </c>
      <c r="F105" s="395">
        <f>'A renseigner'!F261</f>
        <v>0.08</v>
      </c>
      <c r="G105" s="396">
        <f>'A renseigner'!G261</f>
        <v>0.1</v>
      </c>
      <c r="AML105" s="1"/>
    </row>
    <row r="106" spans="1:11 1026:1026" x14ac:dyDescent="0.3">
      <c r="A106" s="547"/>
      <c r="B106" s="294" t="s">
        <v>723</v>
      </c>
      <c r="C106" s="399">
        <f>'A renseigner'!C262</f>
        <v>0</v>
      </c>
      <c r="D106" s="399">
        <f>'A renseigner'!D262</f>
        <v>0</v>
      </c>
      <c r="E106" s="399">
        <f>'A renseigner'!E262</f>
        <v>0</v>
      </c>
      <c r="F106" s="399">
        <f>'A renseigner'!F262</f>
        <v>0</v>
      </c>
      <c r="G106" s="400">
        <f>'A renseigner'!G262</f>
        <v>0</v>
      </c>
      <c r="AML106" s="1"/>
    </row>
    <row r="107" spans="1:11 1026:1026" x14ac:dyDescent="0.3">
      <c r="A107" s="547"/>
      <c r="B107" s="296" t="s">
        <v>741</v>
      </c>
      <c r="C107" s="395">
        <f>'A renseigner'!C263</f>
        <v>1</v>
      </c>
      <c r="D107" s="395">
        <f>'A renseigner'!D263</f>
        <v>1</v>
      </c>
      <c r="E107" s="395">
        <f>'A renseigner'!E263</f>
        <v>1</v>
      </c>
      <c r="F107" s="395">
        <f>'A renseigner'!F263</f>
        <v>0.83333333333333337</v>
      </c>
      <c r="G107" s="396">
        <f>'A renseigner'!G263</f>
        <v>0.8</v>
      </c>
      <c r="AML107" s="1"/>
    </row>
    <row r="108" spans="1:11 1026:1026" x14ac:dyDescent="0.3">
      <c r="A108" s="547"/>
      <c r="B108" s="297" t="s">
        <v>742</v>
      </c>
      <c r="C108" s="403">
        <f>'A renseigner'!C264</f>
        <v>0</v>
      </c>
      <c r="D108" s="403">
        <f>'A renseigner'!D264</f>
        <v>0</v>
      </c>
      <c r="E108" s="403">
        <f>'A renseigner'!E264</f>
        <v>0</v>
      </c>
      <c r="F108" s="395">
        <f>'A renseigner'!F264</f>
        <v>0.16666666666666666</v>
      </c>
      <c r="G108" s="404">
        <f>'A renseigner'!G264</f>
        <v>0.2</v>
      </c>
      <c r="AML108" s="1"/>
    </row>
    <row r="109" spans="1:11 1026:1026" x14ac:dyDescent="0.3">
      <c r="A109" s="547"/>
    </row>
  </sheetData>
  <mergeCells count="8">
    <mergeCell ref="B78:E78"/>
    <mergeCell ref="C81:E81"/>
    <mergeCell ref="B2:M4"/>
    <mergeCell ref="B6:E6"/>
    <mergeCell ref="B21:E21"/>
    <mergeCell ref="B47:E47"/>
    <mergeCell ref="C49:E49"/>
    <mergeCell ref="B32:E32"/>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F5597"/>
  </sheetPr>
  <dimension ref="A2:AMK106"/>
  <sheetViews>
    <sheetView topLeftCell="L46" workbookViewId="0">
      <selection activeCell="Q53" sqref="Q53"/>
    </sheetView>
  </sheetViews>
  <sheetFormatPr baseColWidth="10" defaultColWidth="8.6640625" defaultRowHeight="14.4" x14ac:dyDescent="0.3"/>
  <cols>
    <col min="1" max="1" width="10.44140625" style="38" customWidth="1"/>
    <col min="2" max="2" width="39.6640625" style="38" customWidth="1"/>
    <col min="3" max="1025" width="10.44140625" style="38" customWidth="1"/>
  </cols>
  <sheetData>
    <row r="2" spans="2:22" x14ac:dyDescent="0.3">
      <c r="B2" s="38" t="s">
        <v>749</v>
      </c>
      <c r="C2" s="298">
        <v>1.2600000000000001E-3</v>
      </c>
      <c r="D2" s="38" t="s">
        <v>750</v>
      </c>
      <c r="O2" s="389" t="s">
        <v>845</v>
      </c>
      <c r="P2" s="376"/>
      <c r="Q2" s="376"/>
      <c r="R2" s="376"/>
      <c r="S2" s="376"/>
      <c r="T2" s="376"/>
    </row>
    <row r="4" spans="2:22" x14ac:dyDescent="0.3">
      <c r="B4" s="214"/>
      <c r="C4" s="1"/>
      <c r="D4" s="1"/>
      <c r="E4" s="1"/>
      <c r="F4" s="1"/>
      <c r="G4" s="1"/>
      <c r="H4" s="1"/>
      <c r="I4" s="1"/>
      <c r="J4" s="1"/>
      <c r="K4" s="1"/>
      <c r="L4" s="1"/>
      <c r="M4" s="1"/>
      <c r="N4" s="1"/>
      <c r="O4" s="1"/>
      <c r="P4" s="1"/>
      <c r="Q4" s="1"/>
      <c r="R4" s="1"/>
      <c r="S4" s="1"/>
      <c r="T4" s="1"/>
    </row>
    <row r="5" spans="2:22" x14ac:dyDescent="0.3">
      <c r="B5" s="657"/>
      <c r="C5" s="1"/>
      <c r="D5" s="700" t="s">
        <v>3</v>
      </c>
      <c r="E5" s="700"/>
      <c r="F5" s="700"/>
      <c r="G5" s="700"/>
      <c r="H5" s="700"/>
      <c r="I5" s="700"/>
      <c r="J5" s="1"/>
      <c r="K5" s="1"/>
      <c r="L5" s="1"/>
      <c r="M5" s="1"/>
      <c r="N5" s="547"/>
      <c r="O5" s="656" t="s">
        <v>4</v>
      </c>
      <c r="P5" s="656"/>
      <c r="Q5" s="656"/>
      <c r="R5" s="656"/>
      <c r="S5" s="656"/>
      <c r="T5" s="656"/>
    </row>
    <row r="6" spans="2:22" x14ac:dyDescent="0.3">
      <c r="B6" s="657"/>
      <c r="C6" s="1"/>
      <c r="D6" s="299">
        <v>2025</v>
      </c>
      <c r="E6" s="300">
        <v>2030</v>
      </c>
      <c r="F6" s="300">
        <v>2035</v>
      </c>
      <c r="G6" s="300">
        <v>2040</v>
      </c>
      <c r="H6" s="300">
        <v>2045</v>
      </c>
      <c r="I6" s="301">
        <v>2050</v>
      </c>
      <c r="J6" s="1"/>
      <c r="K6" s="1"/>
      <c r="L6" s="1"/>
      <c r="M6" s="1"/>
      <c r="N6" s="547"/>
      <c r="O6" s="300">
        <v>2025</v>
      </c>
      <c r="P6" s="300">
        <v>2030</v>
      </c>
      <c r="Q6" s="300">
        <v>2035</v>
      </c>
      <c r="R6" s="300">
        <v>2040</v>
      </c>
      <c r="S6" s="157">
        <v>2045</v>
      </c>
      <c r="T6" s="157">
        <v>2050</v>
      </c>
      <c r="U6" s="377"/>
    </row>
    <row r="7" spans="2:22" x14ac:dyDescent="0.3">
      <c r="B7" s="173" t="s">
        <v>24</v>
      </c>
      <c r="C7" s="1"/>
      <c r="D7" s="302">
        <v>0.5</v>
      </c>
      <c r="E7" s="303">
        <v>1.5</v>
      </c>
      <c r="F7" s="303">
        <v>2</v>
      </c>
      <c r="G7" s="303">
        <v>3</v>
      </c>
      <c r="H7" s="303">
        <v>4</v>
      </c>
      <c r="I7" s="304">
        <v>5</v>
      </c>
      <c r="J7" s="1"/>
      <c r="K7" s="1" t="s">
        <v>751</v>
      </c>
      <c r="L7" s="1"/>
      <c r="M7" s="1"/>
      <c r="N7" s="548" t="s">
        <v>862</v>
      </c>
      <c r="O7" s="379">
        <f>'A renseigner'!C278</f>
        <v>0</v>
      </c>
      <c r="P7" s="379">
        <f>'A renseigner'!D278</f>
        <v>3.25</v>
      </c>
      <c r="Q7" s="379">
        <f>'A renseigner'!E278</f>
        <v>3.25</v>
      </c>
      <c r="R7" s="379">
        <f>'A renseigner'!F278</f>
        <v>3.37</v>
      </c>
      <c r="S7" s="379">
        <f>'A renseigner'!G278</f>
        <v>3.37</v>
      </c>
      <c r="T7" s="379">
        <f>'A renseigner'!H278</f>
        <v>3.37</v>
      </c>
      <c r="U7" s="38" t="s">
        <v>859</v>
      </c>
    </row>
    <row r="8" spans="2:22" x14ac:dyDescent="0.3">
      <c r="B8" s="175" t="s">
        <v>752</v>
      </c>
      <c r="C8" s="1"/>
      <c r="D8" s="166">
        <f>E8</f>
        <v>0.03</v>
      </c>
      <c r="E8" s="166">
        <v>0.03</v>
      </c>
      <c r="F8" s="166">
        <f>(E8+G8)/2</f>
        <v>2.75E-2</v>
      </c>
      <c r="G8" s="166">
        <f>(E8+I8)/2</f>
        <v>2.5000000000000001E-2</v>
      </c>
      <c r="H8" s="166">
        <f>(G8+I8)/2</f>
        <v>2.2499999999999999E-2</v>
      </c>
      <c r="I8" s="166">
        <v>0.02</v>
      </c>
      <c r="J8" s="1"/>
      <c r="L8" s="1"/>
      <c r="M8" s="1"/>
      <c r="N8" s="547"/>
      <c r="O8" s="166">
        <f>'A renseigner'!C279</f>
        <v>7.0000000000000007E-2</v>
      </c>
      <c r="P8" s="166">
        <f>'A renseigner'!D279</f>
        <v>0.14000000000000001</v>
      </c>
      <c r="Q8" s="166">
        <f>'A renseigner'!E279</f>
        <v>0.29249999999999998</v>
      </c>
      <c r="R8" s="166">
        <f>'A renseigner'!F279</f>
        <v>0.44500000000000001</v>
      </c>
      <c r="S8" s="166">
        <f>'A renseigner'!G279</f>
        <v>0.59750000000000003</v>
      </c>
      <c r="T8" s="166">
        <f>'A renseigner'!H279</f>
        <v>0.75</v>
      </c>
      <c r="V8" s="38" t="s">
        <v>846</v>
      </c>
    </row>
    <row r="9" spans="2:22" x14ac:dyDescent="0.3">
      <c r="B9" s="175" t="s">
        <v>753</v>
      </c>
      <c r="C9" s="1"/>
      <c r="D9" s="166">
        <v>0</v>
      </c>
      <c r="E9" s="166">
        <v>0.15</v>
      </c>
      <c r="F9" s="166">
        <v>0.3</v>
      </c>
      <c r="G9" s="166">
        <v>0.45</v>
      </c>
      <c r="H9" s="166">
        <v>0.6</v>
      </c>
      <c r="I9" s="166">
        <v>0.75</v>
      </c>
      <c r="J9" s="1"/>
      <c r="L9" s="1"/>
      <c r="M9" s="1"/>
      <c r="N9" s="547"/>
      <c r="O9" s="380">
        <f>'A renseigner'!C280</f>
        <v>1</v>
      </c>
      <c r="P9" s="380">
        <f>'A renseigner'!D280</f>
        <v>0.9</v>
      </c>
      <c r="Q9" s="380">
        <f>'A renseigner'!E280</f>
        <v>0.82</v>
      </c>
      <c r="R9" s="380">
        <f>'A renseigner'!F280</f>
        <v>0.75</v>
      </c>
      <c r="S9" s="380">
        <f>'A renseigner'!G280</f>
        <v>0.68</v>
      </c>
      <c r="T9" s="380">
        <f>'A renseigner'!H280</f>
        <v>0.62</v>
      </c>
    </row>
    <row r="10" spans="2:22" x14ac:dyDescent="0.3">
      <c r="B10" s="175" t="s">
        <v>754</v>
      </c>
      <c r="C10" s="1"/>
      <c r="D10" s="166">
        <f t="shared" ref="D10:I10" si="0">1-D9</f>
        <v>1</v>
      </c>
      <c r="E10" s="166">
        <f t="shared" si="0"/>
        <v>0.85</v>
      </c>
      <c r="F10" s="166">
        <f t="shared" si="0"/>
        <v>0.7</v>
      </c>
      <c r="G10" s="166">
        <f t="shared" si="0"/>
        <v>0.55000000000000004</v>
      </c>
      <c r="H10" s="166">
        <f t="shared" si="0"/>
        <v>0.4</v>
      </c>
      <c r="I10" s="166">
        <f t="shared" si="0"/>
        <v>0.25</v>
      </c>
      <c r="J10" s="1"/>
      <c r="K10" s="1"/>
      <c r="L10" s="1"/>
      <c r="M10" s="1"/>
      <c r="N10" s="547"/>
      <c r="O10" s="380">
        <f>'A renseigner'!C281</f>
        <v>0</v>
      </c>
      <c r="P10" s="380">
        <f>'A renseigner'!D281</f>
        <v>9.9999999999999978E-2</v>
      </c>
      <c r="Q10" s="380">
        <f>'A renseigner'!E281</f>
        <v>0.18000000000000005</v>
      </c>
      <c r="R10" s="380">
        <f>'A renseigner'!F281</f>
        <v>0.25</v>
      </c>
      <c r="S10" s="380">
        <f>'A renseigner'!G281</f>
        <v>0.31999999999999995</v>
      </c>
      <c r="T10" s="380">
        <f>'A renseigner'!H281</f>
        <v>0.38</v>
      </c>
      <c r="U10" s="377"/>
    </row>
    <row r="11" spans="2:22" x14ac:dyDescent="0.3">
      <c r="B11" s="173" t="s">
        <v>25</v>
      </c>
      <c r="C11" s="1"/>
      <c r="D11" s="302">
        <v>0</v>
      </c>
      <c r="E11" s="303">
        <v>0.2</v>
      </c>
      <c r="F11" s="303">
        <v>2</v>
      </c>
      <c r="G11" s="303">
        <v>2.25</v>
      </c>
      <c r="H11" s="303">
        <v>2.5</v>
      </c>
      <c r="I11" s="304">
        <v>2.75</v>
      </c>
      <c r="J11" s="1"/>
      <c r="K11" s="1" t="s">
        <v>755</v>
      </c>
      <c r="L11" s="1"/>
      <c r="M11" s="1"/>
      <c r="N11" s="548" t="s">
        <v>862</v>
      </c>
      <c r="O11" s="379">
        <f>'A renseigner'!C282</f>
        <v>0</v>
      </c>
      <c r="P11" s="379">
        <f>'A renseigner'!D282</f>
        <v>2.15</v>
      </c>
      <c r="Q11" s="379">
        <f>'A renseigner'!E282</f>
        <v>3.8</v>
      </c>
      <c r="R11" s="379">
        <f>'A renseigner'!F282</f>
        <v>6</v>
      </c>
      <c r="S11" s="379">
        <f>'A renseigner'!G282</f>
        <v>6.5</v>
      </c>
      <c r="T11" s="379">
        <f>'A renseigner'!H282</f>
        <v>7</v>
      </c>
      <c r="U11" s="377"/>
      <c r="V11" s="38" t="s">
        <v>756</v>
      </c>
    </row>
    <row r="12" spans="2:22" x14ac:dyDescent="0.3">
      <c r="B12" s="175" t="s">
        <v>752</v>
      </c>
      <c r="C12" s="1"/>
      <c r="D12" s="166">
        <f>E12</f>
        <v>0.03</v>
      </c>
      <c r="E12" s="166">
        <v>0.03</v>
      </c>
      <c r="F12" s="166">
        <f>(E12+G12)/2</f>
        <v>0.03</v>
      </c>
      <c r="G12" s="166">
        <f>(E12+I12)/2</f>
        <v>0.03</v>
      </c>
      <c r="H12" s="166">
        <f>(G12+I12)/2</f>
        <v>0.03</v>
      </c>
      <c r="I12" s="166">
        <v>0.03</v>
      </c>
      <c r="J12" s="1"/>
      <c r="K12" s="38" t="s">
        <v>757</v>
      </c>
      <c r="L12" s="1"/>
      <c r="M12" s="1"/>
      <c r="N12" s="547"/>
      <c r="O12" s="166">
        <f>'A renseigner'!C283</f>
        <v>0.1</v>
      </c>
      <c r="P12" s="166">
        <f>'A renseigner'!D283</f>
        <v>0.22</v>
      </c>
      <c r="Q12" s="166">
        <f>'A renseigner'!E283</f>
        <v>0.29075000000000001</v>
      </c>
      <c r="R12" s="166">
        <f>'A renseigner'!F283</f>
        <v>0.36149999999999999</v>
      </c>
      <c r="S12" s="166">
        <f>'A renseigner'!G283</f>
        <v>0.43225000000000002</v>
      </c>
      <c r="T12" s="166">
        <f>'A renseigner'!H283</f>
        <v>0.503</v>
      </c>
      <c r="V12" s="1" t="s">
        <v>847</v>
      </c>
    </row>
    <row r="13" spans="2:22" x14ac:dyDescent="0.3">
      <c r="B13" s="175" t="s">
        <v>753</v>
      </c>
      <c r="C13" s="1"/>
      <c r="D13" s="166">
        <v>0.8</v>
      </c>
      <c r="E13" s="166">
        <v>0.8</v>
      </c>
      <c r="F13" s="166">
        <v>0.7</v>
      </c>
      <c r="G13" s="166">
        <v>0.66</v>
      </c>
      <c r="H13" s="166">
        <v>0.6</v>
      </c>
      <c r="I13" s="166">
        <v>0.6</v>
      </c>
      <c r="J13" s="1"/>
      <c r="K13" s="1" t="s">
        <v>758</v>
      </c>
      <c r="L13" s="1"/>
      <c r="M13" s="1"/>
      <c r="N13" s="547"/>
      <c r="O13" s="380">
        <f>'A renseigner'!C284</f>
        <v>1</v>
      </c>
      <c r="P13" s="380">
        <f>'A renseigner'!D284</f>
        <v>0.9</v>
      </c>
      <c r="Q13" s="380">
        <f>'A renseigner'!E284</f>
        <v>0.82</v>
      </c>
      <c r="R13" s="380">
        <f>'A renseigner'!F284</f>
        <v>0.75</v>
      </c>
      <c r="S13" s="380">
        <f>'A renseigner'!G284</f>
        <v>0.68</v>
      </c>
      <c r="T13" s="380">
        <f>'A renseigner'!H284</f>
        <v>0.64</v>
      </c>
    </row>
    <row r="14" spans="2:22" x14ac:dyDescent="0.3">
      <c r="B14" s="175" t="s">
        <v>754</v>
      </c>
      <c r="C14" s="1"/>
      <c r="D14" s="166">
        <f t="shared" ref="D14:I14" si="1">1-D13</f>
        <v>0.19999999999999996</v>
      </c>
      <c r="E14" s="166">
        <f t="shared" si="1"/>
        <v>0.19999999999999996</v>
      </c>
      <c r="F14" s="166">
        <f t="shared" si="1"/>
        <v>0.30000000000000004</v>
      </c>
      <c r="G14" s="166">
        <f t="shared" si="1"/>
        <v>0.33999999999999997</v>
      </c>
      <c r="H14" s="166">
        <f t="shared" si="1"/>
        <v>0.4</v>
      </c>
      <c r="I14" s="166">
        <f t="shared" si="1"/>
        <v>0.4</v>
      </c>
      <c r="J14" s="1"/>
      <c r="K14" s="1"/>
      <c r="L14" s="1"/>
      <c r="M14" s="1"/>
      <c r="N14" s="547"/>
      <c r="O14" s="380">
        <f>'A renseigner'!C285</f>
        <v>0</v>
      </c>
      <c r="P14" s="380">
        <f>'A renseigner'!D285</f>
        <v>9.9999999999999978E-2</v>
      </c>
      <c r="Q14" s="380">
        <f>'A renseigner'!E285</f>
        <v>0.18000000000000005</v>
      </c>
      <c r="R14" s="380">
        <f>'A renseigner'!F285</f>
        <v>0.25</v>
      </c>
      <c r="S14" s="380">
        <f>'A renseigner'!G285</f>
        <v>0.31999999999999995</v>
      </c>
      <c r="T14" s="380">
        <f>'A renseigner'!H285</f>
        <v>0.36</v>
      </c>
      <c r="U14" s="377"/>
    </row>
    <row r="15" spans="2:22" x14ac:dyDescent="0.3">
      <c r="B15" s="173" t="s">
        <v>479</v>
      </c>
      <c r="C15" s="1"/>
      <c r="D15" s="302">
        <v>0.5</v>
      </c>
      <c r="E15" s="302">
        <v>1.5</v>
      </c>
      <c r="F15" s="302">
        <v>2</v>
      </c>
      <c r="G15" s="302">
        <v>2.5</v>
      </c>
      <c r="H15" s="302">
        <v>3</v>
      </c>
      <c r="I15" s="302">
        <v>3</v>
      </c>
      <c r="J15" s="1"/>
      <c r="K15" s="1" t="s">
        <v>759</v>
      </c>
      <c r="L15" s="1"/>
      <c r="M15" s="1"/>
      <c r="N15" s="548" t="s">
        <v>862</v>
      </c>
      <c r="O15" s="379">
        <f>'A renseigner'!C286</f>
        <v>0</v>
      </c>
      <c r="P15" s="379">
        <f>'A renseigner'!D286</f>
        <v>1.2</v>
      </c>
      <c r="Q15" s="379">
        <f>'A renseigner'!E286</f>
        <v>5</v>
      </c>
      <c r="R15" s="379">
        <f>'A renseigner'!F286</f>
        <v>5.5</v>
      </c>
      <c r="S15" s="379">
        <f>'A renseigner'!G286</f>
        <v>6</v>
      </c>
      <c r="T15" s="379">
        <f>'A renseigner'!H286</f>
        <v>7</v>
      </c>
      <c r="U15" s="38" t="s">
        <v>856</v>
      </c>
      <c r="V15" s="38" t="s">
        <v>760</v>
      </c>
    </row>
    <row r="16" spans="2:22" x14ac:dyDescent="0.3">
      <c r="B16" s="175" t="s">
        <v>752</v>
      </c>
      <c r="C16" s="1"/>
      <c r="D16" s="166">
        <f>E16</f>
        <v>0.15</v>
      </c>
      <c r="E16" s="166">
        <v>0.15</v>
      </c>
      <c r="F16" s="166">
        <f>(E16+G16)/2</f>
        <v>0.14500000000000002</v>
      </c>
      <c r="G16" s="166">
        <f>(E16+I16)/2</f>
        <v>0.14000000000000001</v>
      </c>
      <c r="H16" s="166">
        <f>(G16+I16)/2</f>
        <v>0.13500000000000001</v>
      </c>
      <c r="I16" s="166">
        <v>0.13</v>
      </c>
      <c r="J16" s="1"/>
      <c r="K16" s="38" t="s">
        <v>757</v>
      </c>
      <c r="L16" s="1"/>
      <c r="M16" s="1"/>
      <c r="N16" s="547"/>
      <c r="O16" s="166">
        <f>'A renseigner'!C287</f>
        <v>0.12</v>
      </c>
      <c r="P16" s="166">
        <f>'A renseigner'!D287</f>
        <v>0.19</v>
      </c>
      <c r="Q16" s="166">
        <f>'A renseigner'!E287</f>
        <v>0.255</v>
      </c>
      <c r="R16" s="166">
        <f>'A renseigner'!F287</f>
        <v>0.32</v>
      </c>
      <c r="S16" s="166">
        <f>'A renseigner'!G287</f>
        <v>0.38500000000000001</v>
      </c>
      <c r="T16" s="166">
        <f>'A renseigner'!H287</f>
        <v>0.45</v>
      </c>
      <c r="V16" s="1" t="s">
        <v>848</v>
      </c>
    </row>
    <row r="17" spans="2:22" x14ac:dyDescent="0.3">
      <c r="B17" s="175" t="s">
        <v>753</v>
      </c>
      <c r="C17" s="1"/>
      <c r="D17" s="166">
        <v>0.8</v>
      </c>
      <c r="E17" s="166">
        <v>0.8</v>
      </c>
      <c r="F17" s="166">
        <v>0.75</v>
      </c>
      <c r="G17" s="166">
        <v>0.7</v>
      </c>
      <c r="H17" s="166">
        <v>0.65</v>
      </c>
      <c r="I17" s="166">
        <v>0.6</v>
      </c>
      <c r="J17" s="1"/>
      <c r="K17" s="1"/>
      <c r="L17" s="1"/>
      <c r="M17" s="1"/>
      <c r="N17" s="547"/>
      <c r="O17" s="380">
        <f>'A renseigner'!C288</f>
        <v>1</v>
      </c>
      <c r="P17" s="380">
        <f>'A renseigner'!D288</f>
        <v>0.9</v>
      </c>
      <c r="Q17" s="380">
        <f>'A renseigner'!E288</f>
        <v>0.9</v>
      </c>
      <c r="R17" s="380">
        <f>'A renseigner'!F288</f>
        <v>0.8</v>
      </c>
      <c r="S17" s="380">
        <f>'A renseigner'!G288</f>
        <v>0.8</v>
      </c>
      <c r="T17" s="380">
        <f>'A renseigner'!H288</f>
        <v>0.8</v>
      </c>
    </row>
    <row r="18" spans="2:22" x14ac:dyDescent="0.3">
      <c r="B18" s="175" t="s">
        <v>754</v>
      </c>
      <c r="C18" s="1"/>
      <c r="D18" s="166">
        <f t="shared" ref="D18:I18" si="2">1-D17</f>
        <v>0.19999999999999996</v>
      </c>
      <c r="E18" s="166">
        <f t="shared" si="2"/>
        <v>0.19999999999999996</v>
      </c>
      <c r="F18" s="166">
        <f t="shared" si="2"/>
        <v>0.25</v>
      </c>
      <c r="G18" s="166">
        <f t="shared" si="2"/>
        <v>0.30000000000000004</v>
      </c>
      <c r="H18" s="166">
        <f t="shared" si="2"/>
        <v>0.35</v>
      </c>
      <c r="I18" s="166">
        <f t="shared" si="2"/>
        <v>0.4</v>
      </c>
      <c r="J18" s="1"/>
      <c r="K18" s="1"/>
      <c r="L18" s="1"/>
      <c r="M18" s="1"/>
      <c r="N18" s="547"/>
      <c r="O18" s="380">
        <f>'A renseigner'!C289</f>
        <v>0</v>
      </c>
      <c r="P18" s="380">
        <f>'A renseigner'!D289</f>
        <v>9.9999999999999978E-2</v>
      </c>
      <c r="Q18" s="380">
        <f>'A renseigner'!E289</f>
        <v>9.9999999999999978E-2</v>
      </c>
      <c r="R18" s="380">
        <f>'A renseigner'!F289</f>
        <v>0.19999999999999996</v>
      </c>
      <c r="S18" s="380">
        <f>'A renseigner'!G289</f>
        <v>0.19999999999999996</v>
      </c>
      <c r="T18" s="380">
        <f>'A renseigner'!H289</f>
        <v>0.19999999999999996</v>
      </c>
    </row>
    <row r="19" spans="2:22" x14ac:dyDescent="0.3">
      <c r="B19" s="173" t="s">
        <v>553</v>
      </c>
      <c r="C19" s="1"/>
      <c r="D19" s="302">
        <v>0</v>
      </c>
      <c r="E19" s="303">
        <v>0</v>
      </c>
      <c r="F19" s="303">
        <v>0</v>
      </c>
      <c r="G19" s="303">
        <v>0</v>
      </c>
      <c r="H19" s="303">
        <v>0</v>
      </c>
      <c r="I19" s="304">
        <v>0</v>
      </c>
      <c r="J19" s="1"/>
      <c r="K19" s="1"/>
      <c r="L19" s="1"/>
      <c r="M19" s="1"/>
      <c r="N19" s="547"/>
      <c r="O19" s="303">
        <f>'A renseigner'!C290</f>
        <v>0</v>
      </c>
      <c r="P19" s="303">
        <f>'A renseigner'!D290</f>
        <v>0</v>
      </c>
      <c r="Q19" s="303">
        <f>'A renseigner'!E290</f>
        <v>0</v>
      </c>
      <c r="R19" s="383">
        <f>'A renseigner'!F290</f>
        <v>0</v>
      </c>
      <c r="S19" s="383">
        <f>'A renseigner'!G290</f>
        <v>1.5</v>
      </c>
      <c r="T19" s="383">
        <f>'A renseigner'!H290</f>
        <v>2.5</v>
      </c>
      <c r="U19" s="38" t="s">
        <v>849</v>
      </c>
      <c r="V19" s="38" t="s">
        <v>761</v>
      </c>
    </row>
    <row r="20" spans="2:22" x14ac:dyDescent="0.3">
      <c r="B20" s="175" t="s">
        <v>752</v>
      </c>
      <c r="C20" s="1"/>
      <c r="D20" s="166">
        <f>E20</f>
        <v>0.19</v>
      </c>
      <c r="E20" s="166">
        <v>0.19</v>
      </c>
      <c r="F20" s="166">
        <f>(E20+G20)/2</f>
        <v>0.22</v>
      </c>
      <c r="G20" s="166">
        <f>(E20+I20)/2</f>
        <v>0.25</v>
      </c>
      <c r="H20" s="166">
        <f>(G20+I20)/2</f>
        <v>0.28000000000000003</v>
      </c>
      <c r="I20" s="166">
        <v>0.31</v>
      </c>
      <c r="J20" s="1"/>
      <c r="K20" s="38" t="s">
        <v>757</v>
      </c>
      <c r="L20" s="1"/>
      <c r="M20" s="1"/>
      <c r="N20" s="547"/>
      <c r="O20" s="382">
        <f>'A renseigner'!C291</f>
        <v>0.25</v>
      </c>
      <c r="P20" s="382">
        <f>'A renseigner'!D291</f>
        <v>0.45</v>
      </c>
      <c r="Q20" s="382">
        <f>'A renseigner'!E291</f>
        <v>0.58750000000000002</v>
      </c>
      <c r="R20" s="382">
        <f>'A renseigner'!F291</f>
        <v>0.72499999999999998</v>
      </c>
      <c r="S20" s="382">
        <f>'A renseigner'!G291</f>
        <v>0.86250000000000004</v>
      </c>
      <c r="T20" s="382">
        <f>'A renseigner'!H291</f>
        <v>1</v>
      </c>
      <c r="V20" s="1" t="s">
        <v>850</v>
      </c>
    </row>
    <row r="21" spans="2:22" x14ac:dyDescent="0.3">
      <c r="B21" s="175" t="s">
        <v>753</v>
      </c>
      <c r="C21" s="1"/>
      <c r="D21" s="166">
        <v>0.8</v>
      </c>
      <c r="E21" s="166">
        <v>0.8</v>
      </c>
      <c r="F21" s="166">
        <v>0.75</v>
      </c>
      <c r="G21" s="166">
        <v>0.7</v>
      </c>
      <c r="H21" s="166">
        <v>0.65</v>
      </c>
      <c r="I21" s="166">
        <v>0.6</v>
      </c>
      <c r="J21" s="1"/>
      <c r="K21" s="1"/>
      <c r="L21" s="1"/>
      <c r="M21" s="1"/>
      <c r="N21" s="547"/>
      <c r="O21" s="381">
        <f>'A renseigner'!C292</f>
        <v>1</v>
      </c>
      <c r="P21" s="381">
        <f>'A renseigner'!D292</f>
        <v>0.9</v>
      </c>
      <c r="Q21" s="381">
        <f>'A renseigner'!E292</f>
        <v>0.9</v>
      </c>
      <c r="R21" s="381">
        <f>'A renseigner'!F292</f>
        <v>0.8</v>
      </c>
      <c r="S21" s="381">
        <f>'A renseigner'!G292</f>
        <v>0.8</v>
      </c>
      <c r="T21" s="381">
        <f>'A renseigner'!H292</f>
        <v>0.7</v>
      </c>
      <c r="U21" s="38" t="s">
        <v>851</v>
      </c>
    </row>
    <row r="22" spans="2:22" x14ac:dyDescent="0.3">
      <c r="B22" s="175" t="s">
        <v>754</v>
      </c>
      <c r="C22" s="1"/>
      <c r="D22" s="166">
        <f t="shared" ref="D22:I22" si="3">1-D21</f>
        <v>0.19999999999999996</v>
      </c>
      <c r="E22" s="166">
        <f t="shared" si="3"/>
        <v>0.19999999999999996</v>
      </c>
      <c r="F22" s="166">
        <f t="shared" si="3"/>
        <v>0.25</v>
      </c>
      <c r="G22" s="166">
        <f t="shared" si="3"/>
        <v>0.30000000000000004</v>
      </c>
      <c r="H22" s="166">
        <f t="shared" si="3"/>
        <v>0.35</v>
      </c>
      <c r="I22" s="166">
        <f t="shared" si="3"/>
        <v>0.4</v>
      </c>
      <c r="J22" s="1"/>
      <c r="K22" s="1"/>
      <c r="L22" s="1"/>
      <c r="M22" s="1"/>
      <c r="N22" s="547"/>
      <c r="O22" s="381">
        <f>'A renseigner'!C293</f>
        <v>0</v>
      </c>
      <c r="P22" s="381">
        <f>'A renseigner'!D293</f>
        <v>9.9999999999999978E-2</v>
      </c>
      <c r="Q22" s="381">
        <f>'A renseigner'!E293</f>
        <v>9.9999999999999978E-2</v>
      </c>
      <c r="R22" s="381">
        <f>'A renseigner'!F293</f>
        <v>0.19999999999999996</v>
      </c>
      <c r="S22" s="381">
        <f>'A renseigner'!G293</f>
        <v>0.19999999999999996</v>
      </c>
      <c r="T22" s="381">
        <f>'A renseigner'!H293</f>
        <v>0.30000000000000004</v>
      </c>
    </row>
    <row r="23" spans="2:22" x14ac:dyDescent="0.3">
      <c r="B23" s="173" t="s">
        <v>486</v>
      </c>
      <c r="C23" s="1"/>
      <c r="D23" s="166"/>
      <c r="E23" s="166"/>
      <c r="F23" s="166"/>
      <c r="G23" s="166"/>
      <c r="H23" s="166"/>
      <c r="I23" s="166"/>
      <c r="J23" s="1"/>
      <c r="K23" s="1"/>
      <c r="L23" s="1"/>
      <c r="M23" s="1"/>
      <c r="N23" s="547"/>
      <c r="O23" s="166">
        <f>'A renseigner'!C294</f>
        <v>0</v>
      </c>
      <c r="P23" s="166">
        <f>'A renseigner'!D294</f>
        <v>0</v>
      </c>
      <c r="Q23" s="166">
        <f>'A renseigner'!E294</f>
        <v>0</v>
      </c>
      <c r="R23" s="166">
        <f>'A renseigner'!F294</f>
        <v>0</v>
      </c>
      <c r="S23" s="166">
        <f>'A renseigner'!G294</f>
        <v>0</v>
      </c>
      <c r="T23" s="166">
        <f>'A renseigner'!H294</f>
        <v>0</v>
      </c>
    </row>
    <row r="24" spans="2:22" x14ac:dyDescent="0.3">
      <c r="B24" s="173" t="s">
        <v>31</v>
      </c>
      <c r="C24" s="1"/>
      <c r="D24" s="166"/>
      <c r="E24" s="166"/>
      <c r="F24" s="166"/>
      <c r="G24" s="166"/>
      <c r="H24" s="166"/>
      <c r="I24" s="166"/>
      <c r="J24" s="1"/>
      <c r="K24" s="1"/>
      <c r="L24" s="1"/>
      <c r="M24" s="1"/>
      <c r="N24" s="547"/>
      <c r="O24" s="166">
        <f>'A renseigner'!C295</f>
        <v>0</v>
      </c>
      <c r="P24" s="166">
        <f>'A renseigner'!D295</f>
        <v>0</v>
      </c>
      <c r="Q24" s="166">
        <f>'A renseigner'!E295</f>
        <v>0</v>
      </c>
      <c r="R24" s="166">
        <f>'A renseigner'!F295</f>
        <v>0</v>
      </c>
      <c r="S24" s="166">
        <f>'A renseigner'!G295</f>
        <v>0</v>
      </c>
      <c r="T24" s="166">
        <f>'A renseigner'!H295</f>
        <v>0</v>
      </c>
    </row>
    <row r="25" spans="2:22" x14ac:dyDescent="0.3">
      <c r="B25" s="173" t="s">
        <v>487</v>
      </c>
      <c r="C25" s="1"/>
      <c r="D25" s="302">
        <v>0</v>
      </c>
      <c r="E25" s="303">
        <v>0</v>
      </c>
      <c r="F25" s="303">
        <v>0</v>
      </c>
      <c r="G25" s="303">
        <v>0</v>
      </c>
      <c r="H25" s="303">
        <v>0</v>
      </c>
      <c r="I25" s="304">
        <v>0</v>
      </c>
      <c r="J25" s="1"/>
      <c r="K25" s="1"/>
      <c r="L25" s="1"/>
      <c r="M25" s="1"/>
      <c r="N25" s="547"/>
      <c r="O25" s="303">
        <f>'A renseigner'!C296</f>
        <v>0</v>
      </c>
      <c r="P25" s="303">
        <f>'A renseigner'!D296</f>
        <v>0</v>
      </c>
      <c r="Q25" s="303">
        <f>'A renseigner'!E296</f>
        <v>0.5</v>
      </c>
      <c r="R25" s="303">
        <f>'A renseigner'!F296</f>
        <v>1</v>
      </c>
      <c r="S25" s="383">
        <f>'A renseigner'!G296</f>
        <v>2</v>
      </c>
      <c r="T25" s="383">
        <f>'A renseigner'!H296</f>
        <v>3</v>
      </c>
    </row>
    <row r="26" spans="2:22" x14ac:dyDescent="0.3">
      <c r="B26" s="175" t="s">
        <v>752</v>
      </c>
      <c r="C26" s="1"/>
      <c r="D26" s="166">
        <f>E26</f>
        <v>0.61</v>
      </c>
      <c r="E26" s="166">
        <v>0.61</v>
      </c>
      <c r="F26" s="166">
        <f>(E26+G26)/2</f>
        <v>0.60499999999999998</v>
      </c>
      <c r="G26" s="166">
        <f>(E26+I26)/2</f>
        <v>0.6</v>
      </c>
      <c r="H26" s="166">
        <f>(G26+I26)/2</f>
        <v>0.59499999999999997</v>
      </c>
      <c r="I26" s="166">
        <v>0.59</v>
      </c>
      <c r="J26" s="1"/>
      <c r="K26" s="38" t="s">
        <v>757</v>
      </c>
      <c r="L26" s="1"/>
      <c r="M26" s="1"/>
      <c r="N26" s="547"/>
      <c r="O26" s="166">
        <f>'A renseigner'!C297</f>
        <v>0.55000000000000004</v>
      </c>
      <c r="P26" s="166">
        <f>'A renseigner'!D297</f>
        <v>0.67</v>
      </c>
      <c r="Q26" s="166">
        <f>'A renseigner'!E297</f>
        <v>0.75249999999999995</v>
      </c>
      <c r="R26" s="166">
        <f>'A renseigner'!F297</f>
        <v>0.83499999999999996</v>
      </c>
      <c r="S26" s="166">
        <f>'A renseigner'!G297</f>
        <v>0.91749999999999998</v>
      </c>
      <c r="T26" s="166">
        <f>'A renseigner'!H297</f>
        <v>1</v>
      </c>
      <c r="V26" s="1" t="s">
        <v>852</v>
      </c>
    </row>
    <row r="27" spans="2:22" x14ac:dyDescent="0.3">
      <c r="B27" s="175" t="s">
        <v>753</v>
      </c>
      <c r="C27" s="1"/>
      <c r="D27" s="166">
        <v>0.8</v>
      </c>
      <c r="E27" s="166">
        <v>0.8</v>
      </c>
      <c r="F27" s="166">
        <v>0.75</v>
      </c>
      <c r="G27" s="166">
        <v>0.7</v>
      </c>
      <c r="H27" s="166">
        <v>0.65</v>
      </c>
      <c r="I27" s="166">
        <v>0.6</v>
      </c>
      <c r="J27" s="1"/>
      <c r="K27" s="1"/>
      <c r="L27" s="1"/>
      <c r="M27" s="1"/>
      <c r="N27" s="547"/>
      <c r="O27" s="166">
        <f>'A renseigner'!C298</f>
        <v>0.5</v>
      </c>
      <c r="P27" s="166">
        <f>'A renseigner'!D298</f>
        <v>0.5</v>
      </c>
      <c r="Q27" s="166">
        <f>'A renseigner'!E298</f>
        <v>0.5</v>
      </c>
      <c r="R27" s="166">
        <f>'A renseigner'!F298</f>
        <v>0.5</v>
      </c>
      <c r="S27" s="166">
        <f>'A renseigner'!G298</f>
        <v>0.5</v>
      </c>
      <c r="T27" s="166">
        <f>'A renseigner'!H298</f>
        <v>0.5</v>
      </c>
    </row>
    <row r="28" spans="2:22" x14ac:dyDescent="0.3">
      <c r="B28" s="175" t="s">
        <v>754</v>
      </c>
      <c r="C28" s="1"/>
      <c r="D28" s="166">
        <f t="shared" ref="D28:I28" si="4">1-D27</f>
        <v>0.19999999999999996</v>
      </c>
      <c r="E28" s="166">
        <f t="shared" si="4"/>
        <v>0.19999999999999996</v>
      </c>
      <c r="F28" s="166">
        <f t="shared" si="4"/>
        <v>0.25</v>
      </c>
      <c r="G28" s="166">
        <f t="shared" si="4"/>
        <v>0.30000000000000004</v>
      </c>
      <c r="H28" s="166">
        <f t="shared" si="4"/>
        <v>0.35</v>
      </c>
      <c r="I28" s="166">
        <f t="shared" si="4"/>
        <v>0.4</v>
      </c>
      <c r="J28" s="1"/>
      <c r="K28" s="1"/>
      <c r="L28" s="1"/>
      <c r="M28" s="1"/>
      <c r="N28" s="547"/>
      <c r="O28" s="166">
        <f>'A renseigner'!C299</f>
        <v>0.5</v>
      </c>
      <c r="P28" s="166">
        <f>'A renseigner'!D299</f>
        <v>0.5</v>
      </c>
      <c r="Q28" s="166">
        <f>'A renseigner'!E299</f>
        <v>0.5</v>
      </c>
      <c r="R28" s="166">
        <f>'A renseigner'!F299</f>
        <v>0.5</v>
      </c>
      <c r="S28" s="166">
        <f>'A renseigner'!G299</f>
        <v>0.5</v>
      </c>
      <c r="T28" s="166">
        <f>'A renseigner'!H299</f>
        <v>0.5</v>
      </c>
    </row>
    <row r="29" spans="2:22" x14ac:dyDescent="0.3">
      <c r="B29" s="305" t="s">
        <v>762</v>
      </c>
      <c r="C29" s="1"/>
      <c r="D29" s="306">
        <f t="shared" ref="D29:I29" si="5">D25+D19+D15+D11+D7</f>
        <v>1</v>
      </c>
      <c r="E29" s="306">
        <f t="shared" si="5"/>
        <v>3.2</v>
      </c>
      <c r="F29" s="306">
        <f t="shared" si="5"/>
        <v>6</v>
      </c>
      <c r="G29" s="306">
        <f t="shared" si="5"/>
        <v>7.75</v>
      </c>
      <c r="H29" s="306">
        <f t="shared" si="5"/>
        <v>9.5</v>
      </c>
      <c r="I29" s="306">
        <f t="shared" si="5"/>
        <v>10.75</v>
      </c>
      <c r="J29" s="1"/>
      <c r="K29" s="1"/>
      <c r="L29" s="1"/>
      <c r="M29" s="1"/>
      <c r="N29" s="547"/>
      <c r="O29" s="307">
        <f>'A renseigner'!C300</f>
        <v>0</v>
      </c>
      <c r="P29" s="307">
        <f>'A renseigner'!D300</f>
        <v>6.6</v>
      </c>
      <c r="Q29" s="307">
        <f>'A renseigner'!E300</f>
        <v>12.55</v>
      </c>
      <c r="R29" s="307">
        <f>'A renseigner'!F300</f>
        <v>15.870000000000001</v>
      </c>
      <c r="S29" s="307">
        <f>'A renseigner'!G300</f>
        <v>19.37</v>
      </c>
      <c r="T29" s="307">
        <f>'A renseigner'!H300</f>
        <v>22.87</v>
      </c>
    </row>
    <row r="30" spans="2:22" x14ac:dyDescent="0.3">
      <c r="B30" s="1"/>
      <c r="C30" s="1"/>
      <c r="D30" s="1"/>
      <c r="E30" s="1"/>
      <c r="F30" s="1"/>
      <c r="G30" s="1"/>
      <c r="H30" s="1"/>
      <c r="I30" s="1"/>
      <c r="J30" s="1"/>
      <c r="K30" s="1"/>
      <c r="L30" s="1"/>
      <c r="M30" s="1"/>
      <c r="N30" s="547"/>
      <c r="O30" s="1">
        <f>'A renseigner'!C301</f>
        <v>0</v>
      </c>
      <c r="P30" s="1">
        <f>'A renseigner'!D301</f>
        <v>0</v>
      </c>
      <c r="Q30" s="1">
        <f>'A renseigner'!E301</f>
        <v>0</v>
      </c>
      <c r="R30" s="1">
        <f>'A renseigner'!F301</f>
        <v>0</v>
      </c>
      <c r="S30" s="1">
        <f>'A renseigner'!G301</f>
        <v>0</v>
      </c>
      <c r="T30" s="1">
        <f>'A renseigner'!H301</f>
        <v>0</v>
      </c>
    </row>
    <row r="31" spans="2:22" x14ac:dyDescent="0.3">
      <c r="B31" s="173" t="s">
        <v>763</v>
      </c>
      <c r="C31" s="1"/>
      <c r="D31" s="1"/>
      <c r="E31" s="1"/>
      <c r="F31" s="1"/>
      <c r="G31" s="1"/>
      <c r="H31" s="1"/>
      <c r="I31" s="1"/>
      <c r="J31" s="1"/>
      <c r="K31" s="1"/>
      <c r="L31" s="1"/>
      <c r="M31" s="1"/>
      <c r="N31" s="547"/>
      <c r="O31" s="1">
        <f>'A renseigner'!C302</f>
        <v>0</v>
      </c>
      <c r="P31" s="1">
        <f>'A renseigner'!D302</f>
        <v>0</v>
      </c>
      <c r="Q31" s="1">
        <f>'A renseigner'!E302</f>
        <v>0</v>
      </c>
      <c r="R31" s="1">
        <f>'A renseigner'!F302</f>
        <v>0</v>
      </c>
      <c r="S31" s="1">
        <f>'A renseigner'!G302</f>
        <v>0</v>
      </c>
      <c r="T31" s="1">
        <f>'A renseigner'!H302</f>
        <v>0</v>
      </c>
    </row>
    <row r="32" spans="2:22" x14ac:dyDescent="0.3">
      <c r="B32" s="308" t="s">
        <v>764</v>
      </c>
      <c r="C32" s="1"/>
      <c r="D32" s="5">
        <v>0</v>
      </c>
      <c r="E32" s="5">
        <v>0</v>
      </c>
      <c r="F32" s="5">
        <v>0</v>
      </c>
      <c r="G32" s="5">
        <v>0</v>
      </c>
      <c r="H32" s="5">
        <v>0</v>
      </c>
      <c r="I32" s="5">
        <v>0</v>
      </c>
      <c r="J32" s="1"/>
      <c r="K32" s="1"/>
      <c r="L32" s="1"/>
      <c r="M32" s="1"/>
      <c r="N32" s="547"/>
      <c r="O32" s="5">
        <f>'A renseigner'!C303</f>
        <v>0</v>
      </c>
      <c r="P32" s="5">
        <f>'A renseigner'!D303</f>
        <v>0</v>
      </c>
      <c r="Q32" s="5">
        <f>'A renseigner'!E303</f>
        <v>0</v>
      </c>
      <c r="R32" s="5">
        <f>'A renseigner'!F303</f>
        <v>0</v>
      </c>
      <c r="S32" s="5">
        <f>'A renseigner'!G303</f>
        <v>0</v>
      </c>
      <c r="T32" s="5">
        <f>'A renseigner'!H303</f>
        <v>0</v>
      </c>
      <c r="V32" s="38" t="s">
        <v>853</v>
      </c>
    </row>
    <row r="33" spans="2:22" x14ac:dyDescent="0.3">
      <c r="B33" s="175" t="s">
        <v>752</v>
      </c>
      <c r="C33" s="1"/>
      <c r="D33" s="309">
        <v>2.7799999999999998E-2</v>
      </c>
      <c r="E33" s="309">
        <v>2.4E-2</v>
      </c>
      <c r="F33" s="309">
        <v>2.3699999999999999E-2</v>
      </c>
      <c r="G33" s="309">
        <v>2.3599999999999999E-2</v>
      </c>
      <c r="H33" s="309">
        <v>2.35E-2</v>
      </c>
      <c r="I33" s="309">
        <v>2.5000000000000001E-2</v>
      </c>
      <c r="J33" s="1"/>
      <c r="K33" s="1"/>
      <c r="L33" s="1"/>
      <c r="M33" s="1"/>
      <c r="N33" s="547"/>
      <c r="O33" s="310">
        <f>'A renseigner'!C304</f>
        <v>0.36799999999999999</v>
      </c>
      <c r="P33" s="310">
        <f>'A renseigner'!D304</f>
        <v>0.42299999999999999</v>
      </c>
      <c r="Q33" s="310">
        <f>'A renseigner'!E304</f>
        <v>0.54200000000000004</v>
      </c>
      <c r="R33" s="310">
        <f>'A renseigner'!F304</f>
        <v>0.80200000000000005</v>
      </c>
      <c r="S33" s="310">
        <f>'A renseigner'!G304</f>
        <v>0.90800000000000003</v>
      </c>
      <c r="T33" s="311">
        <f>'A renseigner'!H304</f>
        <v>1</v>
      </c>
    </row>
    <row r="34" spans="2:22" x14ac:dyDescent="0.3">
      <c r="B34" s="175" t="s">
        <v>753</v>
      </c>
      <c r="C34" s="1"/>
      <c r="D34" s="166">
        <v>0.8</v>
      </c>
      <c r="E34" s="166">
        <v>0.8</v>
      </c>
      <c r="F34" s="166">
        <v>0.75</v>
      </c>
      <c r="G34" s="166">
        <v>0.7</v>
      </c>
      <c r="H34" s="166">
        <v>0.65</v>
      </c>
      <c r="I34" s="166">
        <v>0.6</v>
      </c>
      <c r="J34" s="1"/>
      <c r="K34" s="1"/>
      <c r="L34" s="1"/>
      <c r="M34" s="1"/>
      <c r="N34" s="547"/>
      <c r="O34" s="380">
        <f>'A renseigner'!C305</f>
        <v>1</v>
      </c>
      <c r="P34" s="380">
        <f>'A renseigner'!D305</f>
        <v>0.9</v>
      </c>
      <c r="Q34" s="380">
        <f>'A renseigner'!E305</f>
        <v>0.9</v>
      </c>
      <c r="R34" s="380">
        <f>'A renseigner'!F305</f>
        <v>0.8</v>
      </c>
      <c r="S34" s="380">
        <f>'A renseigner'!G305</f>
        <v>0.8</v>
      </c>
      <c r="T34" s="380">
        <f>'A renseigner'!H305</f>
        <v>0.6</v>
      </c>
    </row>
    <row r="35" spans="2:22" x14ac:dyDescent="0.3">
      <c r="B35" s="175" t="s">
        <v>754</v>
      </c>
      <c r="C35" s="1"/>
      <c r="D35" s="166">
        <f t="shared" ref="D35:I35" si="6">1-D34</f>
        <v>0.19999999999999996</v>
      </c>
      <c r="E35" s="166">
        <f t="shared" si="6"/>
        <v>0.19999999999999996</v>
      </c>
      <c r="F35" s="166">
        <f t="shared" si="6"/>
        <v>0.25</v>
      </c>
      <c r="G35" s="166">
        <f t="shared" si="6"/>
        <v>0.30000000000000004</v>
      </c>
      <c r="H35" s="166">
        <f t="shared" si="6"/>
        <v>0.35</v>
      </c>
      <c r="I35" s="166">
        <f t="shared" si="6"/>
        <v>0.4</v>
      </c>
      <c r="J35" s="1"/>
      <c r="K35" s="1"/>
      <c r="L35" s="1"/>
      <c r="M35" s="1"/>
      <c r="N35" s="547"/>
      <c r="O35" s="380">
        <f>'A renseigner'!C306</f>
        <v>0</v>
      </c>
      <c r="P35" s="380">
        <f>'A renseigner'!D306</f>
        <v>9.9999999999999978E-2</v>
      </c>
      <c r="Q35" s="380">
        <f>'A renseigner'!E306</f>
        <v>9.9999999999999978E-2</v>
      </c>
      <c r="R35" s="380">
        <f>'A renseigner'!F306</f>
        <v>0.19999999999999996</v>
      </c>
      <c r="S35" s="380">
        <f>'A renseigner'!G306</f>
        <v>0.19999999999999996</v>
      </c>
      <c r="T35" s="380">
        <f>'A renseigner'!H306</f>
        <v>0.4</v>
      </c>
    </row>
    <row r="36" spans="2:22" x14ac:dyDescent="0.3">
      <c r="B36" s="308" t="s">
        <v>765</v>
      </c>
      <c r="C36" s="1"/>
      <c r="D36" s="5">
        <v>0</v>
      </c>
      <c r="E36" s="5">
        <v>0</v>
      </c>
      <c r="F36" s="5">
        <v>0</v>
      </c>
      <c r="G36" s="5">
        <v>0</v>
      </c>
      <c r="H36" s="5">
        <v>0</v>
      </c>
      <c r="I36" s="5">
        <v>0</v>
      </c>
      <c r="J36" s="1"/>
      <c r="K36" s="1"/>
      <c r="L36" s="1"/>
      <c r="M36" s="1"/>
      <c r="N36" s="547"/>
      <c r="O36" s="40">
        <f>'A renseigner'!C307</f>
        <v>0</v>
      </c>
      <c r="P36" s="40">
        <f>'A renseigner'!D307</f>
        <v>0</v>
      </c>
      <c r="Q36" s="384">
        <f>'A renseigner'!E307</f>
        <v>1</v>
      </c>
      <c r="R36" s="384">
        <f>'A renseigner'!F307</f>
        <v>1.5</v>
      </c>
      <c r="S36" s="384">
        <f>'A renseigner'!G307</f>
        <v>2</v>
      </c>
      <c r="T36" s="384">
        <f>'A renseigner'!H307</f>
        <v>3</v>
      </c>
      <c r="V36" s="38" t="s">
        <v>854</v>
      </c>
    </row>
    <row r="37" spans="2:22" x14ac:dyDescent="0.3">
      <c r="B37" s="175" t="s">
        <v>752</v>
      </c>
      <c r="C37" s="1"/>
      <c r="D37" s="311">
        <v>0.62</v>
      </c>
      <c r="E37" s="311">
        <v>0.62</v>
      </c>
      <c r="F37" s="311">
        <v>0.62</v>
      </c>
      <c r="G37" s="311">
        <v>0.62</v>
      </c>
      <c r="H37" s="311">
        <v>0.62</v>
      </c>
      <c r="I37" s="311">
        <v>0.62</v>
      </c>
      <c r="J37" s="1"/>
      <c r="K37" s="1"/>
      <c r="L37" s="1"/>
      <c r="M37" s="1"/>
      <c r="N37" s="547"/>
      <c r="O37" s="385">
        <f>'A renseigner'!C308</f>
        <v>0.70299999999999996</v>
      </c>
      <c r="P37" s="385">
        <f>'A renseigner'!D308</f>
        <v>0.75900000000000001</v>
      </c>
      <c r="Q37" s="385">
        <f>'A renseigner'!E308</f>
        <v>0.80800000000000005</v>
      </c>
      <c r="R37" s="385">
        <f>'A renseigner'!F308</f>
        <v>0.86199999999999999</v>
      </c>
      <c r="S37" s="385">
        <f>'A renseigner'!G308</f>
        <v>0.91900000000000004</v>
      </c>
      <c r="T37" s="386">
        <f>'A renseigner'!H308</f>
        <v>1</v>
      </c>
    </row>
    <row r="38" spans="2:22" x14ac:dyDescent="0.3">
      <c r="B38" s="175" t="s">
        <v>753</v>
      </c>
      <c r="C38" s="1"/>
      <c r="D38" s="166">
        <v>0.8</v>
      </c>
      <c r="E38" s="166">
        <v>0.8</v>
      </c>
      <c r="F38" s="166">
        <v>0.75</v>
      </c>
      <c r="G38" s="166">
        <v>0.7</v>
      </c>
      <c r="H38" s="166">
        <v>0.65</v>
      </c>
      <c r="I38" s="166">
        <v>0.6</v>
      </c>
      <c r="J38" s="1"/>
      <c r="K38" s="1"/>
      <c r="L38" s="1"/>
      <c r="M38" s="1"/>
      <c r="N38" s="547"/>
      <c r="O38" s="381">
        <f>'A renseigner'!C309</f>
        <v>1</v>
      </c>
      <c r="P38" s="381">
        <f>'A renseigner'!D309</f>
        <v>0.9</v>
      </c>
      <c r="Q38" s="381">
        <f>'A renseigner'!E309</f>
        <v>0.9</v>
      </c>
      <c r="R38" s="381">
        <f>'A renseigner'!F309</f>
        <v>0.8</v>
      </c>
      <c r="S38" s="381">
        <f>'A renseigner'!G309</f>
        <v>0.8</v>
      </c>
      <c r="T38" s="381">
        <f>'A renseigner'!H309</f>
        <v>0.6</v>
      </c>
    </row>
    <row r="39" spans="2:22" x14ac:dyDescent="0.3">
      <c r="B39" s="175" t="s">
        <v>754</v>
      </c>
      <c r="C39" s="1"/>
      <c r="D39" s="166">
        <f t="shared" ref="D39:I39" si="7">1-D38</f>
        <v>0.19999999999999996</v>
      </c>
      <c r="E39" s="166">
        <f t="shared" si="7"/>
        <v>0.19999999999999996</v>
      </c>
      <c r="F39" s="166">
        <f t="shared" si="7"/>
        <v>0.25</v>
      </c>
      <c r="G39" s="166">
        <f t="shared" si="7"/>
        <v>0.30000000000000004</v>
      </c>
      <c r="H39" s="166">
        <f t="shared" si="7"/>
        <v>0.35</v>
      </c>
      <c r="I39" s="166">
        <f t="shared" si="7"/>
        <v>0.4</v>
      </c>
      <c r="J39" s="1"/>
      <c r="K39" s="1"/>
      <c r="L39" s="1"/>
      <c r="M39" s="1"/>
      <c r="N39" s="547"/>
      <c r="O39" s="381">
        <f>'A renseigner'!C310</f>
        <v>0</v>
      </c>
      <c r="P39" s="381">
        <f>'A renseigner'!D310</f>
        <v>9.9999999999999978E-2</v>
      </c>
      <c r="Q39" s="381">
        <f>'A renseigner'!E310</f>
        <v>9.9999999999999978E-2</v>
      </c>
      <c r="R39" s="381">
        <f>'A renseigner'!F310</f>
        <v>0.19999999999999996</v>
      </c>
      <c r="S39" s="381">
        <f>'A renseigner'!G310</f>
        <v>0.19999999999999996</v>
      </c>
      <c r="T39" s="381">
        <f>'A renseigner'!H310</f>
        <v>0.4</v>
      </c>
    </row>
    <row r="40" spans="2:22" x14ac:dyDescent="0.3">
      <c r="B40" s="308" t="s">
        <v>766</v>
      </c>
      <c r="C40" s="1"/>
      <c r="D40" s="5">
        <v>0</v>
      </c>
      <c r="E40" s="5">
        <v>0</v>
      </c>
      <c r="F40" s="5">
        <v>0.5</v>
      </c>
      <c r="G40" s="5">
        <v>0.75</v>
      </c>
      <c r="H40" s="5">
        <v>1</v>
      </c>
      <c r="I40" s="5">
        <v>1.25</v>
      </c>
      <c r="J40" s="1"/>
      <c r="K40" s="1" t="s">
        <v>767</v>
      </c>
      <c r="L40" s="1"/>
      <c r="M40" s="1"/>
      <c r="N40" s="547"/>
      <c r="O40" s="40">
        <f>'A renseigner'!C311</f>
        <v>0</v>
      </c>
      <c r="P40" s="40">
        <f>'A renseigner'!D311</f>
        <v>0</v>
      </c>
      <c r="Q40" s="40">
        <f>'A renseigner'!E311</f>
        <v>0</v>
      </c>
      <c r="R40" s="384">
        <f>'A renseigner'!F311</f>
        <v>1</v>
      </c>
      <c r="S40" s="384">
        <f>'A renseigner'!G311</f>
        <v>2</v>
      </c>
      <c r="T40" s="384">
        <f>'A renseigner'!H311</f>
        <v>3</v>
      </c>
      <c r="V40" s="38" t="s">
        <v>855</v>
      </c>
    </row>
    <row r="41" spans="2:22" x14ac:dyDescent="0.3">
      <c r="B41" s="175" t="s">
        <v>752</v>
      </c>
      <c r="C41" s="1"/>
      <c r="D41" s="312"/>
      <c r="E41" s="312"/>
      <c r="F41" s="312"/>
      <c r="G41" s="312"/>
      <c r="H41" s="312"/>
      <c r="I41" s="312"/>
      <c r="J41" s="1"/>
      <c r="K41" s="1"/>
      <c r="L41" s="1"/>
      <c r="M41" s="1"/>
      <c r="N41" s="547"/>
      <c r="O41" s="387">
        <f>'A renseigner'!C312</f>
        <v>0</v>
      </c>
      <c r="P41" s="387">
        <f>'A renseigner'!D312</f>
        <v>0</v>
      </c>
      <c r="Q41" s="387">
        <f>'A renseigner'!E312</f>
        <v>0</v>
      </c>
      <c r="R41" s="387">
        <f>'A renseigner'!F312</f>
        <v>0</v>
      </c>
      <c r="S41" s="387">
        <f>'A renseigner'!G312</f>
        <v>0</v>
      </c>
      <c r="T41" s="387">
        <f>'A renseigner'!H312</f>
        <v>0</v>
      </c>
    </row>
    <row r="42" spans="2:22" x14ac:dyDescent="0.3">
      <c r="B42" s="175" t="s">
        <v>753</v>
      </c>
      <c r="C42" s="1"/>
      <c r="D42" s="166">
        <v>0.8</v>
      </c>
      <c r="E42" s="166">
        <v>0.8</v>
      </c>
      <c r="F42" s="166">
        <v>0.75</v>
      </c>
      <c r="G42" s="166">
        <v>0.7</v>
      </c>
      <c r="H42" s="166">
        <v>0.65</v>
      </c>
      <c r="I42" s="166">
        <v>0.6</v>
      </c>
      <c r="J42" s="1"/>
      <c r="K42" s="1"/>
      <c r="L42" s="1"/>
      <c r="M42" s="1"/>
      <c r="N42" s="547"/>
      <c r="O42" s="381">
        <f>'A renseigner'!C313</f>
        <v>1</v>
      </c>
      <c r="P42" s="381">
        <f>'A renseigner'!D313</f>
        <v>0.9</v>
      </c>
      <c r="Q42" s="381">
        <f>'A renseigner'!E313</f>
        <v>0.9</v>
      </c>
      <c r="R42" s="381">
        <f>'A renseigner'!F313</f>
        <v>0.8</v>
      </c>
      <c r="S42" s="381">
        <f>'A renseigner'!G313</f>
        <v>0.8</v>
      </c>
      <c r="T42" s="381">
        <f>'A renseigner'!H313</f>
        <v>0.6</v>
      </c>
    </row>
    <row r="43" spans="2:22" x14ac:dyDescent="0.3">
      <c r="B43" s="175" t="s">
        <v>754</v>
      </c>
      <c r="C43" s="1"/>
      <c r="D43" s="166">
        <f t="shared" ref="D43:I43" si="8">1-D42</f>
        <v>0.19999999999999996</v>
      </c>
      <c r="E43" s="166">
        <f t="shared" si="8"/>
        <v>0.19999999999999996</v>
      </c>
      <c r="F43" s="166">
        <f t="shared" si="8"/>
        <v>0.25</v>
      </c>
      <c r="G43" s="166">
        <f t="shared" si="8"/>
        <v>0.30000000000000004</v>
      </c>
      <c r="H43" s="166">
        <f t="shared" si="8"/>
        <v>0.35</v>
      </c>
      <c r="I43" s="166">
        <f t="shared" si="8"/>
        <v>0.4</v>
      </c>
      <c r="J43" s="1"/>
      <c r="K43" s="1"/>
      <c r="L43" s="1"/>
      <c r="M43" s="1"/>
      <c r="N43" s="547"/>
      <c r="O43" s="381">
        <f>'A renseigner'!C314</f>
        <v>0</v>
      </c>
      <c r="P43" s="381">
        <f>'A renseigner'!D314</f>
        <v>9.9999999999999978E-2</v>
      </c>
      <c r="Q43" s="381">
        <f>'A renseigner'!E314</f>
        <v>9.9999999999999978E-2</v>
      </c>
      <c r="R43" s="381">
        <f>'A renseigner'!F314</f>
        <v>0.19999999999999996</v>
      </c>
      <c r="S43" s="381">
        <f>'A renseigner'!G314</f>
        <v>0.19999999999999996</v>
      </c>
      <c r="T43" s="381">
        <f>'A renseigner'!H314</f>
        <v>0.4</v>
      </c>
    </row>
    <row r="44" spans="2:22" x14ac:dyDescent="0.3">
      <c r="B44" s="305" t="s">
        <v>768</v>
      </c>
      <c r="C44" s="1"/>
      <c r="D44" s="306">
        <f t="shared" ref="D44:I44" si="9">D32+D36+D40</f>
        <v>0</v>
      </c>
      <c r="E44" s="306">
        <f t="shared" si="9"/>
        <v>0</v>
      </c>
      <c r="F44" s="306">
        <f t="shared" si="9"/>
        <v>0.5</v>
      </c>
      <c r="G44" s="306">
        <f t="shared" si="9"/>
        <v>0.75</v>
      </c>
      <c r="H44" s="306">
        <f t="shared" si="9"/>
        <v>1</v>
      </c>
      <c r="I44" s="306">
        <f t="shared" si="9"/>
        <v>1.25</v>
      </c>
      <c r="J44" s="1"/>
      <c r="K44" s="1"/>
      <c r="L44" s="1"/>
      <c r="M44" s="1"/>
      <c r="N44" s="547"/>
      <c r="O44" s="306">
        <f>'A renseigner'!C315</f>
        <v>0</v>
      </c>
      <c r="P44" s="306">
        <f>'A renseigner'!D315</f>
        <v>0</v>
      </c>
      <c r="Q44" s="306">
        <f>'A renseigner'!E315</f>
        <v>1</v>
      </c>
      <c r="R44" s="306">
        <f>'A renseigner'!F315</f>
        <v>2.5</v>
      </c>
      <c r="S44" s="306">
        <f>'A renseigner'!G315</f>
        <v>4</v>
      </c>
      <c r="T44" s="306">
        <f>'A renseigner'!H315</f>
        <v>6</v>
      </c>
    </row>
    <row r="45" spans="2:22" x14ac:dyDescent="0.3">
      <c r="B45" s="1"/>
      <c r="C45" s="1"/>
      <c r="D45" s="1"/>
      <c r="E45" s="1"/>
      <c r="F45" s="1"/>
      <c r="G45" s="1"/>
      <c r="H45" s="1"/>
      <c r="I45" s="1"/>
      <c r="J45" s="1"/>
      <c r="K45" s="1"/>
      <c r="L45" s="1"/>
      <c r="M45" s="1"/>
      <c r="N45" s="547"/>
      <c r="O45" s="1">
        <f>'A renseigner'!C316</f>
        <v>0</v>
      </c>
      <c r="P45" s="1">
        <f>'A renseigner'!D316</f>
        <v>0</v>
      </c>
      <c r="Q45" s="1">
        <f>'A renseigner'!E316</f>
        <v>0</v>
      </c>
      <c r="R45" s="1">
        <f>'A renseigner'!F316</f>
        <v>0</v>
      </c>
      <c r="S45" s="1">
        <f>'A renseigner'!G316</f>
        <v>0</v>
      </c>
      <c r="T45" s="1">
        <f>'A renseigner'!H316</f>
        <v>0</v>
      </c>
    </row>
    <row r="46" spans="2:22" x14ac:dyDescent="0.3">
      <c r="B46" s="305" t="s">
        <v>769</v>
      </c>
      <c r="C46" s="1"/>
      <c r="D46" s="313">
        <f t="shared" ref="D46:I46" si="10">D44+D29</f>
        <v>1</v>
      </c>
      <c r="E46" s="313">
        <f t="shared" si="10"/>
        <v>3.2</v>
      </c>
      <c r="F46" s="313">
        <f t="shared" si="10"/>
        <v>6.5</v>
      </c>
      <c r="G46" s="313">
        <f t="shared" si="10"/>
        <v>8.5</v>
      </c>
      <c r="H46" s="313">
        <f t="shared" si="10"/>
        <v>10.5</v>
      </c>
      <c r="I46" s="313">
        <f t="shared" si="10"/>
        <v>12</v>
      </c>
      <c r="J46" s="1"/>
      <c r="K46" s="1"/>
      <c r="L46" s="1"/>
      <c r="M46" s="1"/>
      <c r="N46" s="547"/>
      <c r="O46" s="314">
        <f>'A renseigner'!C317</f>
        <v>0</v>
      </c>
      <c r="P46" s="314">
        <f>'A renseigner'!D317</f>
        <v>6.6</v>
      </c>
      <c r="Q46" s="314">
        <f>'A renseigner'!E317</f>
        <v>13.55</v>
      </c>
      <c r="R46" s="314">
        <f>'A renseigner'!F317</f>
        <v>18.37</v>
      </c>
      <c r="S46" s="314">
        <f>'A renseigner'!G317</f>
        <v>23.37</v>
      </c>
      <c r="T46" s="314">
        <f>'A renseigner'!H317</f>
        <v>28.87</v>
      </c>
    </row>
    <row r="47" spans="2:22" x14ac:dyDescent="0.3">
      <c r="B47" s="1"/>
      <c r="C47" s="1"/>
      <c r="D47" s="1"/>
      <c r="E47" s="1"/>
      <c r="F47" s="1"/>
      <c r="G47" s="1"/>
      <c r="H47" s="1"/>
      <c r="I47" s="1"/>
      <c r="J47" s="1"/>
      <c r="K47" s="1"/>
      <c r="L47" s="1"/>
      <c r="M47" s="1"/>
      <c r="N47" s="547"/>
      <c r="O47" s="1">
        <f>'A renseigner'!C318</f>
        <v>0</v>
      </c>
      <c r="P47" s="1">
        <f>'A renseigner'!D318</f>
        <v>0</v>
      </c>
      <c r="Q47" s="1">
        <f>'A renseigner'!E318</f>
        <v>0</v>
      </c>
      <c r="R47" s="1">
        <f>'A renseigner'!F318</f>
        <v>0</v>
      </c>
      <c r="S47" s="1">
        <f>'A renseigner'!G318</f>
        <v>0</v>
      </c>
      <c r="T47" s="1">
        <f>'A renseigner'!H318</f>
        <v>0</v>
      </c>
    </row>
    <row r="48" spans="2:22" x14ac:dyDescent="0.3">
      <c r="B48" s="305" t="s">
        <v>770</v>
      </c>
      <c r="D48" s="313">
        <v>0</v>
      </c>
      <c r="E48" s="313">
        <v>0</v>
      </c>
      <c r="F48" s="313">
        <v>0</v>
      </c>
      <c r="G48" s="313">
        <v>0</v>
      </c>
      <c r="H48" s="313">
        <v>0</v>
      </c>
      <c r="I48" s="313">
        <v>0</v>
      </c>
      <c r="N48" s="554"/>
      <c r="O48" s="314">
        <f>'A renseigner'!C319</f>
        <v>0</v>
      </c>
      <c r="P48" s="388">
        <f>'A renseigner'!D319</f>
        <v>0</v>
      </c>
      <c r="Q48" s="388">
        <f>'A renseigner'!E319</f>
        <v>0</v>
      </c>
      <c r="R48" s="388">
        <f>'A renseigner'!F319</f>
        <v>1</v>
      </c>
      <c r="S48" s="388">
        <f>'A renseigner'!G319</f>
        <v>2</v>
      </c>
      <c r="T48" s="388">
        <f>'A renseigner'!H319</f>
        <v>5</v>
      </c>
      <c r="V48" s="38" t="s">
        <v>858</v>
      </c>
    </row>
    <row r="49" spans="2:21" x14ac:dyDescent="0.3">
      <c r="B49" s="175" t="s">
        <v>753</v>
      </c>
      <c r="D49" s="298">
        <v>0</v>
      </c>
      <c r="E49" s="298">
        <v>0</v>
      </c>
      <c r="F49" s="298">
        <v>0</v>
      </c>
      <c r="G49" s="298">
        <v>0.15</v>
      </c>
      <c r="H49" s="298">
        <v>0.35</v>
      </c>
      <c r="I49" s="298">
        <v>0.5</v>
      </c>
      <c r="N49" s="554"/>
      <c r="O49" s="298">
        <f>'A renseigner'!C320</f>
        <v>0</v>
      </c>
      <c r="P49" s="298">
        <f>'A renseigner'!D320</f>
        <v>0</v>
      </c>
      <c r="Q49" s="298">
        <f>'A renseigner'!E320</f>
        <v>0</v>
      </c>
      <c r="R49" s="298">
        <f>'A renseigner'!F320</f>
        <v>0</v>
      </c>
      <c r="S49" s="298">
        <f>'A renseigner'!G320</f>
        <v>0</v>
      </c>
      <c r="T49" s="298">
        <f>'A renseigner'!H320</f>
        <v>0</v>
      </c>
    </row>
    <row r="50" spans="2:21" x14ac:dyDescent="0.3">
      <c r="B50" s="175" t="s">
        <v>754</v>
      </c>
      <c r="D50" s="298">
        <f t="shared" ref="D50:I50" si="11">1-D49</f>
        <v>1</v>
      </c>
      <c r="E50" s="298">
        <f t="shared" si="11"/>
        <v>1</v>
      </c>
      <c r="F50" s="298">
        <f t="shared" si="11"/>
        <v>1</v>
      </c>
      <c r="G50" s="298">
        <f t="shared" si="11"/>
        <v>0.85</v>
      </c>
      <c r="H50" s="298">
        <f t="shared" si="11"/>
        <v>0.65</v>
      </c>
      <c r="I50" s="298">
        <f t="shared" si="11"/>
        <v>0.5</v>
      </c>
      <c r="N50" s="554"/>
      <c r="O50" s="298">
        <f>'A renseigner'!C321</f>
        <v>1</v>
      </c>
      <c r="P50" s="298">
        <f>'A renseigner'!D321</f>
        <v>1</v>
      </c>
      <c r="Q50" s="298">
        <f>'A renseigner'!E321</f>
        <v>1</v>
      </c>
      <c r="R50" s="298">
        <f>'A renseigner'!F321</f>
        <v>1</v>
      </c>
      <c r="S50" s="298">
        <f>'A renseigner'!G321</f>
        <v>1</v>
      </c>
      <c r="T50" s="298">
        <f>'A renseigner'!H321</f>
        <v>1</v>
      </c>
    </row>
    <row r="51" spans="2:21" x14ac:dyDescent="0.3">
      <c r="N51" s="554"/>
      <c r="O51" s="38">
        <f>'A renseigner'!C322</f>
        <v>0</v>
      </c>
      <c r="P51" s="38">
        <f>'A renseigner'!D322</f>
        <v>0</v>
      </c>
      <c r="Q51" s="38">
        <f>'A renseigner'!E322</f>
        <v>0</v>
      </c>
      <c r="R51" s="38">
        <f>'A renseigner'!F322</f>
        <v>0</v>
      </c>
      <c r="S51" s="38">
        <f>'A renseigner'!G322</f>
        <v>0</v>
      </c>
      <c r="T51" s="38">
        <f>'A renseigner'!H322</f>
        <v>0</v>
      </c>
    </row>
    <row r="52" spans="2:21" x14ac:dyDescent="0.3">
      <c r="B52" s="38" t="s">
        <v>771</v>
      </c>
      <c r="D52" s="107">
        <f t="shared" ref="D52:I52" si="12">D7*(1-D8)*D9+D11*(1-D12)*D13+D15*(1-D16)*D17+D19*(1-D20)*D21+D25*(1-D26)*D27+D32*(1-D33)*D34+D36*(1-D37)*D38+D40*(1-D41)*D42</f>
        <v>0.34</v>
      </c>
      <c r="E52" s="107">
        <f t="shared" si="12"/>
        <v>1.3934500000000001</v>
      </c>
      <c r="F52" s="107">
        <f t="shared" si="12"/>
        <v>3.5990000000000002</v>
      </c>
      <c r="G52" s="107">
        <f t="shared" si="12"/>
        <v>4.7866999999999997</v>
      </c>
      <c r="H52" s="107">
        <f t="shared" si="12"/>
        <v>6.1377500000000005</v>
      </c>
      <c r="I52" s="107">
        <f t="shared" si="12"/>
        <v>7.5914999999999999</v>
      </c>
      <c r="N52" s="554"/>
      <c r="O52" s="107">
        <f>'A renseigner'!C323</f>
        <v>0</v>
      </c>
      <c r="P52" s="107">
        <f>'A renseigner'!D323</f>
        <v>4.8995999999999995</v>
      </c>
      <c r="Q52" s="107">
        <f>'A renseigner'!E323</f>
        <v>7.6826854999999989</v>
      </c>
      <c r="R52" s="107">
        <f>'A renseigner'!F323</f>
        <v>8.3161125000000009</v>
      </c>
      <c r="S52" s="107">
        <f>'A renseigner'!G323</f>
        <v>8.3609240000000007</v>
      </c>
      <c r="T52" s="107">
        <f>'A renseigner'!H323</f>
        <v>7.6289100000000003</v>
      </c>
    </row>
    <row r="53" spans="2:21" x14ac:dyDescent="0.3">
      <c r="B53" s="38" t="s">
        <v>772</v>
      </c>
      <c r="D53" s="107">
        <f t="shared" ref="D53:I53" si="13">D7*(1-D8)*D10+D11*(1-D12)*D14+D15*(1-D16)*D18+D19*(1-D20)*D22+D25*(1-D26)*D28+D32*(1-D33)*D35+D36*(1-D37)*D39+D40*(1-D41)*D43</f>
        <v>0.56999999999999995</v>
      </c>
      <c r="E53" s="107">
        <f t="shared" si="13"/>
        <v>1.5305499999999999</v>
      </c>
      <c r="F53" s="107">
        <f t="shared" si="13"/>
        <v>2.496</v>
      </c>
      <c r="G53" s="107">
        <f t="shared" si="13"/>
        <v>3.2208000000000001</v>
      </c>
      <c r="H53" s="107">
        <f t="shared" si="13"/>
        <v>3.7922499999999997</v>
      </c>
      <c r="I53" s="107">
        <f t="shared" si="13"/>
        <v>3.8359999999999999</v>
      </c>
      <c r="N53" s="554"/>
      <c r="O53" s="107">
        <f>'A renseigner'!C324</f>
        <v>0</v>
      </c>
      <c r="P53" s="107">
        <f>'A renseigner'!D324</f>
        <v>0.54439999999999988</v>
      </c>
      <c r="Q53" s="107">
        <f>'A renseigner'!E324</f>
        <v>1.3525894999999999</v>
      </c>
      <c r="R53" s="107">
        <f>'A renseigner'!F324</f>
        <v>2.4972374999999998</v>
      </c>
      <c r="S53" s="107">
        <f>'A renseigner'!G324</f>
        <v>2.9091259999999992</v>
      </c>
      <c r="T53" s="107">
        <f>'A renseigner'!H324</f>
        <v>3.5425900000000001</v>
      </c>
    </row>
    <row r="54" spans="2:21" x14ac:dyDescent="0.3">
      <c r="B54" s="38" t="s">
        <v>773</v>
      </c>
      <c r="D54" s="107">
        <f t="shared" ref="D54:I54" si="14">D7*(D8)*D9+D11*(D12)*D13+D15*(D16)*D17+D19*(D20)*D21+D25*(D26)*D27+D32*(D33)*D34+D36*(D37)*D38+D40*(D41)*D42</f>
        <v>0.06</v>
      </c>
      <c r="E54" s="107">
        <f t="shared" si="14"/>
        <v>0.19155</v>
      </c>
      <c r="F54" s="107">
        <f t="shared" si="14"/>
        <v>0.27600000000000002</v>
      </c>
      <c r="G54" s="107">
        <f t="shared" si="14"/>
        <v>0.32330000000000003</v>
      </c>
      <c r="H54" s="107">
        <f t="shared" si="14"/>
        <v>0.36225000000000007</v>
      </c>
      <c r="I54" s="107">
        <f t="shared" si="14"/>
        <v>0.35849999999999999</v>
      </c>
      <c r="N54" s="554"/>
      <c r="O54" s="107">
        <f>'A renseigner'!C325</f>
        <v>0</v>
      </c>
      <c r="P54" s="107">
        <f>'A renseigner'!D325</f>
        <v>1.0404</v>
      </c>
      <c r="Q54" s="107">
        <f>'A renseigner'!E325</f>
        <v>3.7483144999999993</v>
      </c>
      <c r="R54" s="107">
        <f>'A renseigner'!F325</f>
        <v>5.6113874999999993</v>
      </c>
      <c r="S54" s="107">
        <f>'A renseigner'!G325</f>
        <v>8.5506760000000011</v>
      </c>
      <c r="T54" s="107">
        <f>'A renseigner'!H325</f>
        <v>11.39049</v>
      </c>
    </row>
    <row r="55" spans="2:21" x14ac:dyDescent="0.3">
      <c r="B55" s="38" t="s">
        <v>774</v>
      </c>
      <c r="D55" s="107">
        <f t="shared" ref="D55:I55" si="15">D7*(D8)*D10+D11*(D12)*D14+D15*(D16)*D18+D19*(D20)*D22+D25*(D26)*D28+D32*(D33)*D35+D36*(D37)*D39+D40*(D41)*D43</f>
        <v>2.9999999999999995E-2</v>
      </c>
      <c r="E55" s="107">
        <f t="shared" si="15"/>
        <v>8.4449999999999983E-2</v>
      </c>
      <c r="F55" s="107">
        <f t="shared" si="15"/>
        <v>0.129</v>
      </c>
      <c r="G55" s="107">
        <f t="shared" si="15"/>
        <v>0.16920000000000002</v>
      </c>
      <c r="H55" s="107">
        <f t="shared" si="15"/>
        <v>0.20774999999999999</v>
      </c>
      <c r="I55" s="107">
        <f t="shared" si="15"/>
        <v>0.21400000000000002</v>
      </c>
      <c r="N55" s="554"/>
      <c r="O55" s="107">
        <f>'A renseigner'!C326</f>
        <v>0</v>
      </c>
      <c r="P55" s="107">
        <f>'A renseigner'!D326</f>
        <v>0.11559999999999998</v>
      </c>
      <c r="Q55" s="107">
        <f>'A renseigner'!E326</f>
        <v>0.76641049999999999</v>
      </c>
      <c r="R55" s="107">
        <f>'A renseigner'!F326</f>
        <v>1.9452624999999999</v>
      </c>
      <c r="S55" s="107">
        <f>'A renseigner'!G326</f>
        <v>3.5492739999999996</v>
      </c>
      <c r="T55" s="107">
        <f>'A renseigner'!H326</f>
        <v>6.3080100000000003</v>
      </c>
    </row>
    <row r="56" spans="2:21" x14ac:dyDescent="0.3">
      <c r="B56" s="38" t="s">
        <v>775</v>
      </c>
      <c r="D56" s="107">
        <f t="shared" ref="D56:I56" si="16">D48*D49</f>
        <v>0</v>
      </c>
      <c r="E56" s="107">
        <f t="shared" si="16"/>
        <v>0</v>
      </c>
      <c r="F56" s="107">
        <f t="shared" si="16"/>
        <v>0</v>
      </c>
      <c r="G56" s="107">
        <f t="shared" si="16"/>
        <v>0</v>
      </c>
      <c r="H56" s="107">
        <f t="shared" si="16"/>
        <v>0</v>
      </c>
      <c r="I56" s="107">
        <f t="shared" si="16"/>
        <v>0</v>
      </c>
      <c r="N56" s="554"/>
      <c r="O56" s="107">
        <f>'A renseigner'!C327</f>
        <v>0</v>
      </c>
      <c r="P56" s="107">
        <f>'A renseigner'!D327</f>
        <v>0</v>
      </c>
      <c r="Q56" s="107">
        <f>'A renseigner'!E327</f>
        <v>0</v>
      </c>
      <c r="R56" s="107">
        <f>'A renseigner'!F327</f>
        <v>0</v>
      </c>
      <c r="S56" s="107">
        <f>'A renseigner'!G327</f>
        <v>0</v>
      </c>
      <c r="T56" s="107">
        <f>'A renseigner'!H327</f>
        <v>0</v>
      </c>
    </row>
    <row r="57" spans="2:21" x14ac:dyDescent="0.3">
      <c r="B57" s="38" t="s">
        <v>776</v>
      </c>
      <c r="D57" s="107">
        <f t="shared" ref="D57:I57" si="17">D48*D50</f>
        <v>0</v>
      </c>
      <c r="E57" s="107">
        <f t="shared" si="17"/>
        <v>0</v>
      </c>
      <c r="F57" s="107">
        <f t="shared" si="17"/>
        <v>0</v>
      </c>
      <c r="G57" s="107">
        <f t="shared" si="17"/>
        <v>0</v>
      </c>
      <c r="H57" s="107">
        <f t="shared" si="17"/>
        <v>0</v>
      </c>
      <c r="I57" s="107">
        <f t="shared" si="17"/>
        <v>0</v>
      </c>
      <c r="N57" s="554"/>
      <c r="O57" s="107">
        <f>'A renseigner'!C328</f>
        <v>0</v>
      </c>
      <c r="P57" s="107">
        <f>'A renseigner'!D328</f>
        <v>0</v>
      </c>
      <c r="Q57" s="107">
        <f>'A renseigner'!E328</f>
        <v>0</v>
      </c>
      <c r="R57" s="107">
        <f>'A renseigner'!F328</f>
        <v>1</v>
      </c>
      <c r="S57" s="107">
        <f>'A renseigner'!G328</f>
        <v>2</v>
      </c>
      <c r="T57" s="107">
        <f>'A renseigner'!H328</f>
        <v>5</v>
      </c>
    </row>
    <row r="58" spans="2:21" x14ac:dyDescent="0.3">
      <c r="B58" s="38" t="s">
        <v>777</v>
      </c>
      <c r="N58" s="554"/>
      <c r="O58" s="38">
        <f>'A renseigner'!C329</f>
        <v>0</v>
      </c>
      <c r="P58" s="38">
        <f>'A renseigner'!D329</f>
        <v>0</v>
      </c>
      <c r="Q58" s="38">
        <f>'A renseigner'!E329</f>
        <v>0</v>
      </c>
      <c r="R58" s="38">
        <f>'A renseigner'!F329</f>
        <v>0</v>
      </c>
      <c r="S58" s="38">
        <f>'A renseigner'!G329</f>
        <v>0</v>
      </c>
      <c r="T58" s="38">
        <f>'A renseigner'!H329</f>
        <v>0</v>
      </c>
    </row>
    <row r="59" spans="2:21" x14ac:dyDescent="0.3">
      <c r="N59" s="554"/>
      <c r="O59" s="38">
        <f>'A renseigner'!C330</f>
        <v>0</v>
      </c>
      <c r="P59" s="38">
        <f>'A renseigner'!D330</f>
        <v>0</v>
      </c>
      <c r="Q59" s="38">
        <f>'A renseigner'!E330</f>
        <v>0</v>
      </c>
      <c r="R59" s="38">
        <f>'A renseigner'!F330</f>
        <v>0</v>
      </c>
      <c r="S59" s="38">
        <f>'A renseigner'!G330</f>
        <v>0</v>
      </c>
      <c r="T59" s="38">
        <f>'A renseigner'!H330</f>
        <v>0</v>
      </c>
    </row>
    <row r="60" spans="2:21" x14ac:dyDescent="0.3">
      <c r="B60" s="305" t="s">
        <v>778</v>
      </c>
      <c r="C60" s="1"/>
      <c r="D60" s="313">
        <f t="shared" ref="D60:I60" si="18">D52+D54+D56</f>
        <v>0.4</v>
      </c>
      <c r="E60" s="313">
        <f t="shared" si="18"/>
        <v>1.585</v>
      </c>
      <c r="F60" s="313">
        <f t="shared" si="18"/>
        <v>3.875</v>
      </c>
      <c r="G60" s="313">
        <f t="shared" si="18"/>
        <v>5.1099999999999994</v>
      </c>
      <c r="H60" s="313">
        <f t="shared" si="18"/>
        <v>6.5000000000000009</v>
      </c>
      <c r="I60" s="313">
        <f t="shared" si="18"/>
        <v>7.95</v>
      </c>
      <c r="J60" s="1"/>
      <c r="K60" s="1"/>
      <c r="L60" s="1"/>
      <c r="M60" s="1"/>
      <c r="N60" s="547"/>
      <c r="O60" s="314">
        <f>'A renseigner'!C331</f>
        <v>0</v>
      </c>
      <c r="P60" s="314">
        <f>'A renseigner'!D331</f>
        <v>5.9399999999999995</v>
      </c>
      <c r="Q60" s="314">
        <f>'A renseigner'!E331</f>
        <v>11.430999999999997</v>
      </c>
      <c r="R60" s="314">
        <f>'A renseigner'!F331</f>
        <v>13.9275</v>
      </c>
      <c r="S60" s="314">
        <f>'A renseigner'!G331</f>
        <v>16.9116</v>
      </c>
      <c r="T60" s="314">
        <f>'A renseigner'!H331</f>
        <v>19.019400000000001</v>
      </c>
    </row>
    <row r="61" spans="2:21" x14ac:dyDescent="0.3">
      <c r="N61" s="554"/>
      <c r="O61" s="38">
        <f>'A renseigner'!C332</f>
        <v>0</v>
      </c>
      <c r="P61" s="38">
        <f>'A renseigner'!D332</f>
        <v>0</v>
      </c>
      <c r="Q61" s="38">
        <f>'A renseigner'!E332</f>
        <v>0</v>
      </c>
      <c r="R61" s="38">
        <f>'A renseigner'!F332</f>
        <v>0</v>
      </c>
      <c r="S61" s="38">
        <f>'A renseigner'!G332</f>
        <v>0</v>
      </c>
      <c r="T61" s="38">
        <f>'A renseigner'!H332</f>
        <v>0</v>
      </c>
    </row>
    <row r="62" spans="2:21" x14ac:dyDescent="0.3">
      <c r="B62" s="38" t="s">
        <v>779</v>
      </c>
      <c r="D62" s="107">
        <f t="shared" ref="D62:I62" si="19">D53+D55+D57</f>
        <v>0.6</v>
      </c>
      <c r="E62" s="107">
        <f t="shared" si="19"/>
        <v>1.6149999999999998</v>
      </c>
      <c r="F62" s="107">
        <f t="shared" si="19"/>
        <v>2.625</v>
      </c>
      <c r="G62" s="107">
        <f t="shared" si="19"/>
        <v>3.39</v>
      </c>
      <c r="H62" s="107">
        <f t="shared" si="19"/>
        <v>3.9999999999999996</v>
      </c>
      <c r="I62" s="107">
        <f t="shared" si="19"/>
        <v>4.05</v>
      </c>
      <c r="N62" s="554"/>
      <c r="O62" s="107">
        <f>'A renseigner'!C333</f>
        <v>0</v>
      </c>
      <c r="P62" s="107">
        <f>'A renseigner'!D333</f>
        <v>0.65999999999999992</v>
      </c>
      <c r="Q62" s="107">
        <f>'A renseigner'!E333</f>
        <v>2.1189999999999998</v>
      </c>
      <c r="R62" s="107">
        <f>'A renseigner'!F333</f>
        <v>5.4424999999999999</v>
      </c>
      <c r="S62" s="107">
        <f>'A renseigner'!G333</f>
        <v>8.4583999999999993</v>
      </c>
      <c r="T62" s="107">
        <f>'A renseigner'!H333</f>
        <v>14.8506</v>
      </c>
      <c r="U62" s="38" t="s">
        <v>857</v>
      </c>
    </row>
    <row r="63" spans="2:21" x14ac:dyDescent="0.3">
      <c r="B63" s="38" t="s">
        <v>780</v>
      </c>
      <c r="D63" s="107">
        <f t="shared" ref="D63:I63" si="20">D52</f>
        <v>0.34</v>
      </c>
      <c r="E63" s="107">
        <f t="shared" si="20"/>
        <v>1.3934500000000001</v>
      </c>
      <c r="F63" s="107">
        <f t="shared" si="20"/>
        <v>3.5990000000000002</v>
      </c>
      <c r="G63" s="107">
        <f t="shared" si="20"/>
        <v>4.7866999999999997</v>
      </c>
      <c r="H63" s="107">
        <f t="shared" si="20"/>
        <v>6.1377500000000005</v>
      </c>
      <c r="I63" s="107">
        <f t="shared" si="20"/>
        <v>7.5914999999999999</v>
      </c>
      <c r="N63" s="554"/>
      <c r="O63" s="107">
        <f>'A renseigner'!C334</f>
        <v>0</v>
      </c>
      <c r="P63" s="107">
        <f>'A renseigner'!D334</f>
        <v>4.8995999999999995</v>
      </c>
      <c r="Q63" s="107">
        <f>'A renseigner'!E334</f>
        <v>7.6826854999999989</v>
      </c>
      <c r="R63" s="107">
        <f>'A renseigner'!F334</f>
        <v>8.3161125000000009</v>
      </c>
      <c r="S63" s="107">
        <f>'A renseigner'!G334</f>
        <v>8.3609240000000007</v>
      </c>
      <c r="T63" s="107">
        <f>'A renseigner'!H334</f>
        <v>7.6289100000000003</v>
      </c>
    </row>
    <row r="64" spans="2:21" x14ac:dyDescent="0.3">
      <c r="B64" s="38" t="s">
        <v>781</v>
      </c>
      <c r="D64" s="107">
        <f t="shared" ref="D64:I64" si="21">D54+D56</f>
        <v>0.06</v>
      </c>
      <c r="E64" s="107">
        <f t="shared" si="21"/>
        <v>0.19155</v>
      </c>
      <c r="F64" s="107">
        <f t="shared" si="21"/>
        <v>0.27600000000000002</v>
      </c>
      <c r="G64" s="107">
        <f t="shared" si="21"/>
        <v>0.32330000000000003</v>
      </c>
      <c r="H64" s="107">
        <f t="shared" si="21"/>
        <v>0.36225000000000007</v>
      </c>
      <c r="I64" s="107">
        <f t="shared" si="21"/>
        <v>0.35849999999999999</v>
      </c>
      <c r="N64" s="554"/>
      <c r="O64" s="107">
        <f>'A renseigner'!C335</f>
        <v>0</v>
      </c>
      <c r="P64" s="107">
        <f>'A renseigner'!D335</f>
        <v>1.0404</v>
      </c>
      <c r="Q64" s="107">
        <f>'A renseigner'!E335</f>
        <v>3.7483144999999993</v>
      </c>
      <c r="R64" s="107">
        <f>'A renseigner'!F335</f>
        <v>5.6113874999999993</v>
      </c>
      <c r="S64" s="107">
        <f>'A renseigner'!G335</f>
        <v>8.5506760000000011</v>
      </c>
      <c r="T64" s="107">
        <f>'A renseigner'!H335</f>
        <v>11.39049</v>
      </c>
    </row>
    <row r="67" spans="2:22" x14ac:dyDescent="0.3">
      <c r="B67" s="1" t="s">
        <v>782</v>
      </c>
    </row>
    <row r="68" spans="2:22" x14ac:dyDescent="0.3">
      <c r="B68" s="1" t="s">
        <v>783</v>
      </c>
    </row>
    <row r="69" spans="2:22" x14ac:dyDescent="0.3">
      <c r="B69" s="1" t="s">
        <v>784</v>
      </c>
    </row>
    <row r="70" spans="2:22" x14ac:dyDescent="0.3">
      <c r="B70" s="1" t="s">
        <v>785</v>
      </c>
    </row>
    <row r="71" spans="2:22" x14ac:dyDescent="0.3">
      <c r="B71" s="1" t="s">
        <v>786</v>
      </c>
    </row>
    <row r="76" spans="2:22" x14ac:dyDescent="0.3">
      <c r="P76" s="1"/>
      <c r="Q76" s="1">
        <v>2025</v>
      </c>
      <c r="R76" s="1">
        <v>2030</v>
      </c>
      <c r="S76" s="1">
        <f>R76+5</f>
        <v>2035</v>
      </c>
      <c r="T76" s="1">
        <f>S76+5</f>
        <v>2040</v>
      </c>
      <c r="U76" s="1">
        <f>T76+5</f>
        <v>2045</v>
      </c>
      <c r="V76" s="1">
        <v>2050</v>
      </c>
    </row>
    <row r="77" spans="2:22" x14ac:dyDescent="0.3">
      <c r="P77" s="1" t="s">
        <v>787</v>
      </c>
      <c r="Q77" s="1">
        <v>0</v>
      </c>
      <c r="R77" s="1">
        <v>1</v>
      </c>
      <c r="S77" s="1">
        <v>4.5</v>
      </c>
      <c r="T77" s="1">
        <v>8</v>
      </c>
      <c r="U77" s="1">
        <v>11.5</v>
      </c>
      <c r="V77" s="1">
        <v>15</v>
      </c>
    </row>
    <row r="97" spans="2:20" x14ac:dyDescent="0.3">
      <c r="B97" t="s">
        <v>839</v>
      </c>
      <c r="C97"/>
      <c r="D97"/>
      <c r="E97"/>
      <c r="F97"/>
      <c r="G97"/>
      <c r="H97"/>
      <c r="I97"/>
    </row>
    <row r="98" spans="2:20" x14ac:dyDescent="0.3">
      <c r="B98"/>
      <c r="C98"/>
      <c r="D98"/>
      <c r="E98"/>
      <c r="F98"/>
      <c r="G98"/>
      <c r="H98"/>
      <c r="I98"/>
    </row>
    <row r="99" spans="2:20" x14ac:dyDescent="0.3">
      <c r="B99" t="s">
        <v>840</v>
      </c>
      <c r="C99"/>
      <c r="D99">
        <f t="shared" ref="D99:I99" si="22">D100+D101</f>
        <v>0.4</v>
      </c>
      <c r="E99">
        <f t="shared" si="22"/>
        <v>1.585</v>
      </c>
      <c r="F99">
        <f t="shared" si="22"/>
        <v>3.5</v>
      </c>
      <c r="G99">
        <f t="shared" si="22"/>
        <v>4.585</v>
      </c>
      <c r="H99">
        <f t="shared" si="22"/>
        <v>5.8500000000000005</v>
      </c>
      <c r="I99">
        <f t="shared" si="22"/>
        <v>7.2</v>
      </c>
      <c r="M99" t="s">
        <v>840</v>
      </c>
      <c r="N99"/>
      <c r="O99">
        <f t="shared" ref="O99" si="23">O100+O101</f>
        <v>0</v>
      </c>
      <c r="P99">
        <f t="shared" ref="P99" si="24">P100+P101</f>
        <v>5.9399999999999995</v>
      </c>
      <c r="Q99">
        <f t="shared" ref="Q99" si="25">Q100+Q101</f>
        <v>10.530999999999999</v>
      </c>
      <c r="R99">
        <f t="shared" ref="R99" si="26">R100+R101</f>
        <v>11.9275</v>
      </c>
      <c r="S99">
        <f t="shared" ref="S99" si="27">S100+S101</f>
        <v>13.711600000000002</v>
      </c>
      <c r="T99">
        <f t="shared" ref="T99" si="28">T100+T101</f>
        <v>15.4194</v>
      </c>
    </row>
    <row r="100" spans="2:20" x14ac:dyDescent="0.3">
      <c r="B100" t="s">
        <v>841</v>
      </c>
      <c r="C100"/>
      <c r="D100">
        <f t="shared" ref="D100:I100" si="29">D7*(D8)*D9+D11*(D12)*D13+D15*(D16)*D17+D19*(D20)*D21+D25*(D26)*D27</f>
        <v>0.06</v>
      </c>
      <c r="E100">
        <f t="shared" si="29"/>
        <v>0.19155</v>
      </c>
      <c r="F100">
        <f t="shared" si="29"/>
        <v>0.27600000000000002</v>
      </c>
      <c r="G100">
        <f t="shared" si="29"/>
        <v>0.32330000000000003</v>
      </c>
      <c r="H100">
        <f t="shared" si="29"/>
        <v>0.36225000000000007</v>
      </c>
      <c r="I100">
        <f t="shared" si="29"/>
        <v>0.35849999999999999</v>
      </c>
      <c r="M100" t="s">
        <v>841</v>
      </c>
      <c r="N100"/>
      <c r="O100">
        <f t="shared" ref="O100:T100" si="30">O7*(O8)*O9+O11*(O12)*O13+O15*(O16)*O17+O19*(O20)*O21+O25*(O26)*O27</f>
        <v>0</v>
      </c>
      <c r="P100">
        <f t="shared" si="30"/>
        <v>1.0404</v>
      </c>
      <c r="Q100">
        <f t="shared" si="30"/>
        <v>3.0211144999999995</v>
      </c>
      <c r="R100">
        <f t="shared" si="30"/>
        <v>4.5769874999999995</v>
      </c>
      <c r="S100">
        <f t="shared" si="30"/>
        <v>7.0802760000000013</v>
      </c>
      <c r="T100">
        <f t="shared" si="30"/>
        <v>9.5904899999999991</v>
      </c>
    </row>
    <row r="101" spans="2:20" x14ac:dyDescent="0.3">
      <c r="B101" t="s">
        <v>842</v>
      </c>
      <c r="C101"/>
      <c r="D101">
        <f t="shared" ref="D101:H101" si="31">D7*(1-D8)*D9+D11*(1-D12)*D13+D15*(1-D16)*D17+D19*(1-D20)*D21+D25*(1-D26)*D27</f>
        <v>0.34</v>
      </c>
      <c r="E101">
        <f t="shared" si="31"/>
        <v>1.3934500000000001</v>
      </c>
      <c r="F101">
        <f t="shared" si="31"/>
        <v>3.2240000000000002</v>
      </c>
      <c r="G101">
        <f t="shared" si="31"/>
        <v>4.2617000000000003</v>
      </c>
      <c r="H101">
        <f t="shared" si="31"/>
        <v>5.4877500000000001</v>
      </c>
      <c r="I101">
        <f>I7*(1-I8)*I9+I11*(1-I12)*I13+I15*(1-I16)*I17+I19*(1-I20)*I21+I25*(1-I26)*I27</f>
        <v>6.8414999999999999</v>
      </c>
      <c r="M101" t="s">
        <v>842</v>
      </c>
      <c r="N101"/>
      <c r="O101">
        <f t="shared" ref="O101:S101" si="32">O7*(1-O8)*O9+O11*(1-O12)*O13+O15*(1-O16)*O17+O19*(1-O20)*O21+O25*(1-O26)*O27</f>
        <v>0</v>
      </c>
      <c r="P101">
        <f t="shared" si="32"/>
        <v>4.8995999999999995</v>
      </c>
      <c r="Q101">
        <f t="shared" si="32"/>
        <v>7.5098854999999993</v>
      </c>
      <c r="R101">
        <f t="shared" si="32"/>
        <v>7.3505125000000007</v>
      </c>
      <c r="S101">
        <f t="shared" si="32"/>
        <v>6.6313240000000011</v>
      </c>
      <c r="T101">
        <f>T7*(1-T8)*T9+T11*(1-T12)*T13+T15*(1-T16)*T17+T19*(1-T20)*T21+T25*(1-T26)*T27</f>
        <v>5.8289100000000005</v>
      </c>
    </row>
    <row r="103" spans="2:20" x14ac:dyDescent="0.3">
      <c r="B103" t="s">
        <v>843</v>
      </c>
      <c r="C103"/>
      <c r="D103">
        <f t="shared" ref="D103:I103" si="33">D32*(1-D33)*D34+D36*(1-D37)*D38+D40*(1-D41)*D42</f>
        <v>0</v>
      </c>
      <c r="E103">
        <f t="shared" si="33"/>
        <v>0</v>
      </c>
      <c r="F103">
        <f t="shared" si="33"/>
        <v>0.375</v>
      </c>
      <c r="G103">
        <f t="shared" si="33"/>
        <v>0.52499999999999991</v>
      </c>
      <c r="H103">
        <f t="shared" si="33"/>
        <v>0.65</v>
      </c>
      <c r="I103">
        <f t="shared" si="33"/>
        <v>0.75</v>
      </c>
      <c r="M103" t="s">
        <v>843</v>
      </c>
      <c r="N103"/>
      <c r="O103">
        <f t="shared" ref="O103:T103" si="34">O32*(1-O33)*O34+O36*(1-O37)*O38+O40*(1-O41)*O42</f>
        <v>0</v>
      </c>
      <c r="P103">
        <f t="shared" si="34"/>
        <v>0</v>
      </c>
      <c r="Q103">
        <f t="shared" si="34"/>
        <v>0.17279999999999995</v>
      </c>
      <c r="R103">
        <f t="shared" si="34"/>
        <v>0.96560000000000001</v>
      </c>
      <c r="S103">
        <f t="shared" si="34"/>
        <v>1.7296</v>
      </c>
      <c r="T103">
        <f t="shared" si="34"/>
        <v>1.7999999999999998</v>
      </c>
    </row>
    <row r="104" spans="2:20" x14ac:dyDescent="0.3">
      <c r="B104" t="s">
        <v>844</v>
      </c>
      <c r="C104"/>
      <c r="D104">
        <f t="shared" ref="D104:I104" si="35">D32*(D33)*D34+D36*(D37)*D38+D40*(D41)*D42</f>
        <v>0</v>
      </c>
      <c r="E104">
        <f t="shared" si="35"/>
        <v>0</v>
      </c>
      <c r="F104">
        <f t="shared" si="35"/>
        <v>0</v>
      </c>
      <c r="G104">
        <f t="shared" si="35"/>
        <v>0</v>
      </c>
      <c r="H104">
        <f t="shared" si="35"/>
        <v>0</v>
      </c>
      <c r="I104">
        <f t="shared" si="35"/>
        <v>0</v>
      </c>
      <c r="M104" t="s">
        <v>844</v>
      </c>
      <c r="N104"/>
      <c r="O104">
        <f t="shared" ref="O104:T104" si="36">O32*(O33)*O34+O36*(O37)*O38+O40*(O41)*O42</f>
        <v>0</v>
      </c>
      <c r="P104">
        <f t="shared" si="36"/>
        <v>0</v>
      </c>
      <c r="Q104">
        <f t="shared" si="36"/>
        <v>0.72720000000000007</v>
      </c>
      <c r="R104">
        <f t="shared" si="36"/>
        <v>1.0344</v>
      </c>
      <c r="S104">
        <f t="shared" si="36"/>
        <v>1.4704000000000002</v>
      </c>
      <c r="T104">
        <f t="shared" si="36"/>
        <v>1.7999999999999998</v>
      </c>
    </row>
    <row r="106" spans="2:20" x14ac:dyDescent="0.3">
      <c r="O106" s="38">
        <f>O99+O103+O104</f>
        <v>0</v>
      </c>
      <c r="P106" s="38">
        <f t="shared" ref="P106:T106" si="37">P99+P103+P104</f>
        <v>5.9399999999999995</v>
      </c>
      <c r="Q106" s="38">
        <f t="shared" si="37"/>
        <v>11.430999999999999</v>
      </c>
      <c r="R106" s="38">
        <f t="shared" si="37"/>
        <v>13.9275</v>
      </c>
      <c r="S106" s="38">
        <f t="shared" si="37"/>
        <v>16.911600000000004</v>
      </c>
      <c r="T106" s="38">
        <f t="shared" si="37"/>
        <v>19.019400000000001</v>
      </c>
    </row>
  </sheetData>
  <mergeCells count="3">
    <mergeCell ref="B5:B6"/>
    <mergeCell ref="D5:I5"/>
    <mergeCell ref="O5:T5"/>
  </mergeCells>
  <hyperlinks>
    <hyperlink ref="B71" r:id="rId1" display="Projet K6 - Cimenterie Eqilum - Lumbres Nord par de Calais. 5Mt en 2050 ciment. Mise en service 2026.  https://www.usinenouvelle.com/article/le-projet-de-captage-et-stockage-de-co2-d-eqiom-finance-par-le-fonds-innovation-europeen.N1162387 et https://www.legifrance.gouv.fr/jorf/id/JORFTEXT000044319595"/>
  </hyperlink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5A5A5"/>
  </sheetPr>
  <dimension ref="A2:AMK55"/>
  <sheetViews>
    <sheetView workbookViewId="0"/>
  </sheetViews>
  <sheetFormatPr baseColWidth="10" defaultColWidth="8.6640625" defaultRowHeight="14.4" x14ac:dyDescent="0.3"/>
  <cols>
    <col min="1" max="30" width="10.44140625" style="38" customWidth="1"/>
    <col min="31" max="48" width="10.44140625" style="38" hidden="1" customWidth="1"/>
    <col min="49" max="1025" width="10.44140625" style="38" customWidth="1"/>
  </cols>
  <sheetData>
    <row r="2" spans="2:60" x14ac:dyDescent="0.3">
      <c r="B2" s="38" t="s">
        <v>3</v>
      </c>
    </row>
    <row r="4" spans="2:60" ht="14.7" customHeight="1" x14ac:dyDescent="0.3">
      <c r="B4" s="702" t="s">
        <v>788</v>
      </c>
      <c r="C4" s="702"/>
      <c r="D4" s="701" t="s">
        <v>789</v>
      </c>
      <c r="E4" s="701"/>
      <c r="F4" s="701"/>
      <c r="G4" s="701"/>
      <c r="H4" s="701"/>
      <c r="I4" s="701"/>
      <c r="J4" s="701"/>
      <c r="K4" s="701"/>
      <c r="L4" s="701"/>
      <c r="M4" s="701" t="s">
        <v>790</v>
      </c>
      <c r="N4" s="701"/>
      <c r="O4" s="701"/>
      <c r="P4" s="701"/>
      <c r="Q4" s="701"/>
      <c r="R4" s="701"/>
      <c r="S4" s="701"/>
      <c r="T4" s="701"/>
      <c r="U4" s="701"/>
      <c r="V4" s="701" t="s">
        <v>791</v>
      </c>
      <c r="W4" s="701"/>
      <c r="X4" s="701"/>
      <c r="Y4" s="701"/>
      <c r="Z4" s="701"/>
      <c r="AA4" s="701"/>
      <c r="AB4" s="701"/>
      <c r="AC4" s="701"/>
      <c r="AD4" s="701"/>
      <c r="AE4" s="701" t="s">
        <v>792</v>
      </c>
      <c r="AF4" s="701"/>
      <c r="AG4" s="701"/>
      <c r="AH4" s="701"/>
      <c r="AI4" s="701"/>
      <c r="AJ4" s="701"/>
      <c r="AK4" s="701"/>
      <c r="AL4" s="701"/>
      <c r="AM4" s="701"/>
      <c r="AN4" s="701" t="s">
        <v>793</v>
      </c>
      <c r="AO4" s="701"/>
      <c r="AP4" s="701"/>
      <c r="AQ4" s="701"/>
      <c r="AR4" s="701"/>
      <c r="AS4" s="701"/>
      <c r="AT4" s="701"/>
      <c r="AU4" s="701"/>
      <c r="AV4" s="701"/>
      <c r="AW4" s="701" t="s">
        <v>794</v>
      </c>
      <c r="AX4" s="701"/>
      <c r="AY4" s="701"/>
      <c r="AZ4" s="701"/>
      <c r="BA4" s="701"/>
      <c r="BB4" s="701"/>
      <c r="BC4" s="701"/>
      <c r="BD4" s="701"/>
      <c r="BE4" s="701"/>
    </row>
    <row r="5" spans="2:60" x14ac:dyDescent="0.3">
      <c r="B5" s="702"/>
      <c r="C5" s="702"/>
      <c r="D5" s="315" t="s">
        <v>6</v>
      </c>
      <c r="E5" s="315" t="s">
        <v>10</v>
      </c>
      <c r="F5" s="315" t="s">
        <v>16</v>
      </c>
      <c r="G5" s="315" t="s">
        <v>15</v>
      </c>
      <c r="H5" s="315" t="s">
        <v>14</v>
      </c>
      <c r="I5" s="315" t="s">
        <v>795</v>
      </c>
      <c r="J5" s="316" t="s">
        <v>12</v>
      </c>
      <c r="K5" s="316" t="s">
        <v>17</v>
      </c>
      <c r="L5" s="316" t="s">
        <v>18</v>
      </c>
      <c r="M5" s="315" t="s">
        <v>6</v>
      </c>
      <c r="N5" s="315" t="s">
        <v>10</v>
      </c>
      <c r="O5" s="315" t="s">
        <v>16</v>
      </c>
      <c r="P5" s="315" t="s">
        <v>15</v>
      </c>
      <c r="Q5" s="315" t="s">
        <v>14</v>
      </c>
      <c r="R5" s="315" t="s">
        <v>795</v>
      </c>
      <c r="S5" s="316" t="s">
        <v>12</v>
      </c>
      <c r="T5" s="316" t="s">
        <v>17</v>
      </c>
      <c r="U5" s="316" t="s">
        <v>18</v>
      </c>
      <c r="V5" s="315" t="s">
        <v>6</v>
      </c>
      <c r="W5" s="315" t="s">
        <v>10</v>
      </c>
      <c r="X5" s="315" t="s">
        <v>16</v>
      </c>
      <c r="Y5" s="315" t="s">
        <v>15</v>
      </c>
      <c r="Z5" s="315" t="s">
        <v>14</v>
      </c>
      <c r="AA5" s="315" t="s">
        <v>795</v>
      </c>
      <c r="AB5" s="316" t="s">
        <v>12</v>
      </c>
      <c r="AC5" s="316" t="s">
        <v>17</v>
      </c>
      <c r="AD5" s="316" t="s">
        <v>18</v>
      </c>
      <c r="AE5" s="315" t="s">
        <v>6</v>
      </c>
      <c r="AF5" s="315" t="s">
        <v>10</v>
      </c>
      <c r="AG5" s="315" t="s">
        <v>16</v>
      </c>
      <c r="AH5" s="315" t="s">
        <v>15</v>
      </c>
      <c r="AI5" s="315" t="s">
        <v>14</v>
      </c>
      <c r="AJ5" s="315" t="s">
        <v>795</v>
      </c>
      <c r="AK5" s="316" t="s">
        <v>12</v>
      </c>
      <c r="AL5" s="316" t="s">
        <v>17</v>
      </c>
      <c r="AM5" s="316" t="s">
        <v>18</v>
      </c>
      <c r="AN5" s="315" t="s">
        <v>6</v>
      </c>
      <c r="AO5" s="315" t="s">
        <v>10</v>
      </c>
      <c r="AP5" s="315" t="s">
        <v>16</v>
      </c>
      <c r="AQ5" s="315" t="s">
        <v>15</v>
      </c>
      <c r="AR5" s="315" t="s">
        <v>14</v>
      </c>
      <c r="AS5" s="315" t="s">
        <v>795</v>
      </c>
      <c r="AT5" s="316" t="s">
        <v>12</v>
      </c>
      <c r="AU5" s="316" t="s">
        <v>17</v>
      </c>
      <c r="AV5" s="316" t="s">
        <v>18</v>
      </c>
      <c r="AW5" s="315" t="s">
        <v>6</v>
      </c>
      <c r="AX5" s="315" t="s">
        <v>10</v>
      </c>
      <c r="AY5" s="315" t="s">
        <v>16</v>
      </c>
      <c r="AZ5" s="315" t="s">
        <v>15</v>
      </c>
      <c r="BA5" s="315" t="s">
        <v>14</v>
      </c>
      <c r="BB5" s="315" t="s">
        <v>795</v>
      </c>
      <c r="BC5" s="316" t="s">
        <v>12</v>
      </c>
      <c r="BD5" s="316" t="s">
        <v>17</v>
      </c>
      <c r="BE5" s="316" t="s">
        <v>18</v>
      </c>
    </row>
    <row r="6" spans="2:60" x14ac:dyDescent="0.3">
      <c r="B6" s="317" t="s">
        <v>796</v>
      </c>
      <c r="C6" s="318" t="s">
        <v>797</v>
      </c>
      <c r="D6" s="319">
        <v>3.0855467839999999</v>
      </c>
      <c r="E6" s="319">
        <v>0.45881</v>
      </c>
      <c r="F6" s="319">
        <v>0.52264500000000003</v>
      </c>
      <c r="G6" s="319">
        <v>0</v>
      </c>
      <c r="H6" s="319">
        <v>0.48256920961041</v>
      </c>
      <c r="I6" s="319">
        <v>0.27113667699007099</v>
      </c>
      <c r="J6" s="319">
        <v>0.45102890040768601</v>
      </c>
      <c r="K6" s="319">
        <v>0</v>
      </c>
      <c r="L6" s="319">
        <v>0</v>
      </c>
      <c r="M6" s="319">
        <v>3.0840223231969399</v>
      </c>
      <c r="N6" s="319">
        <v>0.46509831930825302</v>
      </c>
      <c r="O6" s="319">
        <v>0.52823776727000904</v>
      </c>
      <c r="P6" s="319">
        <v>0</v>
      </c>
      <c r="Q6" s="319">
        <v>0.493487822033645</v>
      </c>
      <c r="R6" s="319">
        <v>0.27354228134493203</v>
      </c>
      <c r="S6" s="319">
        <v>0.44568883173850898</v>
      </c>
      <c r="T6" s="319">
        <v>0</v>
      </c>
      <c r="U6" s="319">
        <v>0</v>
      </c>
      <c r="V6" s="319">
        <v>3.2205782939236198</v>
      </c>
      <c r="W6" s="319">
        <v>0.50026376914374504</v>
      </c>
      <c r="X6" s="319">
        <v>0.54049410528064501</v>
      </c>
      <c r="Y6" s="319">
        <v>0</v>
      </c>
      <c r="Z6" s="319">
        <v>0.52628421859239105</v>
      </c>
      <c r="AA6" s="319">
        <v>0.28700266853787798</v>
      </c>
      <c r="AB6" s="319">
        <v>0.46045705481474503</v>
      </c>
      <c r="AC6" s="319">
        <v>0</v>
      </c>
      <c r="AD6" s="319">
        <v>0</v>
      </c>
      <c r="AE6" s="319">
        <v>3.3610140150791601</v>
      </c>
      <c r="AF6" s="319">
        <v>0.55819536400437098</v>
      </c>
      <c r="AG6" s="319">
        <v>0.55936627836813402</v>
      </c>
      <c r="AH6" s="319">
        <v>0</v>
      </c>
      <c r="AI6" s="319">
        <v>0.589493457968983</v>
      </c>
      <c r="AJ6" s="319">
        <v>0.30778126978495601</v>
      </c>
      <c r="AK6" s="319">
        <v>0.45804255625405299</v>
      </c>
      <c r="AL6" s="319">
        <v>0</v>
      </c>
      <c r="AM6" s="319">
        <v>0</v>
      </c>
      <c r="AN6" s="319">
        <v>3.3684793111392302</v>
      </c>
      <c r="AO6" s="319">
        <v>0.56133497888224204</v>
      </c>
      <c r="AP6" s="319">
        <v>0.560354624050309</v>
      </c>
      <c r="AQ6" s="319">
        <v>0</v>
      </c>
      <c r="AR6" s="319">
        <v>0.59291647134137404</v>
      </c>
      <c r="AS6" s="319">
        <v>0.30888265269971898</v>
      </c>
      <c r="AT6" s="319">
        <v>0.45764842151836399</v>
      </c>
      <c r="AU6" s="319">
        <v>0</v>
      </c>
      <c r="AV6" s="319">
        <v>0</v>
      </c>
      <c r="AW6" s="319">
        <v>3.3684793111392302</v>
      </c>
      <c r="AX6" s="319">
        <v>0.56133497888224204</v>
      </c>
      <c r="AY6" s="319">
        <v>0.560354624050309</v>
      </c>
      <c r="AZ6" s="319">
        <v>0</v>
      </c>
      <c r="BA6" s="319">
        <v>0.59291647134137404</v>
      </c>
      <c r="BB6" s="319">
        <v>0.30888265269971898</v>
      </c>
      <c r="BC6" s="319">
        <v>0.45764842151836399</v>
      </c>
      <c r="BD6" s="319">
        <v>0</v>
      </c>
      <c r="BE6" s="319">
        <v>0</v>
      </c>
      <c r="BG6" s="70">
        <f>SUM(AE6:AM6)</f>
        <v>5.8338929414596574</v>
      </c>
      <c r="BH6" s="70">
        <f>SUM(AW6:BE6)</f>
        <v>5.8496164596312372</v>
      </c>
    </row>
    <row r="7" spans="2:60" x14ac:dyDescent="0.3">
      <c r="B7" s="320" t="s">
        <v>798</v>
      </c>
      <c r="C7" s="318" t="s">
        <v>797</v>
      </c>
      <c r="D7" s="321">
        <v>2.7054697600000002</v>
      </c>
      <c r="E7" s="321">
        <v>0.26743</v>
      </c>
      <c r="F7" s="321">
        <v>0</v>
      </c>
      <c r="G7" s="321">
        <v>0</v>
      </c>
      <c r="H7" s="322">
        <v>0</v>
      </c>
      <c r="I7" s="322">
        <v>0</v>
      </c>
      <c r="J7" s="322">
        <v>0</v>
      </c>
      <c r="K7" s="322">
        <v>0</v>
      </c>
      <c r="L7" s="322">
        <v>0</v>
      </c>
      <c r="M7" s="322">
        <v>2.67450212807378</v>
      </c>
      <c r="N7" s="322">
        <v>0.264368914665219</v>
      </c>
      <c r="O7" s="322">
        <v>0</v>
      </c>
      <c r="P7" s="322">
        <v>0</v>
      </c>
      <c r="Q7" s="322">
        <v>0</v>
      </c>
      <c r="R7" s="322">
        <v>0</v>
      </c>
      <c r="S7" s="322">
        <v>0</v>
      </c>
      <c r="T7" s="322">
        <v>0</v>
      </c>
      <c r="U7" s="322">
        <v>0</v>
      </c>
      <c r="V7" s="321">
        <v>2.7065291866482699</v>
      </c>
      <c r="W7" s="321">
        <v>0.26753472209770501</v>
      </c>
      <c r="X7" s="321">
        <v>0</v>
      </c>
      <c r="Y7" s="321">
        <v>0</v>
      </c>
      <c r="Z7" s="322">
        <v>0</v>
      </c>
      <c r="AA7" s="322">
        <v>0</v>
      </c>
      <c r="AB7" s="322">
        <v>0</v>
      </c>
      <c r="AC7" s="322">
        <v>0</v>
      </c>
      <c r="AD7" s="322">
        <v>0</v>
      </c>
      <c r="AE7" s="321">
        <v>2.6294328589335301</v>
      </c>
      <c r="AF7" s="321">
        <v>0.25991391212762699</v>
      </c>
      <c r="AG7" s="321">
        <v>0</v>
      </c>
      <c r="AH7" s="321">
        <v>0</v>
      </c>
      <c r="AI7" s="322">
        <v>0</v>
      </c>
      <c r="AJ7" s="322">
        <v>0</v>
      </c>
      <c r="AK7" s="322">
        <v>0</v>
      </c>
      <c r="AL7" s="322">
        <v>0</v>
      </c>
      <c r="AM7" s="322">
        <v>0</v>
      </c>
      <c r="AN7" s="321">
        <v>2.6250041282698899</v>
      </c>
      <c r="AO7" s="321">
        <v>0.25947614140888298</v>
      </c>
      <c r="AP7" s="321">
        <v>0</v>
      </c>
      <c r="AQ7" s="321">
        <v>0</v>
      </c>
      <c r="AR7" s="322">
        <v>0</v>
      </c>
      <c r="AS7" s="322">
        <v>0</v>
      </c>
      <c r="AT7" s="322">
        <v>0</v>
      </c>
      <c r="AU7" s="322">
        <v>0</v>
      </c>
      <c r="AV7" s="322">
        <v>0</v>
      </c>
      <c r="AW7" s="321">
        <v>2.6250041282698899</v>
      </c>
      <c r="AX7" s="321">
        <v>0.25947614140888298</v>
      </c>
      <c r="AY7" s="321">
        <v>0</v>
      </c>
      <c r="AZ7" s="321">
        <v>0</v>
      </c>
      <c r="BA7" s="322">
        <v>0</v>
      </c>
      <c r="BB7" s="322">
        <v>0</v>
      </c>
      <c r="BC7" s="322">
        <v>0</v>
      </c>
      <c r="BD7" s="322">
        <v>0</v>
      </c>
      <c r="BE7" s="322">
        <v>0</v>
      </c>
    </row>
    <row r="8" spans="2:60" x14ac:dyDescent="0.3">
      <c r="B8" s="320" t="s">
        <v>571</v>
      </c>
      <c r="C8" s="318" t="s">
        <v>797</v>
      </c>
      <c r="D8" s="321">
        <v>0.38007702399999999</v>
      </c>
      <c r="E8" s="321">
        <v>0.10936</v>
      </c>
      <c r="F8" s="321">
        <v>0</v>
      </c>
      <c r="G8" s="321">
        <v>0</v>
      </c>
      <c r="H8" s="322">
        <v>8.5353554350616895E-2</v>
      </c>
      <c r="I8" s="322">
        <v>3.7468890101210003E-2</v>
      </c>
      <c r="J8" s="322">
        <v>7.0715481985624801E-2</v>
      </c>
      <c r="K8" s="322">
        <v>0</v>
      </c>
      <c r="L8" s="322">
        <v>0</v>
      </c>
      <c r="M8" s="322">
        <v>0.40952019512316301</v>
      </c>
      <c r="N8" s="322">
        <v>0.11783171754857</v>
      </c>
      <c r="O8" s="322">
        <v>0</v>
      </c>
      <c r="P8" s="322">
        <v>0</v>
      </c>
      <c r="Q8" s="322">
        <v>9.1992249491242101E-2</v>
      </c>
      <c r="R8" s="322">
        <v>4.0132314977550099E-2</v>
      </c>
      <c r="S8" s="322">
        <v>7.3080860522054494E-2</v>
      </c>
      <c r="T8" s="322">
        <v>0</v>
      </c>
      <c r="U8" s="322">
        <v>0</v>
      </c>
      <c r="V8" s="321">
        <v>0.51404910727535602</v>
      </c>
      <c r="W8" s="321">
        <v>0.14790794186925901</v>
      </c>
      <c r="X8" s="321">
        <v>0</v>
      </c>
      <c r="Y8" s="321">
        <v>0</v>
      </c>
      <c r="Z8" s="322">
        <v>0.115473020110773</v>
      </c>
      <c r="AA8" s="322">
        <v>5.0154898381019102E-2</v>
      </c>
      <c r="AB8" s="322">
        <v>8.8684105425968995E-2</v>
      </c>
      <c r="AC8" s="322">
        <v>0</v>
      </c>
      <c r="AD8" s="322">
        <v>0</v>
      </c>
      <c r="AE8" s="321">
        <v>0.73158115614563701</v>
      </c>
      <c r="AF8" s="321">
        <v>0.21049868890808501</v>
      </c>
      <c r="AG8" s="321">
        <v>0</v>
      </c>
      <c r="AH8" s="321">
        <v>0</v>
      </c>
      <c r="AI8" s="322">
        <v>0.16433816217293101</v>
      </c>
      <c r="AJ8" s="322">
        <v>7.0246692694474602E-2</v>
      </c>
      <c r="AK8" s="322">
        <v>0.110492357420523</v>
      </c>
      <c r="AL8" s="322">
        <v>0</v>
      </c>
      <c r="AM8" s="322">
        <v>0</v>
      </c>
      <c r="AN8" s="321">
        <v>0.743475182869337</v>
      </c>
      <c r="AO8" s="321">
        <v>0.21392097092033299</v>
      </c>
      <c r="AP8" s="321">
        <v>0</v>
      </c>
      <c r="AQ8" s="321">
        <v>0</v>
      </c>
      <c r="AR8" s="322">
        <v>0.16700996758534301</v>
      </c>
      <c r="AS8" s="322">
        <v>7.1328190509976894E-2</v>
      </c>
      <c r="AT8" s="322">
        <v>0.111447891266963</v>
      </c>
      <c r="AU8" s="322">
        <v>0</v>
      </c>
      <c r="AV8" s="322">
        <v>0</v>
      </c>
      <c r="AW8" s="321">
        <v>0.743475182869337</v>
      </c>
      <c r="AX8" s="321">
        <v>0.21392097092033299</v>
      </c>
      <c r="AY8" s="321">
        <v>0</v>
      </c>
      <c r="AZ8" s="321">
        <v>0</v>
      </c>
      <c r="BA8" s="322">
        <v>0.16700996758534301</v>
      </c>
      <c r="BB8" s="322">
        <v>7.1328190509976894E-2</v>
      </c>
      <c r="BC8" s="322">
        <v>0.111447891266963</v>
      </c>
      <c r="BD8" s="322">
        <v>0</v>
      </c>
      <c r="BE8" s="322">
        <v>0</v>
      </c>
    </row>
    <row r="9" spans="2:60" x14ac:dyDescent="0.3">
      <c r="B9" s="320" t="s">
        <v>799</v>
      </c>
      <c r="C9" s="318" t="s">
        <v>797</v>
      </c>
      <c r="D9" s="321">
        <v>0</v>
      </c>
      <c r="E9" s="321">
        <v>0</v>
      </c>
      <c r="F9" s="321">
        <v>0</v>
      </c>
      <c r="G9" s="321">
        <v>0</v>
      </c>
      <c r="H9" s="322">
        <v>0</v>
      </c>
      <c r="I9" s="322">
        <v>0</v>
      </c>
      <c r="J9" s="322">
        <v>0</v>
      </c>
      <c r="K9" s="322">
        <v>0</v>
      </c>
      <c r="L9" s="322">
        <v>0</v>
      </c>
      <c r="M9" s="322">
        <v>0</v>
      </c>
      <c r="N9" s="322">
        <v>0</v>
      </c>
      <c r="O9" s="322">
        <v>0</v>
      </c>
      <c r="P9" s="322">
        <v>0</v>
      </c>
      <c r="Q9" s="322">
        <v>0</v>
      </c>
      <c r="R9" s="322">
        <v>0</v>
      </c>
      <c r="S9" s="322">
        <v>0</v>
      </c>
      <c r="T9" s="322">
        <v>0</v>
      </c>
      <c r="U9" s="322">
        <v>0</v>
      </c>
      <c r="V9" s="321">
        <v>0</v>
      </c>
      <c r="W9" s="321">
        <v>0</v>
      </c>
      <c r="X9" s="321">
        <v>0</v>
      </c>
      <c r="Y9" s="321">
        <v>0</v>
      </c>
      <c r="Z9" s="322">
        <v>0</v>
      </c>
      <c r="AA9" s="322">
        <v>0</v>
      </c>
      <c r="AB9" s="322">
        <v>0</v>
      </c>
      <c r="AC9" s="322">
        <v>0</v>
      </c>
      <c r="AD9" s="322">
        <v>0</v>
      </c>
      <c r="AE9" s="321">
        <v>0</v>
      </c>
      <c r="AF9" s="321">
        <v>0</v>
      </c>
      <c r="AG9" s="321">
        <v>0</v>
      </c>
      <c r="AH9" s="321">
        <v>0</v>
      </c>
      <c r="AI9" s="322">
        <v>0</v>
      </c>
      <c r="AJ9" s="322">
        <v>0</v>
      </c>
      <c r="AK9" s="322">
        <v>0</v>
      </c>
      <c r="AL9" s="322">
        <v>0</v>
      </c>
      <c r="AM9" s="322">
        <v>0</v>
      </c>
      <c r="AN9" s="321">
        <v>0</v>
      </c>
      <c r="AO9" s="321">
        <v>0</v>
      </c>
      <c r="AP9" s="321">
        <v>0</v>
      </c>
      <c r="AQ9" s="321">
        <v>0</v>
      </c>
      <c r="AR9" s="322">
        <v>0</v>
      </c>
      <c r="AS9" s="322">
        <v>0</v>
      </c>
      <c r="AT9" s="322">
        <v>0</v>
      </c>
      <c r="AU9" s="322">
        <v>0</v>
      </c>
      <c r="AV9" s="322">
        <v>0</v>
      </c>
      <c r="AW9" s="321">
        <v>0</v>
      </c>
      <c r="AX9" s="321">
        <v>0</v>
      </c>
      <c r="AY9" s="321">
        <v>0</v>
      </c>
      <c r="AZ9" s="321">
        <v>0</v>
      </c>
      <c r="BA9" s="322">
        <v>0</v>
      </c>
      <c r="BB9" s="322">
        <v>0</v>
      </c>
      <c r="BC9" s="322">
        <v>0</v>
      </c>
      <c r="BD9" s="322">
        <v>0</v>
      </c>
      <c r="BE9" s="322">
        <v>0</v>
      </c>
    </row>
    <row r="10" spans="2:60" x14ac:dyDescent="0.3">
      <c r="B10" s="320" t="s">
        <v>800</v>
      </c>
      <c r="C10" s="318" t="s">
        <v>797</v>
      </c>
      <c r="D10" s="321">
        <v>0</v>
      </c>
      <c r="E10" s="321">
        <v>0</v>
      </c>
      <c r="F10" s="321">
        <v>0</v>
      </c>
      <c r="G10" s="321">
        <v>0</v>
      </c>
      <c r="H10" s="322">
        <v>0</v>
      </c>
      <c r="I10" s="322">
        <v>0</v>
      </c>
      <c r="J10" s="322">
        <v>7.3700000000000002E-2</v>
      </c>
      <c r="K10" s="322">
        <v>0</v>
      </c>
      <c r="L10" s="322">
        <v>0</v>
      </c>
      <c r="M10" s="322">
        <v>0</v>
      </c>
      <c r="N10" s="322">
        <v>0</v>
      </c>
      <c r="O10" s="322">
        <v>0</v>
      </c>
      <c r="P10" s="322">
        <v>0</v>
      </c>
      <c r="Q10" s="322">
        <v>0</v>
      </c>
      <c r="R10" s="322">
        <v>0</v>
      </c>
      <c r="S10" s="322">
        <v>7.2730583469592894E-2</v>
      </c>
      <c r="T10" s="322">
        <v>0</v>
      </c>
      <c r="U10" s="322">
        <v>0</v>
      </c>
      <c r="V10" s="321">
        <v>0</v>
      </c>
      <c r="W10" s="321">
        <v>0</v>
      </c>
      <c r="X10" s="321">
        <v>0</v>
      </c>
      <c r="Y10" s="321">
        <v>0</v>
      </c>
      <c r="Z10" s="322">
        <v>0</v>
      </c>
      <c r="AA10" s="322">
        <v>0</v>
      </c>
      <c r="AB10" s="322">
        <v>7.2739172807993094E-2</v>
      </c>
      <c r="AC10" s="322">
        <v>0</v>
      </c>
      <c r="AD10" s="322">
        <v>0</v>
      </c>
      <c r="AE10" s="321">
        <v>0</v>
      </c>
      <c r="AF10" s="321">
        <v>0</v>
      </c>
      <c r="AG10" s="321">
        <v>0</v>
      </c>
      <c r="AH10" s="321">
        <v>0</v>
      </c>
      <c r="AI10" s="322">
        <v>0</v>
      </c>
      <c r="AJ10" s="322">
        <v>0</v>
      </c>
      <c r="AK10" s="322">
        <v>6.8122311937718297E-2</v>
      </c>
      <c r="AL10" s="322">
        <v>0</v>
      </c>
      <c r="AM10" s="322">
        <v>0</v>
      </c>
      <c r="AN10" s="321">
        <v>0</v>
      </c>
      <c r="AO10" s="321">
        <v>0</v>
      </c>
      <c r="AP10" s="321">
        <v>0</v>
      </c>
      <c r="AQ10" s="321">
        <v>0</v>
      </c>
      <c r="AR10" s="322">
        <v>0</v>
      </c>
      <c r="AS10" s="322">
        <v>0</v>
      </c>
      <c r="AT10" s="322">
        <v>6.7863142507480601E-2</v>
      </c>
      <c r="AU10" s="322">
        <v>0</v>
      </c>
      <c r="AV10" s="322">
        <v>0</v>
      </c>
      <c r="AW10" s="321">
        <v>0</v>
      </c>
      <c r="AX10" s="321">
        <v>0</v>
      </c>
      <c r="AY10" s="321">
        <v>0</v>
      </c>
      <c r="AZ10" s="321">
        <v>0</v>
      </c>
      <c r="BA10" s="322">
        <v>0</v>
      </c>
      <c r="BB10" s="322">
        <v>0</v>
      </c>
      <c r="BC10" s="322">
        <v>6.7863142507480601E-2</v>
      </c>
      <c r="BD10" s="322">
        <v>0</v>
      </c>
      <c r="BE10" s="322">
        <v>0</v>
      </c>
    </row>
    <row r="11" spans="2:60" x14ac:dyDescent="0.3">
      <c r="B11" s="323" t="s">
        <v>801</v>
      </c>
      <c r="C11" s="318" t="s">
        <v>797</v>
      </c>
      <c r="D11" s="321">
        <v>0</v>
      </c>
      <c r="E11" s="321">
        <v>8.2019999999999996E-2</v>
      </c>
      <c r="F11" s="321">
        <v>0.52264500000000003</v>
      </c>
      <c r="G11" s="321">
        <v>0</v>
      </c>
      <c r="H11" s="322">
        <v>0.39721565525979302</v>
      </c>
      <c r="I11" s="322">
        <v>0.233667786888861</v>
      </c>
      <c r="J11" s="322">
        <v>0.30661341842206102</v>
      </c>
      <c r="K11" s="322">
        <v>0</v>
      </c>
      <c r="L11" s="322">
        <v>0</v>
      </c>
      <c r="M11" s="322">
        <v>0</v>
      </c>
      <c r="N11" s="322">
        <v>8.2897687094464101E-2</v>
      </c>
      <c r="O11" s="322">
        <v>0.52823776727000904</v>
      </c>
      <c r="P11" s="322">
        <v>0</v>
      </c>
      <c r="Q11" s="322">
        <v>0.40149557254240298</v>
      </c>
      <c r="R11" s="322">
        <v>0.23340996636738201</v>
      </c>
      <c r="S11" s="322">
        <v>0.29987738774686201</v>
      </c>
      <c r="T11" s="322">
        <v>0</v>
      </c>
      <c r="U11" s="322">
        <v>0</v>
      </c>
      <c r="V11" s="321">
        <v>0</v>
      </c>
      <c r="W11" s="321">
        <v>8.4821105176780695E-2</v>
      </c>
      <c r="X11" s="321">
        <v>0.54049410528064501</v>
      </c>
      <c r="Y11" s="321">
        <v>0</v>
      </c>
      <c r="Z11" s="322">
        <v>0.41081119848161801</v>
      </c>
      <c r="AA11" s="322">
        <v>0.23684777015685901</v>
      </c>
      <c r="AB11" s="322">
        <v>0.29903377658078301</v>
      </c>
      <c r="AC11" s="322">
        <v>0</v>
      </c>
      <c r="AD11" s="322">
        <v>0</v>
      </c>
      <c r="AE11" s="321">
        <v>0</v>
      </c>
      <c r="AF11" s="321">
        <v>8.7782762968658098E-2</v>
      </c>
      <c r="AG11" s="321">
        <v>0.55936627836813402</v>
      </c>
      <c r="AH11" s="321">
        <v>0</v>
      </c>
      <c r="AI11" s="322">
        <v>0.42515529579605199</v>
      </c>
      <c r="AJ11" s="322">
        <v>0.23753457709048101</v>
      </c>
      <c r="AK11" s="322">
        <v>0.27942788689581199</v>
      </c>
      <c r="AL11" s="322">
        <v>0</v>
      </c>
      <c r="AM11" s="322">
        <v>0</v>
      </c>
      <c r="AN11" s="321">
        <v>0</v>
      </c>
      <c r="AO11" s="321">
        <v>8.7937866553026101E-2</v>
      </c>
      <c r="AP11" s="321">
        <v>0.560354624050309</v>
      </c>
      <c r="AQ11" s="321">
        <v>0</v>
      </c>
      <c r="AR11" s="322">
        <v>0.42590650375603101</v>
      </c>
      <c r="AS11" s="322">
        <v>0.23755446218974199</v>
      </c>
      <c r="AT11" s="322">
        <v>0.27833738774391997</v>
      </c>
      <c r="AU11" s="322">
        <v>0</v>
      </c>
      <c r="AV11" s="322">
        <v>0</v>
      </c>
      <c r="AW11" s="321">
        <v>0</v>
      </c>
      <c r="AX11" s="321">
        <v>8.7937866553026101E-2</v>
      </c>
      <c r="AY11" s="321">
        <v>0.560354624050309</v>
      </c>
      <c r="AZ11" s="321">
        <v>0</v>
      </c>
      <c r="BA11" s="322">
        <v>0.42590650375603101</v>
      </c>
      <c r="BB11" s="322">
        <v>0.23755446218974199</v>
      </c>
      <c r="BC11" s="322">
        <v>0.27833738774391997</v>
      </c>
      <c r="BD11" s="322">
        <v>0</v>
      </c>
      <c r="BE11" s="322">
        <v>0</v>
      </c>
    </row>
    <row r="12" spans="2:60" x14ac:dyDescent="0.3">
      <c r="B12" s="324" t="s">
        <v>802</v>
      </c>
      <c r="C12" s="318" t="s">
        <v>797</v>
      </c>
      <c r="D12" s="325">
        <v>0.47199999999999998</v>
      </c>
      <c r="E12" s="325">
        <v>0.129</v>
      </c>
      <c r="F12" s="325">
        <v>3.2250000000000001</v>
      </c>
      <c r="G12" s="325">
        <v>0</v>
      </c>
      <c r="H12" s="325">
        <v>5.0241974510259E-3</v>
      </c>
      <c r="I12" s="325">
        <v>9.7934215665656504E-3</v>
      </c>
      <c r="J12" s="325">
        <v>1.0574619742197899</v>
      </c>
      <c r="K12" s="325">
        <v>3.6507849999999999</v>
      </c>
      <c r="L12" s="325">
        <v>0</v>
      </c>
      <c r="M12" s="325">
        <v>0.47229944660151302</v>
      </c>
      <c r="N12" s="325">
        <v>0.121269246678803</v>
      </c>
      <c r="O12" s="325">
        <v>3.1436165524496098</v>
      </c>
      <c r="P12" s="325">
        <v>0</v>
      </c>
      <c r="Q12" s="325">
        <v>4.7142340369556203E-3</v>
      </c>
      <c r="R12" s="325">
        <v>8.6925223790535796E-3</v>
      </c>
      <c r="S12" s="325">
        <v>1.09303072578199</v>
      </c>
      <c r="T12" s="325">
        <v>3.8884363513616198</v>
      </c>
      <c r="U12" s="325">
        <v>0</v>
      </c>
      <c r="V12" s="325">
        <v>0.49271964422582298</v>
      </c>
      <c r="W12" s="326">
        <v>0.102785563651352</v>
      </c>
      <c r="X12" s="325">
        <v>3.1094460662600998</v>
      </c>
      <c r="Y12" s="325">
        <v>0</v>
      </c>
      <c r="Z12" s="325">
        <v>3.0309897682157098E-3</v>
      </c>
      <c r="AA12" s="325">
        <v>5.36509154803432E-3</v>
      </c>
      <c r="AB12" s="325">
        <v>0.65874266337388998</v>
      </c>
      <c r="AC12" s="325">
        <v>4.5624557158814998</v>
      </c>
      <c r="AD12" s="325">
        <v>0</v>
      </c>
      <c r="AE12" s="325">
        <v>0.486792497605464</v>
      </c>
      <c r="AF12" s="326">
        <v>6.7833905613718701E-2</v>
      </c>
      <c r="AG12" s="325">
        <v>2.6942801958918099</v>
      </c>
      <c r="AH12" s="325">
        <v>0</v>
      </c>
      <c r="AI12" s="325">
        <v>5.1111327305519304E-4</v>
      </c>
      <c r="AJ12" s="325">
        <v>7.6572627278627598E-4</v>
      </c>
      <c r="AK12" s="325">
        <v>8.9085682305819494E-2</v>
      </c>
      <c r="AL12" s="325">
        <v>6.0392857737735302</v>
      </c>
      <c r="AM12" s="325">
        <v>0</v>
      </c>
      <c r="AN12" s="325">
        <v>0.48605527621399203</v>
      </c>
      <c r="AO12" s="325">
        <v>0.105026771181434</v>
      </c>
      <c r="AP12" s="325">
        <v>3.1416520812547502</v>
      </c>
      <c r="AQ12" s="325">
        <v>0</v>
      </c>
      <c r="AR12" s="325">
        <v>3.7108196006756499E-4</v>
      </c>
      <c r="AS12" s="325">
        <v>5.5062696202502705E-4</v>
      </c>
      <c r="AT12" s="325">
        <v>6.3838028605139693E-2</v>
      </c>
      <c r="AU12" s="325">
        <v>4.6569870393792101</v>
      </c>
      <c r="AV12" s="325">
        <v>0</v>
      </c>
      <c r="AW12" s="325">
        <v>0.48605527621399203</v>
      </c>
      <c r="AX12" s="327">
        <v>6.6000000000000003E-2</v>
      </c>
      <c r="AY12" s="327">
        <v>2.66</v>
      </c>
      <c r="AZ12" s="325">
        <v>0</v>
      </c>
      <c r="BA12" s="325">
        <v>3.7108196006756499E-4</v>
      </c>
      <c r="BB12" s="325">
        <v>5.5062696202502705E-4</v>
      </c>
      <c r="BC12" s="327">
        <v>0.08</v>
      </c>
      <c r="BD12" s="327">
        <v>6.1</v>
      </c>
      <c r="BE12" s="325">
        <v>0</v>
      </c>
      <c r="BG12" s="70">
        <f>SUM(AE12:AM12)</f>
        <v>9.3785548947361832</v>
      </c>
      <c r="BH12" s="70">
        <f>SUM(AW12:BE12)</f>
        <v>9.3929769851360838</v>
      </c>
    </row>
    <row r="13" spans="2:60" x14ac:dyDescent="0.3">
      <c r="B13" s="328" t="s">
        <v>803</v>
      </c>
      <c r="C13" s="318" t="s">
        <v>797</v>
      </c>
      <c r="D13" s="329">
        <v>0.47199999999999998</v>
      </c>
      <c r="E13" s="329">
        <v>0.129</v>
      </c>
      <c r="F13" s="329">
        <v>3.2250000000000001</v>
      </c>
      <c r="G13" s="329">
        <v>0</v>
      </c>
      <c r="H13" s="330">
        <v>5.0241974510259E-3</v>
      </c>
      <c r="I13" s="330">
        <v>9.7934215665656504E-3</v>
      </c>
      <c r="J13" s="330">
        <v>1.0574619742197899</v>
      </c>
      <c r="K13" s="330">
        <v>3.6507849999999999</v>
      </c>
      <c r="L13" s="330">
        <v>0</v>
      </c>
      <c r="M13" s="330">
        <v>0.47229944660151302</v>
      </c>
      <c r="N13" s="330">
        <v>0.121269246678803</v>
      </c>
      <c r="O13" s="330">
        <v>3.1436165524496098</v>
      </c>
      <c r="P13" s="330">
        <v>0</v>
      </c>
      <c r="Q13" s="330">
        <v>4.7142340369556203E-3</v>
      </c>
      <c r="R13" s="330">
        <v>8.6925223790535796E-3</v>
      </c>
      <c r="S13" s="330">
        <v>1.09303072578199</v>
      </c>
      <c r="T13" s="330">
        <v>3.8884363513616198</v>
      </c>
      <c r="U13" s="330">
        <v>0</v>
      </c>
      <c r="V13" s="329">
        <v>0.49271964422582298</v>
      </c>
      <c r="W13" s="329">
        <v>0.102785563651352</v>
      </c>
      <c r="X13" s="329">
        <v>3.1094460662600998</v>
      </c>
      <c r="Y13" s="329">
        <v>0</v>
      </c>
      <c r="Z13" s="330">
        <v>3.0309897682157098E-3</v>
      </c>
      <c r="AA13" s="330">
        <v>5.36509154803432E-3</v>
      </c>
      <c r="AB13" s="330">
        <v>0.65874266337388998</v>
      </c>
      <c r="AC13" s="330">
        <v>4.5624557158814998</v>
      </c>
      <c r="AD13" s="330">
        <v>0</v>
      </c>
      <c r="AE13" s="329">
        <v>0.486792497605464</v>
      </c>
      <c r="AF13" s="329">
        <v>6.7833905613718701E-2</v>
      </c>
      <c r="AG13" s="329">
        <v>2.6942801958918099</v>
      </c>
      <c r="AH13" s="329">
        <v>0</v>
      </c>
      <c r="AI13" s="330">
        <v>5.1111327305519304E-4</v>
      </c>
      <c r="AJ13" s="330">
        <v>7.6572627278627598E-4</v>
      </c>
      <c r="AK13" s="330">
        <v>8.9085682305819494E-2</v>
      </c>
      <c r="AL13" s="330">
        <v>6.0392857737735302</v>
      </c>
      <c r="AM13" s="330">
        <v>0</v>
      </c>
      <c r="AN13" s="329">
        <v>0.48605527621399203</v>
      </c>
      <c r="AO13" s="329">
        <v>0.105026771181434</v>
      </c>
      <c r="AP13" s="329">
        <v>3.1416520812547502</v>
      </c>
      <c r="AQ13" s="329">
        <v>0</v>
      </c>
      <c r="AR13" s="330">
        <v>3.7108196006756499E-4</v>
      </c>
      <c r="AS13" s="330">
        <v>5.5062696202502705E-4</v>
      </c>
      <c r="AT13" s="330">
        <v>6.3838028605139693E-2</v>
      </c>
      <c r="AU13" s="330">
        <v>4.6569870393792101</v>
      </c>
      <c r="AV13" s="330">
        <v>0</v>
      </c>
      <c r="AW13" s="329">
        <v>0.48605527621399203</v>
      </c>
      <c r="AX13" s="331">
        <v>7.0000000000000007E-2</v>
      </c>
      <c r="AY13" s="331">
        <v>2.66</v>
      </c>
      <c r="AZ13" s="329">
        <v>0</v>
      </c>
      <c r="BA13" s="330">
        <v>3.7108196006756499E-4</v>
      </c>
      <c r="BB13" s="330">
        <v>5.5062696202502705E-4</v>
      </c>
      <c r="BC13" s="332">
        <v>0.08</v>
      </c>
      <c r="BD13" s="332">
        <v>6.1</v>
      </c>
      <c r="BE13" s="330">
        <v>0</v>
      </c>
    </row>
    <row r="14" spans="2:60" x14ac:dyDescent="0.3">
      <c r="B14" s="333" t="s">
        <v>804</v>
      </c>
      <c r="C14" s="318" t="s">
        <v>797</v>
      </c>
      <c r="D14" s="334">
        <v>3.0200613631105</v>
      </c>
      <c r="E14" s="334">
        <v>0.44015162419749998</v>
      </c>
      <c r="F14" s="334">
        <v>0.10675770492</v>
      </c>
      <c r="G14" s="334">
        <v>0</v>
      </c>
      <c r="H14" s="334">
        <v>0.17388883742158701</v>
      </c>
      <c r="I14" s="334">
        <v>9.3357908935547199E-2</v>
      </c>
      <c r="J14" s="334">
        <v>0.37326955346134799</v>
      </c>
      <c r="K14" s="334">
        <v>0</v>
      </c>
      <c r="L14" s="334">
        <v>0</v>
      </c>
      <c r="M14" s="334">
        <v>3.2157321595065498</v>
      </c>
      <c r="N14" s="334">
        <v>0.50304478644531303</v>
      </c>
      <c r="O14" s="334">
        <v>0.106131403062222</v>
      </c>
      <c r="P14" s="334">
        <v>0</v>
      </c>
      <c r="Q14" s="334">
        <v>0.18475835603471699</v>
      </c>
      <c r="R14" s="334">
        <v>9.8233477756070095E-2</v>
      </c>
      <c r="S14" s="334">
        <v>0.366153392556894</v>
      </c>
      <c r="T14" s="334">
        <v>0</v>
      </c>
      <c r="U14" s="334">
        <v>0</v>
      </c>
      <c r="V14" s="335">
        <v>3.7067891783198399</v>
      </c>
      <c r="W14" s="334">
        <v>0.673234144938056</v>
      </c>
      <c r="X14" s="334">
        <v>0.110003745138209</v>
      </c>
      <c r="Y14" s="334">
        <v>0</v>
      </c>
      <c r="Z14" s="334">
        <v>0.21959900372148</v>
      </c>
      <c r="AA14" s="334">
        <v>0.115629255305643</v>
      </c>
      <c r="AB14" s="334">
        <v>0.376661387404156</v>
      </c>
      <c r="AC14" s="334">
        <v>0</v>
      </c>
      <c r="AD14" s="334">
        <v>0</v>
      </c>
      <c r="AE14" s="335">
        <v>5.2278645300337301</v>
      </c>
      <c r="AF14" s="334">
        <v>1.09755605292712</v>
      </c>
      <c r="AG14" s="334">
        <v>0.12893322046395</v>
      </c>
      <c r="AH14" s="334">
        <v>0</v>
      </c>
      <c r="AI14" s="334">
        <v>0.31606316745445201</v>
      </c>
      <c r="AJ14" s="334">
        <v>0.16248398383350701</v>
      </c>
      <c r="AK14" s="334">
        <v>0.40538608244894597</v>
      </c>
      <c r="AL14" s="334">
        <v>0</v>
      </c>
      <c r="AM14" s="334">
        <v>0</v>
      </c>
      <c r="AN14" s="335">
        <v>5.3174400922828804</v>
      </c>
      <c r="AO14" s="334">
        <v>1.11458020841451</v>
      </c>
      <c r="AP14" s="334">
        <v>0.13003586197407499</v>
      </c>
      <c r="AQ14" s="334">
        <v>0</v>
      </c>
      <c r="AR14" s="334">
        <v>0.32185724115008202</v>
      </c>
      <c r="AS14" s="334">
        <v>0.1652714230874</v>
      </c>
      <c r="AT14" s="334">
        <v>0.40563834922070902</v>
      </c>
      <c r="AU14" s="334">
        <v>0</v>
      </c>
      <c r="AV14" s="334">
        <v>0</v>
      </c>
      <c r="AW14" s="335">
        <v>5.3174400922828804</v>
      </c>
      <c r="AX14" s="334">
        <v>1.11458020841451</v>
      </c>
      <c r="AY14" s="334">
        <v>0.13003586197407499</v>
      </c>
      <c r="AZ14" s="334">
        <v>0</v>
      </c>
      <c r="BA14" s="334">
        <v>0.32185724115008202</v>
      </c>
      <c r="BB14" s="334">
        <v>0.1652714230874</v>
      </c>
      <c r="BC14" s="334">
        <v>0.40563834922070902</v>
      </c>
      <c r="BD14" s="334">
        <v>0</v>
      </c>
      <c r="BE14" s="334">
        <v>0</v>
      </c>
      <c r="BG14" s="70">
        <f>SUM(AE14:AM14)</f>
        <v>7.3382870371617059</v>
      </c>
      <c r="BH14" s="70">
        <f>SUM(AW14:BE14)</f>
        <v>7.4548231761296559</v>
      </c>
    </row>
    <row r="15" spans="2:60" x14ac:dyDescent="0.3">
      <c r="B15" s="336" t="s">
        <v>805</v>
      </c>
      <c r="C15" s="318" t="s">
        <v>797</v>
      </c>
      <c r="D15" s="335">
        <v>2.8304276828604999</v>
      </c>
      <c r="E15" s="335">
        <v>0.29845278552249999</v>
      </c>
      <c r="F15" s="335">
        <v>0.10675770492</v>
      </c>
      <c r="G15" s="335">
        <v>0</v>
      </c>
      <c r="H15" s="337">
        <v>0.17313813080340401</v>
      </c>
      <c r="I15" s="337">
        <v>9.29780919153219E-2</v>
      </c>
      <c r="J15" s="337">
        <v>0.35630325677625502</v>
      </c>
      <c r="K15" s="337">
        <v>0</v>
      </c>
      <c r="L15" s="337">
        <v>0</v>
      </c>
      <c r="M15" s="337">
        <v>3.0203516417702301</v>
      </c>
      <c r="N15" s="337">
        <v>0.34058380006014499</v>
      </c>
      <c r="O15" s="337">
        <v>0.106131403062222</v>
      </c>
      <c r="P15" s="337">
        <v>0</v>
      </c>
      <c r="Q15" s="337">
        <v>0.18389359669835401</v>
      </c>
      <c r="R15" s="337">
        <v>9.7795959162146603E-2</v>
      </c>
      <c r="S15" s="337">
        <v>0.34804660027780199</v>
      </c>
      <c r="T15" s="337">
        <v>0</v>
      </c>
      <c r="U15" s="337">
        <v>0</v>
      </c>
      <c r="V15" s="335">
        <v>3.5442878863053702</v>
      </c>
      <c r="W15" s="335">
        <v>0.45734135193964098</v>
      </c>
      <c r="X15" s="335">
        <v>0.110003745138209</v>
      </c>
      <c r="Y15" s="335">
        <v>0</v>
      </c>
      <c r="Z15" s="337">
        <v>0.218451723892509</v>
      </c>
      <c r="AA15" s="337">
        <v>0.115048797557667</v>
      </c>
      <c r="AB15" s="337">
        <v>0.35447458908213803</v>
      </c>
      <c r="AC15" s="337">
        <v>0</v>
      </c>
      <c r="AD15" s="337">
        <v>0</v>
      </c>
      <c r="AE15" s="335">
        <v>5.0138979825097696</v>
      </c>
      <c r="AF15" s="335">
        <v>0.76020673310887699</v>
      </c>
      <c r="AG15" s="335">
        <v>0.12893322046395</v>
      </c>
      <c r="AH15" s="335">
        <v>0</v>
      </c>
      <c r="AI15" s="337">
        <v>0.3141793964881</v>
      </c>
      <c r="AJ15" s="337">
        <v>0.16153090384077701</v>
      </c>
      <c r="AK15" s="337">
        <v>0.37724510082046803</v>
      </c>
      <c r="AL15" s="337">
        <v>0</v>
      </c>
      <c r="AM15" s="337">
        <v>0</v>
      </c>
      <c r="AN15" s="335">
        <v>5.1013015921590901</v>
      </c>
      <c r="AO15" s="335">
        <v>0.77888611871016999</v>
      </c>
      <c r="AP15" s="335">
        <v>0.13003586197407499</v>
      </c>
      <c r="AQ15" s="335">
        <v>0</v>
      </c>
      <c r="AR15" s="337">
        <v>0.31993218329260498</v>
      </c>
      <c r="AS15" s="337">
        <v>0.16429745429741299</v>
      </c>
      <c r="AT15" s="337">
        <v>0.37790586269496101</v>
      </c>
      <c r="AU15" s="337">
        <v>0</v>
      </c>
      <c r="AV15" s="337">
        <v>0</v>
      </c>
      <c r="AW15" s="335">
        <v>5.1013015921590901</v>
      </c>
      <c r="AX15" s="335">
        <v>0.77888611871016999</v>
      </c>
      <c r="AY15" s="335">
        <v>0.13003586197407499</v>
      </c>
      <c r="AZ15" s="335">
        <v>0</v>
      </c>
      <c r="BA15" s="337">
        <v>0.31993218329260498</v>
      </c>
      <c r="BB15" s="337">
        <v>0.16429745429741299</v>
      </c>
      <c r="BC15" s="337">
        <v>0.37790586269496101</v>
      </c>
      <c r="BD15" s="337">
        <v>0</v>
      </c>
      <c r="BE15" s="337">
        <v>0</v>
      </c>
    </row>
    <row r="16" spans="2:60" ht="28.8" x14ac:dyDescent="0.3">
      <c r="B16" s="338" t="s">
        <v>806</v>
      </c>
      <c r="C16" s="318" t="s">
        <v>797</v>
      </c>
      <c r="D16" s="335">
        <v>0.18963368024999999</v>
      </c>
      <c r="E16" s="335">
        <v>0.14169883867499999</v>
      </c>
      <c r="F16" s="335">
        <v>0</v>
      </c>
      <c r="G16" s="335">
        <v>0</v>
      </c>
      <c r="H16" s="337">
        <v>7.5070661818359304E-4</v>
      </c>
      <c r="I16" s="337">
        <v>3.7981702022522499E-4</v>
      </c>
      <c r="J16" s="337">
        <v>1.6966296685092801E-2</v>
      </c>
      <c r="K16" s="337">
        <v>0</v>
      </c>
      <c r="L16" s="337">
        <v>0</v>
      </c>
      <c r="M16" s="337">
        <v>0.19538051773632001</v>
      </c>
      <c r="N16" s="337">
        <v>0.16246098638516701</v>
      </c>
      <c r="O16" s="337">
        <v>0</v>
      </c>
      <c r="P16" s="337">
        <v>0</v>
      </c>
      <c r="Q16" s="337">
        <v>8.6475933636328401E-4</v>
      </c>
      <c r="R16" s="337">
        <v>4.37518593923517E-4</v>
      </c>
      <c r="S16" s="337">
        <v>1.8106792279092E-2</v>
      </c>
      <c r="T16" s="337">
        <v>0</v>
      </c>
      <c r="U16" s="337">
        <v>0</v>
      </c>
      <c r="V16" s="335">
        <v>0.162501292014474</v>
      </c>
      <c r="W16" s="335">
        <v>0.21589279299841499</v>
      </c>
      <c r="X16" s="335">
        <v>0</v>
      </c>
      <c r="Y16" s="335">
        <v>0</v>
      </c>
      <c r="Z16" s="337">
        <v>1.1472798289716599E-3</v>
      </c>
      <c r="AA16" s="337">
        <v>5.8045774797649296E-4</v>
      </c>
      <c r="AB16" s="337">
        <v>2.2186798322018302E-2</v>
      </c>
      <c r="AC16" s="337">
        <v>0</v>
      </c>
      <c r="AD16" s="337">
        <v>0</v>
      </c>
      <c r="AE16" s="335">
        <v>0.213966547523951</v>
      </c>
      <c r="AF16" s="335">
        <v>0.33734931981824501</v>
      </c>
      <c r="AG16" s="335">
        <v>0</v>
      </c>
      <c r="AH16" s="335">
        <v>0</v>
      </c>
      <c r="AI16" s="337">
        <v>1.8837709663523401E-3</v>
      </c>
      <c r="AJ16" s="337">
        <v>9.5307999273038597E-4</v>
      </c>
      <c r="AK16" s="337">
        <v>2.8140981628477401E-2</v>
      </c>
      <c r="AL16" s="337">
        <v>0</v>
      </c>
      <c r="AM16" s="337">
        <v>0</v>
      </c>
      <c r="AN16" s="335">
        <v>0.216138500123783</v>
      </c>
      <c r="AO16" s="335">
        <v>0.335694089704342</v>
      </c>
      <c r="AP16" s="335">
        <v>0</v>
      </c>
      <c r="AQ16" s="335">
        <v>0</v>
      </c>
      <c r="AR16" s="337">
        <v>1.92505785747691E-3</v>
      </c>
      <c r="AS16" s="337">
        <v>9.7396878998660898E-4</v>
      </c>
      <c r="AT16" s="337">
        <v>2.77324865257483E-2</v>
      </c>
      <c r="AU16" s="337">
        <v>0</v>
      </c>
      <c r="AV16" s="337">
        <v>0</v>
      </c>
      <c r="AW16" s="335">
        <v>0.216138500123783</v>
      </c>
      <c r="AX16" s="335">
        <v>0.335694089704342</v>
      </c>
      <c r="AY16" s="335">
        <v>0</v>
      </c>
      <c r="AZ16" s="335">
        <v>0</v>
      </c>
      <c r="BA16" s="337">
        <v>1.92505785747691E-3</v>
      </c>
      <c r="BB16" s="337">
        <v>9.7396878998660898E-4</v>
      </c>
      <c r="BC16" s="337">
        <v>2.77324865257483E-2</v>
      </c>
      <c r="BD16" s="337">
        <v>0</v>
      </c>
      <c r="BE16" s="337">
        <v>0</v>
      </c>
    </row>
    <row r="17" spans="2:60" x14ac:dyDescent="0.3">
      <c r="B17" s="339" t="s">
        <v>807</v>
      </c>
      <c r="C17" s="318" t="s">
        <v>797</v>
      </c>
      <c r="D17" s="340">
        <v>5.8579592548119797</v>
      </c>
      <c r="E17" s="341">
        <v>0.33786776018916098</v>
      </c>
      <c r="F17" s="340">
        <v>1.0751321085718999</v>
      </c>
      <c r="G17" s="340">
        <v>13.304506527272199</v>
      </c>
      <c r="H17" s="340">
        <v>0.18352956758981201</v>
      </c>
      <c r="I17" s="340">
        <v>0.34633279205505202</v>
      </c>
      <c r="J17" s="340">
        <v>0.71500585526861804</v>
      </c>
      <c r="K17" s="340">
        <v>0</v>
      </c>
      <c r="L17" s="340">
        <v>0</v>
      </c>
      <c r="M17" s="340">
        <v>5.4357527304441202</v>
      </c>
      <c r="N17" s="340">
        <v>0.340336447074366</v>
      </c>
      <c r="O17" s="340">
        <v>1.0877200210403399</v>
      </c>
      <c r="P17" s="340">
        <v>12.374536818341699</v>
      </c>
      <c r="Q17" s="340">
        <v>0.18160348245223101</v>
      </c>
      <c r="R17" s="340">
        <v>0.31898143577178201</v>
      </c>
      <c r="S17" s="340">
        <v>0.65708549017962503</v>
      </c>
      <c r="T17" s="340">
        <v>0</v>
      </c>
      <c r="U17" s="340">
        <v>0</v>
      </c>
      <c r="V17" s="340">
        <v>4.68287748306241</v>
      </c>
      <c r="W17" s="341">
        <v>0.32645804325622901</v>
      </c>
      <c r="X17" s="340">
        <v>1.03531838677382</v>
      </c>
      <c r="Y17" s="340">
        <v>11.5299133824051</v>
      </c>
      <c r="Z17" s="340">
        <v>0.168102960439653</v>
      </c>
      <c r="AA17" s="340">
        <v>0.282463095173064</v>
      </c>
      <c r="AB17" s="340">
        <v>0.58256373730612399</v>
      </c>
      <c r="AC17" s="340">
        <v>0</v>
      </c>
      <c r="AD17" s="340">
        <v>0</v>
      </c>
      <c r="AE17" s="340">
        <v>3.5653094514171499</v>
      </c>
      <c r="AF17" s="341">
        <v>0.27154138451394999</v>
      </c>
      <c r="AG17" s="340">
        <v>0.67486589657000995</v>
      </c>
      <c r="AH17" s="340">
        <v>9.0375236589511392</v>
      </c>
      <c r="AI17" s="340">
        <v>0.115591679357865</v>
      </c>
      <c r="AJ17" s="340">
        <v>0.16344438623320401</v>
      </c>
      <c r="AK17" s="340">
        <v>0.32834052826278198</v>
      </c>
      <c r="AL17" s="340">
        <v>0</v>
      </c>
      <c r="AM17" s="340">
        <v>0</v>
      </c>
      <c r="AN17" s="340">
        <v>3.5065980201845299</v>
      </c>
      <c r="AO17" s="341">
        <v>0.26865290365070099</v>
      </c>
      <c r="AP17" s="340">
        <v>0.65589471287507295</v>
      </c>
      <c r="AQ17" s="340">
        <v>7.9269145918858603</v>
      </c>
      <c r="AR17" s="340">
        <v>0.112827927721981</v>
      </c>
      <c r="AS17" s="340">
        <v>0.15788428640948801</v>
      </c>
      <c r="AT17" s="340">
        <v>0.31655963691592198</v>
      </c>
      <c r="AU17" s="340">
        <v>0</v>
      </c>
      <c r="AV17" s="340">
        <v>0</v>
      </c>
      <c r="AW17" s="340">
        <v>3.5065980201845299</v>
      </c>
      <c r="AX17" s="341">
        <v>0.26865290365070099</v>
      </c>
      <c r="AY17" s="340">
        <v>0.65589471287507295</v>
      </c>
      <c r="AZ17" s="342">
        <v>8.9</v>
      </c>
      <c r="BA17" s="340">
        <v>0.112827927721981</v>
      </c>
      <c r="BB17" s="340">
        <v>0.15788428640948801</v>
      </c>
      <c r="BC17" s="340">
        <v>0.31655963691592198</v>
      </c>
      <c r="BD17" s="340">
        <v>0</v>
      </c>
      <c r="BE17" s="340">
        <v>0</v>
      </c>
      <c r="BG17" s="70">
        <f>SUM(AE17:AM17)</f>
        <v>14.156616985306099</v>
      </c>
      <c r="BH17" s="70">
        <f>SUM(AW17:BE17)</f>
        <v>13.918417487757694</v>
      </c>
    </row>
    <row r="18" spans="2:60" x14ac:dyDescent="0.3">
      <c r="B18" s="343" t="s">
        <v>808</v>
      </c>
      <c r="C18" s="318" t="s">
        <v>797</v>
      </c>
      <c r="D18" s="344">
        <v>4.54911010836123</v>
      </c>
      <c r="E18" s="344">
        <v>0.16123727018916101</v>
      </c>
      <c r="F18" s="344">
        <v>1.0751321085718999</v>
      </c>
      <c r="G18" s="344">
        <v>8.4159742006043494</v>
      </c>
      <c r="H18" s="344">
        <v>0.18352956758981201</v>
      </c>
      <c r="I18" s="345">
        <v>0.30968679597871002</v>
      </c>
      <c r="J18" s="345">
        <v>0.63639326859890799</v>
      </c>
      <c r="K18" s="345">
        <v>0</v>
      </c>
      <c r="L18" s="345">
        <v>0</v>
      </c>
      <c r="M18" s="345">
        <v>4.1547029745459199</v>
      </c>
      <c r="N18" s="345">
        <v>0.16366230288945</v>
      </c>
      <c r="O18" s="345">
        <v>1.0877200210403399</v>
      </c>
      <c r="P18" s="345">
        <v>7.6216808558845699</v>
      </c>
      <c r="Q18" s="345">
        <v>0.18160348245223101</v>
      </c>
      <c r="R18" s="345">
        <v>0.28806525083953399</v>
      </c>
      <c r="S18" s="345">
        <v>0.590701511825099</v>
      </c>
      <c r="T18" s="345">
        <v>0</v>
      </c>
      <c r="U18" s="345">
        <v>0</v>
      </c>
      <c r="V18" s="345">
        <v>3.4349794421886499</v>
      </c>
      <c r="W18" s="344">
        <v>0.14968785986450001</v>
      </c>
      <c r="X18" s="344">
        <v>1.03531838677382</v>
      </c>
      <c r="Y18" s="344">
        <v>6.7077360276515696</v>
      </c>
      <c r="Z18" s="344">
        <v>0.168102960439653</v>
      </c>
      <c r="AA18" s="345">
        <v>0.257241668505441</v>
      </c>
      <c r="AB18" s="345">
        <v>0.52840053967686695</v>
      </c>
      <c r="AC18" s="345">
        <v>0</v>
      </c>
      <c r="AD18" s="345">
        <v>0</v>
      </c>
      <c r="AE18" s="345">
        <v>2.3722381739965601</v>
      </c>
      <c r="AF18" s="344">
        <v>9.4505852666008999E-2</v>
      </c>
      <c r="AG18" s="344">
        <v>0.67486589657000995</v>
      </c>
      <c r="AH18" s="344">
        <v>4.2566387585963197</v>
      </c>
      <c r="AI18" s="344">
        <v>0.115591679357865</v>
      </c>
      <c r="AJ18" s="345">
        <v>0.149065789386749</v>
      </c>
      <c r="AK18" s="345">
        <v>0.29746002702350799</v>
      </c>
      <c r="AL18" s="345">
        <v>0</v>
      </c>
      <c r="AM18" s="345">
        <v>0</v>
      </c>
      <c r="AN18" s="345">
        <v>2.3163044230390799</v>
      </c>
      <c r="AO18" s="344">
        <v>9.1601536497667294E-2</v>
      </c>
      <c r="AP18" s="344">
        <v>0.65589471287507295</v>
      </c>
      <c r="AQ18" s="344">
        <v>3.6697156585714401</v>
      </c>
      <c r="AR18" s="344">
        <v>0.112827927721981</v>
      </c>
      <c r="AS18" s="345">
        <v>0.143998560959683</v>
      </c>
      <c r="AT18" s="345">
        <v>0.28673748619915801</v>
      </c>
      <c r="AU18" s="345">
        <v>0</v>
      </c>
      <c r="AV18" s="345">
        <v>0</v>
      </c>
      <c r="AW18" s="345">
        <v>2.3163044230390799</v>
      </c>
      <c r="AX18" s="344">
        <v>9.1601536497667294E-2</v>
      </c>
      <c r="AY18" s="344">
        <v>0.65589471287507295</v>
      </c>
      <c r="AZ18" s="346">
        <v>4.1900000000000004</v>
      </c>
      <c r="BA18" s="344">
        <v>0.112827927721981</v>
      </c>
      <c r="BB18" s="345">
        <v>0.143998560959683</v>
      </c>
      <c r="BC18" s="345">
        <v>0.28673748619915801</v>
      </c>
      <c r="BD18" s="345">
        <v>0</v>
      </c>
      <c r="BE18" s="345">
        <v>0</v>
      </c>
      <c r="BF18" s="70"/>
    </row>
    <row r="19" spans="2:60" x14ac:dyDescent="0.3">
      <c r="B19" s="347" t="s">
        <v>809</v>
      </c>
      <c r="C19" s="318" t="s">
        <v>797</v>
      </c>
      <c r="D19" s="344">
        <v>0.74507999999999996</v>
      </c>
      <c r="E19" s="344">
        <v>7.5999999999999998E-2</v>
      </c>
      <c r="F19" s="344">
        <v>0</v>
      </c>
      <c r="G19" s="344">
        <v>1.1216235006494</v>
      </c>
      <c r="H19" s="344">
        <v>0</v>
      </c>
      <c r="I19" s="345">
        <v>0</v>
      </c>
      <c r="J19" s="345">
        <v>0</v>
      </c>
      <c r="K19" s="345">
        <v>0</v>
      </c>
      <c r="L19" s="345">
        <v>0</v>
      </c>
      <c r="M19" s="345">
        <v>0.74528552029003903</v>
      </c>
      <c r="N19" s="345">
        <v>7.6039535137296305E-2</v>
      </c>
      <c r="O19" s="345">
        <v>0</v>
      </c>
      <c r="P19" s="345">
        <v>1.12195686642152</v>
      </c>
      <c r="Q19" s="345">
        <v>0</v>
      </c>
      <c r="R19" s="345">
        <v>0</v>
      </c>
      <c r="S19" s="345">
        <v>0</v>
      </c>
      <c r="T19" s="345">
        <v>0</v>
      </c>
      <c r="U19" s="345">
        <v>0</v>
      </c>
      <c r="V19" s="345">
        <v>0.74573766492812599</v>
      </c>
      <c r="W19" s="344">
        <v>7.6126512439347996E-2</v>
      </c>
      <c r="X19" s="344">
        <v>0</v>
      </c>
      <c r="Y19" s="344">
        <v>1.1818415533085</v>
      </c>
      <c r="Z19" s="344">
        <v>0</v>
      </c>
      <c r="AA19" s="345">
        <v>0</v>
      </c>
      <c r="AB19" s="345">
        <v>0</v>
      </c>
      <c r="AC19" s="345">
        <v>0</v>
      </c>
      <c r="AD19" s="345">
        <v>0</v>
      </c>
      <c r="AE19" s="345">
        <v>0.74699860819234198</v>
      </c>
      <c r="AF19" s="344">
        <v>7.6369075181274698E-2</v>
      </c>
      <c r="AG19" s="344">
        <v>0</v>
      </c>
      <c r="AH19" s="344">
        <v>1.25880543634205</v>
      </c>
      <c r="AI19" s="344">
        <v>0</v>
      </c>
      <c r="AJ19" s="345">
        <v>0</v>
      </c>
      <c r="AK19" s="345">
        <v>0</v>
      </c>
      <c r="AL19" s="345">
        <v>0</v>
      </c>
      <c r="AM19" s="345">
        <v>0</v>
      </c>
      <c r="AN19" s="345">
        <v>0.74707399554763998</v>
      </c>
      <c r="AO19" s="344">
        <v>7.6383577153033996E-2</v>
      </c>
      <c r="AP19" s="344">
        <v>0</v>
      </c>
      <c r="AQ19" s="344">
        <v>1.12530886723917</v>
      </c>
      <c r="AR19" s="344">
        <v>0</v>
      </c>
      <c r="AS19" s="345">
        <v>0</v>
      </c>
      <c r="AT19" s="345">
        <v>0</v>
      </c>
      <c r="AU19" s="345">
        <v>0</v>
      </c>
      <c r="AV19" s="345">
        <v>0</v>
      </c>
      <c r="AW19" s="345">
        <v>0.74707399554763998</v>
      </c>
      <c r="AX19" s="344">
        <v>7.6383577153033996E-2</v>
      </c>
      <c r="AY19" s="344">
        <v>0</v>
      </c>
      <c r="AZ19" s="346">
        <v>1.25</v>
      </c>
      <c r="BA19" s="344">
        <v>0</v>
      </c>
      <c r="BB19" s="345">
        <v>0</v>
      </c>
      <c r="BC19" s="345">
        <v>0</v>
      </c>
      <c r="BD19" s="345">
        <v>0</v>
      </c>
      <c r="BE19" s="345">
        <v>0</v>
      </c>
      <c r="BF19" s="70"/>
    </row>
    <row r="20" spans="2:60" x14ac:dyDescent="0.3">
      <c r="B20" s="347" t="s">
        <v>810</v>
      </c>
      <c r="C20" s="318" t="s">
        <v>797</v>
      </c>
      <c r="D20" s="344">
        <v>5.7976023913043503E-2</v>
      </c>
      <c r="E20" s="344">
        <v>7.7700000000000005E-5</v>
      </c>
      <c r="F20" s="344">
        <v>0</v>
      </c>
      <c r="G20" s="344">
        <v>4.39419140499656E-2</v>
      </c>
      <c r="H20" s="344">
        <v>0</v>
      </c>
      <c r="I20" s="345">
        <v>0</v>
      </c>
      <c r="J20" s="345">
        <v>0</v>
      </c>
      <c r="K20" s="345">
        <v>0</v>
      </c>
      <c r="L20" s="345">
        <v>0</v>
      </c>
      <c r="M20" s="345">
        <v>6.0155906521739098E-2</v>
      </c>
      <c r="N20" s="345">
        <v>8.1819047619047605E-5</v>
      </c>
      <c r="O20" s="345">
        <v>0</v>
      </c>
      <c r="P20" s="345">
        <v>4.50753767658299E-2</v>
      </c>
      <c r="Q20" s="345">
        <v>0</v>
      </c>
      <c r="R20" s="345">
        <v>0</v>
      </c>
      <c r="S20" s="345">
        <v>0</v>
      </c>
      <c r="T20" s="345">
        <v>0</v>
      </c>
      <c r="U20" s="345">
        <v>0</v>
      </c>
      <c r="V20" s="345">
        <v>6.4951648260869493E-2</v>
      </c>
      <c r="W20" s="344">
        <v>9.0880952380952405E-5</v>
      </c>
      <c r="X20" s="344">
        <v>0</v>
      </c>
      <c r="Y20" s="344">
        <v>5.0073418758221598E-2</v>
      </c>
      <c r="Z20" s="344">
        <v>0</v>
      </c>
      <c r="AA20" s="345">
        <v>0</v>
      </c>
      <c r="AB20" s="345">
        <v>0</v>
      </c>
      <c r="AC20" s="345">
        <v>0</v>
      </c>
      <c r="AD20" s="345">
        <v>0</v>
      </c>
      <c r="AE20" s="345">
        <v>7.84975830434783E-2</v>
      </c>
      <c r="AF20" s="344">
        <v>1.13666666666667E-4</v>
      </c>
      <c r="AG20" s="344">
        <v>0</v>
      </c>
      <c r="AH20" s="344">
        <v>6.1650234415524099E-2</v>
      </c>
      <c r="AI20" s="344">
        <v>0</v>
      </c>
      <c r="AJ20" s="345">
        <v>0</v>
      </c>
      <c r="AK20" s="345">
        <v>0</v>
      </c>
      <c r="AL20" s="345">
        <v>0</v>
      </c>
      <c r="AM20" s="345">
        <v>0</v>
      </c>
      <c r="AN20" s="345">
        <v>7.9309443913043495E-2</v>
      </c>
      <c r="AO20" s="344">
        <v>1.15E-4</v>
      </c>
      <c r="AP20" s="344">
        <v>0</v>
      </c>
      <c r="AQ20" s="344">
        <v>5.5561930961362201E-2</v>
      </c>
      <c r="AR20" s="344">
        <v>0</v>
      </c>
      <c r="AS20" s="345">
        <v>0</v>
      </c>
      <c r="AT20" s="345">
        <v>0</v>
      </c>
      <c r="AU20" s="345">
        <v>0</v>
      </c>
      <c r="AV20" s="345">
        <v>0</v>
      </c>
      <c r="AW20" s="345">
        <v>7.9309443913043495E-2</v>
      </c>
      <c r="AX20" s="344">
        <v>1.15E-4</v>
      </c>
      <c r="AY20" s="344">
        <v>0</v>
      </c>
      <c r="AZ20" s="346">
        <v>5.1372232440230099E-2</v>
      </c>
      <c r="BA20" s="344">
        <v>0</v>
      </c>
      <c r="BB20" s="345">
        <v>0</v>
      </c>
      <c r="BC20" s="345">
        <v>0</v>
      </c>
      <c r="BD20" s="345">
        <v>0</v>
      </c>
      <c r="BE20" s="345">
        <v>0</v>
      </c>
      <c r="BF20" s="70"/>
    </row>
    <row r="21" spans="2:60" x14ac:dyDescent="0.3">
      <c r="B21" s="347" t="s">
        <v>811</v>
      </c>
      <c r="C21" s="318" t="s">
        <v>797</v>
      </c>
      <c r="D21" s="344">
        <v>0.50579312253770703</v>
      </c>
      <c r="E21" s="344">
        <v>0.10055279</v>
      </c>
      <c r="F21" s="344">
        <v>0</v>
      </c>
      <c r="G21" s="344">
        <v>3.7229669119684998</v>
      </c>
      <c r="H21" s="344">
        <v>0</v>
      </c>
      <c r="I21" s="345">
        <v>3.6645996076342002E-2</v>
      </c>
      <c r="J21" s="345">
        <v>7.86125866697098E-2</v>
      </c>
      <c r="K21" s="345">
        <v>0</v>
      </c>
      <c r="L21" s="345">
        <v>0</v>
      </c>
      <c r="M21" s="345">
        <v>0.47560832908642098</v>
      </c>
      <c r="N21" s="345">
        <v>0.10055279</v>
      </c>
      <c r="O21" s="345">
        <v>0</v>
      </c>
      <c r="P21" s="345">
        <v>3.5858237192697402</v>
      </c>
      <c r="Q21" s="345">
        <v>0</v>
      </c>
      <c r="R21" s="345">
        <v>3.0916184932247799E-2</v>
      </c>
      <c r="S21" s="345">
        <v>6.6383978354526099E-2</v>
      </c>
      <c r="T21" s="345">
        <v>0</v>
      </c>
      <c r="U21" s="345">
        <v>0</v>
      </c>
      <c r="V21" s="345">
        <v>0.43720872768476599</v>
      </c>
      <c r="W21" s="344">
        <v>0.10055279</v>
      </c>
      <c r="X21" s="344">
        <v>0</v>
      </c>
      <c r="Y21" s="344">
        <v>3.5902623826867499</v>
      </c>
      <c r="Z21" s="344">
        <v>0</v>
      </c>
      <c r="AA21" s="345">
        <v>2.5221426667623299E-2</v>
      </c>
      <c r="AB21" s="345">
        <v>5.4163197629256997E-2</v>
      </c>
      <c r="AC21" s="345">
        <v>0</v>
      </c>
      <c r="AD21" s="345">
        <v>0</v>
      </c>
      <c r="AE21" s="345">
        <v>0.36757508618476598</v>
      </c>
      <c r="AF21" s="344">
        <v>0.10055279</v>
      </c>
      <c r="AG21" s="344">
        <v>0</v>
      </c>
      <c r="AH21" s="344">
        <v>3.4604292295972501</v>
      </c>
      <c r="AI21" s="344">
        <v>0</v>
      </c>
      <c r="AJ21" s="345">
        <v>1.4378596846455099E-2</v>
      </c>
      <c r="AK21" s="345">
        <v>3.0880501239274501E-2</v>
      </c>
      <c r="AL21" s="345">
        <v>0</v>
      </c>
      <c r="AM21" s="345">
        <v>0</v>
      </c>
      <c r="AN21" s="345">
        <v>0.36391015768476598</v>
      </c>
      <c r="AO21" s="344">
        <v>0.10055279</v>
      </c>
      <c r="AP21" s="344">
        <v>0</v>
      </c>
      <c r="AQ21" s="344">
        <v>3.07632813511389</v>
      </c>
      <c r="AR21" s="344">
        <v>0</v>
      </c>
      <c r="AS21" s="345">
        <v>1.3885725449804801E-2</v>
      </c>
      <c r="AT21" s="345">
        <v>2.98221507167639E-2</v>
      </c>
      <c r="AU21" s="345">
        <v>0</v>
      </c>
      <c r="AV21" s="345">
        <v>0</v>
      </c>
      <c r="AW21" s="345">
        <v>0.36391015768476598</v>
      </c>
      <c r="AX21" s="344">
        <v>0.10055279</v>
      </c>
      <c r="AY21" s="344">
        <v>0</v>
      </c>
      <c r="AZ21" s="346">
        <v>3.41</v>
      </c>
      <c r="BA21" s="344">
        <v>0</v>
      </c>
      <c r="BB21" s="345">
        <v>1.3885725449804801E-2</v>
      </c>
      <c r="BC21" s="345">
        <v>2.98221507167639E-2</v>
      </c>
      <c r="BD21" s="345">
        <v>0</v>
      </c>
      <c r="BE21" s="345">
        <v>0</v>
      </c>
    </row>
    <row r="22" spans="2:60" x14ac:dyDescent="0.3">
      <c r="B22" s="339" t="s">
        <v>812</v>
      </c>
      <c r="C22" s="318" t="s">
        <v>797</v>
      </c>
      <c r="D22" s="340">
        <v>1.71499915586572E-2</v>
      </c>
      <c r="E22" s="340">
        <v>8.2271462011564199E-4</v>
      </c>
      <c r="F22" s="340">
        <v>1.3591720000992E-3</v>
      </c>
      <c r="G22" s="340">
        <v>3.0402678894089E-3</v>
      </c>
      <c r="H22" s="340">
        <v>0</v>
      </c>
      <c r="I22" s="340">
        <v>3.0046340433633301E-6</v>
      </c>
      <c r="J22" s="340">
        <v>1.3748762325047E-5</v>
      </c>
      <c r="K22" s="340">
        <v>0</v>
      </c>
      <c r="L22" s="340">
        <v>0</v>
      </c>
      <c r="M22" s="340">
        <v>3.3077311107787798E-2</v>
      </c>
      <c r="N22" s="340">
        <v>1.2239795203443701E-2</v>
      </c>
      <c r="O22" s="340">
        <v>1.13706492667394E-2</v>
      </c>
      <c r="P22" s="340">
        <v>3.7689237845972001E-3</v>
      </c>
      <c r="Q22" s="340">
        <v>0</v>
      </c>
      <c r="R22" s="340">
        <v>2.8130931972484E-6</v>
      </c>
      <c r="S22" s="340">
        <v>1.33499663401418E-5</v>
      </c>
      <c r="T22" s="340">
        <v>0</v>
      </c>
      <c r="U22" s="340">
        <v>0</v>
      </c>
      <c r="V22" s="340">
        <v>0.101484541555397</v>
      </c>
      <c r="W22" s="340">
        <v>6.4092964620095602E-2</v>
      </c>
      <c r="X22" s="340">
        <v>4.9819575999999997E-2</v>
      </c>
      <c r="Y22" s="340">
        <v>6.2546247972210603E-3</v>
      </c>
      <c r="Z22" s="340">
        <v>0</v>
      </c>
      <c r="AA22" s="340">
        <v>2.67886145412675E-6</v>
      </c>
      <c r="AB22" s="340">
        <v>1.30043302411082E-5</v>
      </c>
      <c r="AC22" s="340">
        <v>0</v>
      </c>
      <c r="AD22" s="340">
        <v>0</v>
      </c>
      <c r="AE22" s="340">
        <v>0.189099152742711</v>
      </c>
      <c r="AF22" s="340">
        <v>0.180339673305243</v>
      </c>
      <c r="AG22" s="340">
        <v>0.1575489588</v>
      </c>
      <c r="AH22" s="340">
        <v>5.4332907672144598E-3</v>
      </c>
      <c r="AI22" s="340">
        <v>0</v>
      </c>
      <c r="AJ22" s="340">
        <v>1.1173697975125099E-6</v>
      </c>
      <c r="AK22" s="340">
        <v>6.2178949557760904E-6</v>
      </c>
      <c r="AL22" s="340">
        <v>0</v>
      </c>
      <c r="AM22" s="340">
        <v>0</v>
      </c>
      <c r="AN22" s="340">
        <v>0.195078446505211</v>
      </c>
      <c r="AO22" s="340">
        <v>0.18772400824274299</v>
      </c>
      <c r="AP22" s="340">
        <v>0.1647882</v>
      </c>
      <c r="AQ22" s="340">
        <v>4.9076815679791703E-3</v>
      </c>
      <c r="AR22" s="340">
        <v>0</v>
      </c>
      <c r="AS22" s="340">
        <v>1.10396451412669E-6</v>
      </c>
      <c r="AT22" s="340">
        <v>6.1832691826350799E-6</v>
      </c>
      <c r="AU22" s="340">
        <v>0</v>
      </c>
      <c r="AV22" s="340">
        <v>0</v>
      </c>
      <c r="AW22" s="340">
        <v>0.195078446505211</v>
      </c>
      <c r="AX22" s="340">
        <v>0.18772400824274299</v>
      </c>
      <c r="AY22" s="340">
        <v>0.1647882</v>
      </c>
      <c r="AZ22" s="340">
        <v>4.5376133242774203E-3</v>
      </c>
      <c r="BA22" s="340">
        <v>0</v>
      </c>
      <c r="BB22" s="340">
        <v>1.10396451412669E-6</v>
      </c>
      <c r="BC22" s="340">
        <v>6.1832691826350799E-6</v>
      </c>
      <c r="BD22" s="340">
        <v>0</v>
      </c>
      <c r="BE22" s="340">
        <v>0</v>
      </c>
      <c r="BG22" s="70">
        <f>SUM(AE22:AM22)</f>
        <v>0.53242841087992165</v>
      </c>
      <c r="BH22" s="70">
        <f>SUM(AW22:BE22)</f>
        <v>0.55213555530592817</v>
      </c>
    </row>
    <row r="23" spans="2:60" x14ac:dyDescent="0.3">
      <c r="B23" s="347" t="s">
        <v>813</v>
      </c>
      <c r="C23" s="318" t="s">
        <v>797</v>
      </c>
      <c r="D23" s="344">
        <v>1.618400000326E-2</v>
      </c>
      <c r="E23" s="344">
        <v>2.3120000001999999E-4</v>
      </c>
      <c r="F23" s="344">
        <v>7.8839200009920001E-4</v>
      </c>
      <c r="G23" s="344">
        <v>1.8338086641478499E-3</v>
      </c>
      <c r="H23" s="345">
        <v>0</v>
      </c>
      <c r="I23" s="345">
        <v>0</v>
      </c>
      <c r="J23" s="345">
        <v>0</v>
      </c>
      <c r="K23" s="345">
        <v>0</v>
      </c>
      <c r="L23" s="345">
        <v>0</v>
      </c>
      <c r="M23" s="345">
        <v>2.1108426669057299E-2</v>
      </c>
      <c r="N23" s="345">
        <v>2.7242666668133301E-4</v>
      </c>
      <c r="O23" s="345">
        <v>9.6295093340607798E-4</v>
      </c>
      <c r="P23" s="345">
        <v>2.4075696607390598E-3</v>
      </c>
      <c r="Q23" s="345">
        <v>0</v>
      </c>
      <c r="R23" s="345">
        <v>0</v>
      </c>
      <c r="S23" s="345">
        <v>0</v>
      </c>
      <c r="T23" s="345">
        <v>0</v>
      </c>
      <c r="U23" s="345">
        <v>0</v>
      </c>
      <c r="V23" s="344">
        <v>3.2661999999999997E-2</v>
      </c>
      <c r="W23" s="344">
        <v>3.7359999999999997E-4</v>
      </c>
      <c r="X23" s="344">
        <v>1.3824760000000001E-3</v>
      </c>
      <c r="Y23" s="344">
        <v>3.9483428721205404E-3</v>
      </c>
      <c r="Z23" s="345">
        <v>0</v>
      </c>
      <c r="AA23" s="345">
        <v>0</v>
      </c>
      <c r="AB23" s="345">
        <v>0</v>
      </c>
      <c r="AC23" s="345">
        <v>0</v>
      </c>
      <c r="AD23" s="345">
        <v>0</v>
      </c>
      <c r="AE23" s="344">
        <v>1.5692600000000001E-2</v>
      </c>
      <c r="AF23" s="344">
        <v>2.2418000000000001E-4</v>
      </c>
      <c r="AG23" s="344">
        <v>7.6445379999999996E-4</v>
      </c>
      <c r="AH23" s="344">
        <v>1.98596058911995E-3</v>
      </c>
      <c r="AI23" s="345">
        <v>0</v>
      </c>
      <c r="AJ23" s="345">
        <v>0</v>
      </c>
      <c r="AK23" s="345">
        <v>0</v>
      </c>
      <c r="AL23" s="345">
        <v>0</v>
      </c>
      <c r="AM23" s="345">
        <v>0</v>
      </c>
      <c r="AN23" s="344">
        <v>1.54E-2</v>
      </c>
      <c r="AO23" s="344">
        <v>2.2000000000000001E-4</v>
      </c>
      <c r="AP23" s="344">
        <v>7.5020000000000002E-4</v>
      </c>
      <c r="AQ23" s="344">
        <v>1.7419156107612E-3</v>
      </c>
      <c r="AR23" s="345">
        <v>0</v>
      </c>
      <c r="AS23" s="345">
        <v>0</v>
      </c>
      <c r="AT23" s="345">
        <v>0</v>
      </c>
      <c r="AU23" s="345">
        <v>0</v>
      </c>
      <c r="AV23" s="345">
        <v>0</v>
      </c>
      <c r="AW23" s="344">
        <v>1.54E-2</v>
      </c>
      <c r="AX23" s="344">
        <v>2.2000000000000001E-4</v>
      </c>
      <c r="AY23" s="344">
        <v>7.5020000000000002E-4</v>
      </c>
      <c r="AZ23" s="344">
        <v>1.61056486156895E-3</v>
      </c>
      <c r="BA23" s="345">
        <v>0</v>
      </c>
      <c r="BB23" s="345">
        <v>0</v>
      </c>
      <c r="BC23" s="345">
        <v>0</v>
      </c>
      <c r="BD23" s="345">
        <v>0</v>
      </c>
      <c r="BE23" s="345">
        <v>0</v>
      </c>
    </row>
    <row r="24" spans="2:60" x14ac:dyDescent="0.3">
      <c r="B24" s="348" t="s">
        <v>814</v>
      </c>
      <c r="C24" s="318" t="s">
        <v>797</v>
      </c>
      <c r="D24" s="344">
        <v>5.1208500000000001E-4</v>
      </c>
      <c r="E24" s="344">
        <v>5.9147500000000005E-4</v>
      </c>
      <c r="F24" s="344">
        <v>5.7078000000000001E-4</v>
      </c>
      <c r="G24" s="344">
        <v>6.96870883948354E-6</v>
      </c>
      <c r="H24" s="345">
        <v>0</v>
      </c>
      <c r="I24" s="345">
        <v>0</v>
      </c>
      <c r="J24" s="345">
        <v>0</v>
      </c>
      <c r="K24" s="345">
        <v>0</v>
      </c>
      <c r="L24" s="345">
        <v>0</v>
      </c>
      <c r="M24" s="345">
        <v>1.15149778833333E-2</v>
      </c>
      <c r="N24" s="345">
        <v>1.19673289166667E-2</v>
      </c>
      <c r="O24" s="345">
        <v>1.04076983333333E-2</v>
      </c>
      <c r="P24" s="345">
        <v>1.6213093316411401E-4</v>
      </c>
      <c r="Q24" s="345">
        <v>0</v>
      </c>
      <c r="R24" s="345">
        <v>0</v>
      </c>
      <c r="S24" s="345">
        <v>0</v>
      </c>
      <c r="T24" s="345">
        <v>0</v>
      </c>
      <c r="U24" s="345">
        <v>0</v>
      </c>
      <c r="V24" s="344">
        <v>6.8368634999999997E-2</v>
      </c>
      <c r="W24" s="344">
        <v>6.3719324999999993E-2</v>
      </c>
      <c r="X24" s="344">
        <v>4.8437099999999997E-2</v>
      </c>
      <c r="Y24" s="344">
        <v>1.0444932293596401E-3</v>
      </c>
      <c r="Z24" s="345">
        <v>0</v>
      </c>
      <c r="AA24" s="345">
        <v>0</v>
      </c>
      <c r="AB24" s="345">
        <v>0</v>
      </c>
      <c r="AC24" s="345">
        <v>0</v>
      </c>
      <c r="AD24" s="345">
        <v>0</v>
      </c>
      <c r="AE24" s="344">
        <v>0.17316330623750001</v>
      </c>
      <c r="AF24" s="344">
        <v>0.1801154850625</v>
      </c>
      <c r="AG24" s="344">
        <v>0.15678450499999999</v>
      </c>
      <c r="AH24" s="344">
        <v>2.7230379483070299E-3</v>
      </c>
      <c r="AI24" s="345">
        <v>0</v>
      </c>
      <c r="AJ24" s="345">
        <v>0</v>
      </c>
      <c r="AK24" s="345">
        <v>0</v>
      </c>
      <c r="AL24" s="345">
        <v>0</v>
      </c>
      <c r="AM24" s="345">
        <v>0</v>
      </c>
      <c r="AN24" s="344">
        <v>0.17943519999999999</v>
      </c>
      <c r="AO24" s="344">
        <v>0.187504</v>
      </c>
      <c r="AP24" s="344">
        <v>0.16403799999999999</v>
      </c>
      <c r="AQ24" s="344">
        <v>2.5184079926351402E-3</v>
      </c>
      <c r="AR24" s="345">
        <v>0</v>
      </c>
      <c r="AS24" s="345">
        <v>0</v>
      </c>
      <c r="AT24" s="345">
        <v>0</v>
      </c>
      <c r="AU24" s="345">
        <v>0</v>
      </c>
      <c r="AV24" s="345">
        <v>0</v>
      </c>
      <c r="AW24" s="344">
        <v>0.17943519999999999</v>
      </c>
      <c r="AX24" s="344">
        <v>0.187504</v>
      </c>
      <c r="AY24" s="344">
        <v>0.16403799999999999</v>
      </c>
      <c r="AZ24" s="344">
        <v>2.3285051210144899E-3</v>
      </c>
      <c r="BA24" s="345">
        <v>0</v>
      </c>
      <c r="BB24" s="345">
        <v>0</v>
      </c>
      <c r="BC24" s="345">
        <v>0</v>
      </c>
      <c r="BD24" s="345">
        <v>0</v>
      </c>
      <c r="BE24" s="345">
        <v>0</v>
      </c>
    </row>
    <row r="25" spans="2:60" x14ac:dyDescent="0.3">
      <c r="B25" s="348" t="s">
        <v>815</v>
      </c>
      <c r="C25" s="318" t="s">
        <v>797</v>
      </c>
      <c r="D25" s="344">
        <v>4.5390655539714799E-4</v>
      </c>
      <c r="E25" s="344">
        <v>3.9620095641651102E-8</v>
      </c>
      <c r="F25" s="344">
        <v>0</v>
      </c>
      <c r="G25" s="344">
        <v>1.1994905164215701E-3</v>
      </c>
      <c r="H25" s="345">
        <v>0</v>
      </c>
      <c r="I25" s="345">
        <v>3.0046340433633301E-6</v>
      </c>
      <c r="J25" s="345">
        <v>1.3748762325047E-5</v>
      </c>
      <c r="K25" s="345">
        <v>0</v>
      </c>
      <c r="L25" s="345">
        <v>0</v>
      </c>
      <c r="M25" s="345">
        <v>4.5390655539714799E-4</v>
      </c>
      <c r="N25" s="345">
        <v>3.9620095641651102E-8</v>
      </c>
      <c r="O25" s="345">
        <v>0</v>
      </c>
      <c r="P25" s="345">
        <v>1.1992231906940299E-3</v>
      </c>
      <c r="Q25" s="345">
        <v>0</v>
      </c>
      <c r="R25" s="345">
        <v>2.8130931972484E-6</v>
      </c>
      <c r="S25" s="345">
        <v>1.33499663401418E-5</v>
      </c>
      <c r="T25" s="345">
        <v>0</v>
      </c>
      <c r="U25" s="345">
        <v>0</v>
      </c>
      <c r="V25" s="344">
        <v>4.5390655539714799E-4</v>
      </c>
      <c r="W25" s="344">
        <v>3.9620095641651102E-8</v>
      </c>
      <c r="X25" s="344">
        <v>0</v>
      </c>
      <c r="Y25" s="344">
        <v>1.26178869574089E-3</v>
      </c>
      <c r="Z25" s="345">
        <v>0</v>
      </c>
      <c r="AA25" s="345">
        <v>2.67886145412675E-6</v>
      </c>
      <c r="AB25" s="345">
        <v>1.30043302411082E-5</v>
      </c>
      <c r="AC25" s="345">
        <v>0</v>
      </c>
      <c r="AD25" s="345">
        <v>0</v>
      </c>
      <c r="AE25" s="344">
        <v>2.43246505210592E-4</v>
      </c>
      <c r="AF25" s="344">
        <v>8.2427433628318608E-9</v>
      </c>
      <c r="AG25" s="344">
        <v>0</v>
      </c>
      <c r="AH25" s="344">
        <v>7.2429222978747504E-4</v>
      </c>
      <c r="AI25" s="345">
        <v>0</v>
      </c>
      <c r="AJ25" s="345">
        <v>1.1173697975125099E-6</v>
      </c>
      <c r="AK25" s="345">
        <v>6.2178949557760904E-6</v>
      </c>
      <c r="AL25" s="345">
        <v>0</v>
      </c>
      <c r="AM25" s="345">
        <v>0</v>
      </c>
      <c r="AN25" s="344">
        <v>2.43246505210592E-4</v>
      </c>
      <c r="AO25" s="344">
        <v>8.2427433628318608E-9</v>
      </c>
      <c r="AP25" s="344">
        <v>0</v>
      </c>
      <c r="AQ25" s="344">
        <v>6.4735796458283395E-4</v>
      </c>
      <c r="AR25" s="345">
        <v>0</v>
      </c>
      <c r="AS25" s="345">
        <v>1.10396451412669E-6</v>
      </c>
      <c r="AT25" s="345">
        <v>6.1832691826350799E-6</v>
      </c>
      <c r="AU25" s="345">
        <v>0</v>
      </c>
      <c r="AV25" s="345">
        <v>0</v>
      </c>
      <c r="AW25" s="344">
        <v>2.43246505210592E-4</v>
      </c>
      <c r="AX25" s="344">
        <v>8.2427433628318608E-9</v>
      </c>
      <c r="AY25" s="344">
        <v>0</v>
      </c>
      <c r="AZ25" s="344">
        <v>5.98543341693974E-4</v>
      </c>
      <c r="BA25" s="345">
        <v>0</v>
      </c>
      <c r="BB25" s="345">
        <v>1.10396451412669E-6</v>
      </c>
      <c r="BC25" s="345">
        <v>6.1832691826350799E-6</v>
      </c>
      <c r="BD25" s="345">
        <v>0</v>
      </c>
      <c r="BE25" s="345">
        <v>0</v>
      </c>
    </row>
    <row r="26" spans="2:60" x14ac:dyDescent="0.3">
      <c r="B26" s="349" t="s">
        <v>816</v>
      </c>
      <c r="C26" s="318" t="s">
        <v>797</v>
      </c>
      <c r="D26" s="350">
        <v>0</v>
      </c>
      <c r="E26" s="350">
        <v>0</v>
      </c>
      <c r="F26" s="350">
        <v>0</v>
      </c>
      <c r="G26" s="350">
        <v>0</v>
      </c>
      <c r="H26" s="350">
        <v>1.2422142857142899</v>
      </c>
      <c r="I26" s="350">
        <v>0.25816612540944101</v>
      </c>
      <c r="J26" s="350">
        <v>0.23583999999999999</v>
      </c>
      <c r="K26" s="350">
        <v>0</v>
      </c>
      <c r="L26" s="350">
        <v>0</v>
      </c>
      <c r="M26" s="350">
        <v>0</v>
      </c>
      <c r="N26" s="350">
        <v>0</v>
      </c>
      <c r="O26" s="350">
        <v>0</v>
      </c>
      <c r="P26" s="350">
        <v>0</v>
      </c>
      <c r="Q26" s="350">
        <v>1.1704205956385501</v>
      </c>
      <c r="R26" s="350">
        <v>0.26012220719702001</v>
      </c>
      <c r="S26" s="350">
        <v>0.23798141807050299</v>
      </c>
      <c r="T26" s="350">
        <v>0</v>
      </c>
      <c r="U26" s="350">
        <v>0</v>
      </c>
      <c r="V26" s="350">
        <v>0</v>
      </c>
      <c r="W26" s="350">
        <v>0</v>
      </c>
      <c r="X26" s="350">
        <v>0</v>
      </c>
      <c r="Y26" s="350">
        <v>0</v>
      </c>
      <c r="Z26" s="350">
        <v>1.1283185305005701</v>
      </c>
      <c r="AA26" s="350">
        <v>0.26486472392492499</v>
      </c>
      <c r="AB26" s="350">
        <v>0.24296588837663299</v>
      </c>
      <c r="AC26" s="350">
        <v>0</v>
      </c>
      <c r="AD26" s="350">
        <v>0</v>
      </c>
      <c r="AE26" s="350">
        <v>0</v>
      </c>
      <c r="AF26" s="350">
        <v>0</v>
      </c>
      <c r="AG26" s="350">
        <v>0</v>
      </c>
      <c r="AH26" s="350">
        <v>0</v>
      </c>
      <c r="AI26" s="350">
        <v>0.95926510863304204</v>
      </c>
      <c r="AJ26" s="350">
        <v>0.26919421855235198</v>
      </c>
      <c r="AK26" s="350">
        <v>0.248883733602177</v>
      </c>
      <c r="AL26" s="350">
        <v>0</v>
      </c>
      <c r="AM26" s="350">
        <v>0</v>
      </c>
      <c r="AN26" s="350">
        <v>0</v>
      </c>
      <c r="AO26" s="350">
        <v>0</v>
      </c>
      <c r="AP26" s="350">
        <v>0</v>
      </c>
      <c r="AQ26" s="350">
        <v>0</v>
      </c>
      <c r="AR26" s="350">
        <v>0.949964541998086</v>
      </c>
      <c r="AS26" s="350">
        <v>0.26940878455461997</v>
      </c>
      <c r="AT26" s="350">
        <v>0.24918724887927801</v>
      </c>
      <c r="AU26" s="350">
        <v>0</v>
      </c>
      <c r="AV26" s="350">
        <v>0</v>
      </c>
      <c r="AW26" s="350">
        <v>0</v>
      </c>
      <c r="AX26" s="350">
        <v>0</v>
      </c>
      <c r="AY26" s="350">
        <v>0</v>
      </c>
      <c r="AZ26" s="350">
        <v>0</v>
      </c>
      <c r="BA26" s="351">
        <v>0.93</v>
      </c>
      <c r="BB26" s="350">
        <v>0.26940878455461997</v>
      </c>
      <c r="BC26" s="350">
        <v>0.24918724887927801</v>
      </c>
      <c r="BD26" s="350">
        <v>0</v>
      </c>
      <c r="BE26" s="350">
        <v>0</v>
      </c>
      <c r="BG26" s="70">
        <f>SUM(AE26:AM26)</f>
        <v>1.477343060787571</v>
      </c>
      <c r="BH26" s="70">
        <f>SUM(AW26:BE26)</f>
        <v>1.4485960334338981</v>
      </c>
    </row>
    <row r="27" spans="2:60" x14ac:dyDescent="0.3">
      <c r="B27" s="352" t="s">
        <v>817</v>
      </c>
      <c r="C27" s="318" t="s">
        <v>797</v>
      </c>
      <c r="D27" s="353">
        <v>0</v>
      </c>
      <c r="E27" s="353">
        <v>0</v>
      </c>
      <c r="F27" s="353">
        <v>0</v>
      </c>
      <c r="G27" s="353">
        <v>0</v>
      </c>
      <c r="H27" s="354">
        <v>1.2422142857142899</v>
      </c>
      <c r="I27" s="354">
        <v>0</v>
      </c>
      <c r="J27" s="354">
        <v>0</v>
      </c>
      <c r="K27" s="354">
        <v>0</v>
      </c>
      <c r="L27" s="354">
        <v>0</v>
      </c>
      <c r="M27" s="354">
        <v>0</v>
      </c>
      <c r="N27" s="354">
        <v>0</v>
      </c>
      <c r="O27" s="354">
        <v>0</v>
      </c>
      <c r="P27" s="354">
        <v>0</v>
      </c>
      <c r="Q27" s="354">
        <v>1.1704205956385501</v>
      </c>
      <c r="R27" s="354">
        <v>0</v>
      </c>
      <c r="S27" s="354">
        <v>0</v>
      </c>
      <c r="T27" s="354">
        <v>0</v>
      </c>
      <c r="U27" s="354">
        <v>0</v>
      </c>
      <c r="V27" s="353">
        <v>0</v>
      </c>
      <c r="W27" s="353">
        <v>0</v>
      </c>
      <c r="X27" s="353">
        <v>0</v>
      </c>
      <c r="Y27" s="353">
        <v>0</v>
      </c>
      <c r="Z27" s="354">
        <v>1.1283185305005701</v>
      </c>
      <c r="AA27" s="354">
        <v>0</v>
      </c>
      <c r="AB27" s="354">
        <v>0</v>
      </c>
      <c r="AC27" s="354">
        <v>0</v>
      </c>
      <c r="AD27" s="354">
        <v>0</v>
      </c>
      <c r="AE27" s="353">
        <v>0</v>
      </c>
      <c r="AF27" s="353">
        <v>0</v>
      </c>
      <c r="AG27" s="353">
        <v>0</v>
      </c>
      <c r="AH27" s="353">
        <v>0</v>
      </c>
      <c r="AI27" s="354">
        <v>0.95926510863304204</v>
      </c>
      <c r="AJ27" s="354">
        <v>0</v>
      </c>
      <c r="AK27" s="354">
        <v>0</v>
      </c>
      <c r="AL27" s="354">
        <v>0</v>
      </c>
      <c r="AM27" s="354">
        <v>0</v>
      </c>
      <c r="AN27" s="353">
        <v>0</v>
      </c>
      <c r="AO27" s="353">
        <v>0</v>
      </c>
      <c r="AP27" s="353">
        <v>0</v>
      </c>
      <c r="AQ27" s="353">
        <v>0</v>
      </c>
      <c r="AR27" s="354">
        <v>0.949964541998086</v>
      </c>
      <c r="AS27" s="354">
        <v>0</v>
      </c>
      <c r="AT27" s="354">
        <v>0</v>
      </c>
      <c r="AU27" s="354">
        <v>0</v>
      </c>
      <c r="AV27" s="354">
        <v>0</v>
      </c>
      <c r="AW27" s="353">
        <v>0</v>
      </c>
      <c r="AX27" s="353">
        <v>0</v>
      </c>
      <c r="AY27" s="353">
        <v>0</v>
      </c>
      <c r="AZ27" s="353">
        <v>0</v>
      </c>
      <c r="BA27" s="355">
        <v>0.93</v>
      </c>
      <c r="BB27" s="354">
        <v>0</v>
      </c>
      <c r="BC27" s="354">
        <v>0</v>
      </c>
      <c r="BD27" s="354">
        <v>0</v>
      </c>
      <c r="BE27" s="354">
        <v>0</v>
      </c>
    </row>
    <row r="28" spans="2:60" x14ac:dyDescent="0.3">
      <c r="B28" s="352" t="s">
        <v>818</v>
      </c>
      <c r="C28" s="318" t="s">
        <v>797</v>
      </c>
      <c r="D28" s="353">
        <v>0</v>
      </c>
      <c r="E28" s="353">
        <v>0</v>
      </c>
      <c r="F28" s="353">
        <v>0</v>
      </c>
      <c r="G28" s="353">
        <v>0</v>
      </c>
      <c r="H28" s="354">
        <v>0</v>
      </c>
      <c r="I28" s="354">
        <v>0</v>
      </c>
      <c r="J28" s="354">
        <v>0</v>
      </c>
      <c r="K28" s="354">
        <v>0</v>
      </c>
      <c r="L28" s="354">
        <v>0</v>
      </c>
      <c r="M28" s="354">
        <v>0</v>
      </c>
      <c r="N28" s="354">
        <v>0</v>
      </c>
      <c r="O28" s="354">
        <v>0</v>
      </c>
      <c r="P28" s="354">
        <v>0</v>
      </c>
      <c r="Q28" s="354">
        <v>0</v>
      </c>
      <c r="R28" s="354">
        <v>0</v>
      </c>
      <c r="S28" s="354">
        <v>0</v>
      </c>
      <c r="T28" s="354">
        <v>0</v>
      </c>
      <c r="U28" s="354">
        <v>0</v>
      </c>
      <c r="V28" s="353">
        <v>0</v>
      </c>
      <c r="W28" s="353">
        <v>0</v>
      </c>
      <c r="X28" s="353">
        <v>0</v>
      </c>
      <c r="Y28" s="353">
        <v>0</v>
      </c>
      <c r="Z28" s="354">
        <v>0</v>
      </c>
      <c r="AA28" s="354">
        <v>0</v>
      </c>
      <c r="AB28" s="354">
        <v>0</v>
      </c>
      <c r="AC28" s="354">
        <v>0</v>
      </c>
      <c r="AD28" s="354">
        <v>0</v>
      </c>
      <c r="AE28" s="353">
        <v>0</v>
      </c>
      <c r="AF28" s="353">
        <v>0</v>
      </c>
      <c r="AG28" s="353">
        <v>0</v>
      </c>
      <c r="AH28" s="353">
        <v>0</v>
      </c>
      <c r="AI28" s="354">
        <v>0</v>
      </c>
      <c r="AJ28" s="354">
        <v>0</v>
      </c>
      <c r="AK28" s="354">
        <v>0</v>
      </c>
      <c r="AL28" s="354">
        <v>0</v>
      </c>
      <c r="AM28" s="354">
        <v>0</v>
      </c>
      <c r="AN28" s="353">
        <v>0</v>
      </c>
      <c r="AO28" s="353">
        <v>0</v>
      </c>
      <c r="AP28" s="353">
        <v>0</v>
      </c>
      <c r="AQ28" s="353">
        <v>0</v>
      </c>
      <c r="AR28" s="354">
        <v>0</v>
      </c>
      <c r="AS28" s="354">
        <v>0</v>
      </c>
      <c r="AT28" s="354">
        <v>0</v>
      </c>
      <c r="AU28" s="354">
        <v>0</v>
      </c>
      <c r="AV28" s="354">
        <v>0</v>
      </c>
      <c r="AW28" s="353">
        <v>0</v>
      </c>
      <c r="AX28" s="353">
        <v>0</v>
      </c>
      <c r="AY28" s="353">
        <v>0</v>
      </c>
      <c r="AZ28" s="353">
        <v>0</v>
      </c>
      <c r="BA28" s="354">
        <v>0</v>
      </c>
      <c r="BB28" s="354">
        <v>0</v>
      </c>
      <c r="BC28" s="354">
        <v>0</v>
      </c>
      <c r="BD28" s="354">
        <v>0</v>
      </c>
      <c r="BE28" s="354">
        <v>0</v>
      </c>
    </row>
    <row r="29" spans="2:60" x14ac:dyDescent="0.3">
      <c r="B29" s="356" t="s">
        <v>819</v>
      </c>
      <c r="C29" s="318" t="s">
        <v>797</v>
      </c>
      <c r="D29" s="353">
        <v>0</v>
      </c>
      <c r="E29" s="353">
        <v>0</v>
      </c>
      <c r="F29" s="353">
        <v>0</v>
      </c>
      <c r="G29" s="353">
        <v>0</v>
      </c>
      <c r="H29" s="354">
        <v>0</v>
      </c>
      <c r="I29" s="354">
        <v>2.9869846476024298E-2</v>
      </c>
      <c r="J29" s="354">
        <v>1.8425E-2</v>
      </c>
      <c r="K29" s="354">
        <v>0</v>
      </c>
      <c r="L29" s="354">
        <v>0</v>
      </c>
      <c r="M29" s="354">
        <v>0</v>
      </c>
      <c r="N29" s="354">
        <v>0</v>
      </c>
      <c r="O29" s="354">
        <v>0</v>
      </c>
      <c r="P29" s="354">
        <v>0</v>
      </c>
      <c r="Q29" s="354">
        <v>0</v>
      </c>
      <c r="R29" s="354">
        <v>2.9100283007842301E-2</v>
      </c>
      <c r="S29" s="354">
        <v>1.7950300308703201E-2</v>
      </c>
      <c r="T29" s="354">
        <v>0</v>
      </c>
      <c r="U29" s="354">
        <v>0</v>
      </c>
      <c r="V29" s="353">
        <v>0</v>
      </c>
      <c r="W29" s="353">
        <v>0</v>
      </c>
      <c r="X29" s="353">
        <v>0</v>
      </c>
      <c r="Y29" s="353">
        <v>0</v>
      </c>
      <c r="Z29" s="354">
        <v>0</v>
      </c>
      <c r="AA29" s="354">
        <v>2.7844005279974899E-2</v>
      </c>
      <c r="AB29" s="354">
        <v>1.7175374426357699E-2</v>
      </c>
      <c r="AC29" s="354">
        <v>0</v>
      </c>
      <c r="AD29" s="354">
        <v>0</v>
      </c>
      <c r="AE29" s="353">
        <v>0</v>
      </c>
      <c r="AF29" s="353">
        <v>0</v>
      </c>
      <c r="AG29" s="353">
        <v>0</v>
      </c>
      <c r="AH29" s="353">
        <v>0</v>
      </c>
      <c r="AI29" s="354">
        <v>0</v>
      </c>
      <c r="AJ29" s="354">
        <v>2.2748514919928398E-2</v>
      </c>
      <c r="AK29" s="354">
        <v>1.4032257840230799E-2</v>
      </c>
      <c r="AL29" s="354">
        <v>0</v>
      </c>
      <c r="AM29" s="354">
        <v>0</v>
      </c>
      <c r="AN29" s="353">
        <v>0</v>
      </c>
      <c r="AO29" s="353">
        <v>0</v>
      </c>
      <c r="AP29" s="353">
        <v>0</v>
      </c>
      <c r="AQ29" s="353">
        <v>0</v>
      </c>
      <c r="AR29" s="354">
        <v>0</v>
      </c>
      <c r="AS29" s="354">
        <v>2.2466784052097299E-2</v>
      </c>
      <c r="AT29" s="354">
        <v>1.38584741803798E-2</v>
      </c>
      <c r="AU29" s="354">
        <v>0</v>
      </c>
      <c r="AV29" s="354">
        <v>0</v>
      </c>
      <c r="AW29" s="353">
        <v>0</v>
      </c>
      <c r="AX29" s="353">
        <v>0</v>
      </c>
      <c r="AY29" s="353">
        <v>0</v>
      </c>
      <c r="AZ29" s="353">
        <v>0</v>
      </c>
      <c r="BA29" s="354">
        <v>0</v>
      </c>
      <c r="BB29" s="354">
        <v>2.2466784052097299E-2</v>
      </c>
      <c r="BC29" s="354">
        <v>1.38584741803798E-2</v>
      </c>
      <c r="BD29" s="354">
        <v>0</v>
      </c>
      <c r="BE29" s="354">
        <v>0</v>
      </c>
    </row>
    <row r="30" spans="2:60" x14ac:dyDescent="0.3">
      <c r="B30" s="356" t="s">
        <v>820</v>
      </c>
      <c r="C30" s="318" t="s">
        <v>797</v>
      </c>
      <c r="D30" s="353">
        <v>0</v>
      </c>
      <c r="E30" s="353">
        <v>0</v>
      </c>
      <c r="F30" s="353">
        <v>0</v>
      </c>
      <c r="G30" s="353">
        <v>0</v>
      </c>
      <c r="H30" s="354">
        <v>0</v>
      </c>
      <c r="I30" s="354">
        <v>0.168556585981368</v>
      </c>
      <c r="J30" s="354">
        <v>8.1070000000000003E-2</v>
      </c>
      <c r="K30" s="354">
        <v>0</v>
      </c>
      <c r="L30" s="354">
        <v>0</v>
      </c>
      <c r="M30" s="354">
        <v>0</v>
      </c>
      <c r="N30" s="354">
        <v>0</v>
      </c>
      <c r="O30" s="354">
        <v>0</v>
      </c>
      <c r="P30" s="354">
        <v>0</v>
      </c>
      <c r="Q30" s="354">
        <v>0</v>
      </c>
      <c r="R30" s="354">
        <v>0.17056653922803799</v>
      </c>
      <c r="S30" s="354">
        <v>8.2036719329053806E-2</v>
      </c>
      <c r="T30" s="354">
        <v>0</v>
      </c>
      <c r="U30" s="354">
        <v>0</v>
      </c>
      <c r="V30" s="353">
        <v>0</v>
      </c>
      <c r="W30" s="353">
        <v>0</v>
      </c>
      <c r="X30" s="353">
        <v>0</v>
      </c>
      <c r="Y30" s="353">
        <v>0</v>
      </c>
      <c r="Z30" s="354">
        <v>0</v>
      </c>
      <c r="AA30" s="354">
        <v>0.17498998798455001</v>
      </c>
      <c r="AB30" s="354">
        <v>8.4164248126593899E-2</v>
      </c>
      <c r="AC30" s="354">
        <v>0</v>
      </c>
      <c r="AD30" s="354">
        <v>0</v>
      </c>
      <c r="AE30" s="353">
        <v>0</v>
      </c>
      <c r="AF30" s="353">
        <v>0</v>
      </c>
      <c r="AG30" s="353">
        <v>0</v>
      </c>
      <c r="AH30" s="353">
        <v>0</v>
      </c>
      <c r="AI30" s="354">
        <v>0</v>
      </c>
      <c r="AJ30" s="354">
        <v>0.18193841566923499</v>
      </c>
      <c r="AK30" s="354">
        <v>8.7506206135043896E-2</v>
      </c>
      <c r="AL30" s="354">
        <v>0</v>
      </c>
      <c r="AM30" s="354">
        <v>0</v>
      </c>
      <c r="AN30" s="353">
        <v>0</v>
      </c>
      <c r="AO30" s="353">
        <v>0</v>
      </c>
      <c r="AP30" s="353">
        <v>0</v>
      </c>
      <c r="AQ30" s="353">
        <v>0</v>
      </c>
      <c r="AR30" s="354">
        <v>0</v>
      </c>
      <c r="AS30" s="354">
        <v>0.182304282476623</v>
      </c>
      <c r="AT30" s="354">
        <v>8.7682175658289202E-2</v>
      </c>
      <c r="AU30" s="354">
        <v>0</v>
      </c>
      <c r="AV30" s="354">
        <v>0</v>
      </c>
      <c r="AW30" s="353">
        <v>0</v>
      </c>
      <c r="AX30" s="353">
        <v>0</v>
      </c>
      <c r="AY30" s="353">
        <v>0</v>
      </c>
      <c r="AZ30" s="353">
        <v>0</v>
      </c>
      <c r="BA30" s="354">
        <v>0</v>
      </c>
      <c r="BB30" s="354">
        <v>0.182304282476623</v>
      </c>
      <c r="BC30" s="354">
        <v>8.7682175658289202E-2</v>
      </c>
      <c r="BD30" s="354">
        <v>0</v>
      </c>
      <c r="BE30" s="354">
        <v>0</v>
      </c>
    </row>
    <row r="31" spans="2:60" x14ac:dyDescent="0.3">
      <c r="B31" s="356" t="s">
        <v>821</v>
      </c>
      <c r="C31" s="318" t="s">
        <v>797</v>
      </c>
      <c r="D31" s="353">
        <v>0</v>
      </c>
      <c r="E31" s="353">
        <v>0</v>
      </c>
      <c r="F31" s="353">
        <v>0</v>
      </c>
      <c r="G31" s="353">
        <v>0</v>
      </c>
      <c r="H31" s="354">
        <v>0</v>
      </c>
      <c r="I31" s="354">
        <v>2.9869846476024298E-2</v>
      </c>
      <c r="J31" s="354">
        <v>9.9495E-2</v>
      </c>
      <c r="K31" s="354">
        <v>0</v>
      </c>
      <c r="L31" s="354">
        <v>0</v>
      </c>
      <c r="M31" s="354">
        <v>0</v>
      </c>
      <c r="N31" s="354">
        <v>0</v>
      </c>
      <c r="O31" s="354">
        <v>0</v>
      </c>
      <c r="P31" s="354">
        <v>0</v>
      </c>
      <c r="Q31" s="354">
        <v>0</v>
      </c>
      <c r="R31" s="354">
        <v>3.0235303055622199E-2</v>
      </c>
      <c r="S31" s="354">
        <v>0.10071231802057599</v>
      </c>
      <c r="T31" s="354">
        <v>0</v>
      </c>
      <c r="U31" s="354">
        <v>0</v>
      </c>
      <c r="V31" s="353">
        <v>0</v>
      </c>
      <c r="W31" s="353">
        <v>0</v>
      </c>
      <c r="X31" s="353">
        <v>0</v>
      </c>
      <c r="Y31" s="353">
        <v>0</v>
      </c>
      <c r="Z31" s="354">
        <v>0</v>
      </c>
      <c r="AA31" s="354">
        <v>3.1040344676992598E-2</v>
      </c>
      <c r="AB31" s="354">
        <v>0.103393872349371</v>
      </c>
      <c r="AC31" s="354">
        <v>0</v>
      </c>
      <c r="AD31" s="354">
        <v>0</v>
      </c>
      <c r="AE31" s="353">
        <v>0</v>
      </c>
      <c r="AF31" s="353">
        <v>0</v>
      </c>
      <c r="AG31" s="353">
        <v>0</v>
      </c>
      <c r="AH31" s="353">
        <v>0</v>
      </c>
      <c r="AI31" s="354">
        <v>0</v>
      </c>
      <c r="AJ31" s="354">
        <v>3.2310432137927503E-2</v>
      </c>
      <c r="AK31" s="354">
        <v>0.107624471660524</v>
      </c>
      <c r="AL31" s="354">
        <v>0</v>
      </c>
      <c r="AM31" s="354">
        <v>0</v>
      </c>
      <c r="AN31" s="353">
        <v>0</v>
      </c>
      <c r="AO31" s="353">
        <v>0</v>
      </c>
      <c r="AP31" s="353">
        <v>0</v>
      </c>
      <c r="AQ31" s="353">
        <v>0</v>
      </c>
      <c r="AR31" s="354">
        <v>0</v>
      </c>
      <c r="AS31" s="354">
        <v>3.2377385853551002E-2</v>
      </c>
      <c r="AT31" s="354">
        <v>0.107847491217766</v>
      </c>
      <c r="AU31" s="354">
        <v>0</v>
      </c>
      <c r="AV31" s="354">
        <v>0</v>
      </c>
      <c r="AW31" s="353">
        <v>0</v>
      </c>
      <c r="AX31" s="353">
        <v>0</v>
      </c>
      <c r="AY31" s="353">
        <v>0</v>
      </c>
      <c r="AZ31" s="353">
        <v>0</v>
      </c>
      <c r="BA31" s="354">
        <v>0</v>
      </c>
      <c r="BB31" s="354">
        <v>3.2377385853551002E-2</v>
      </c>
      <c r="BC31" s="354">
        <v>0.107847491217766</v>
      </c>
      <c r="BD31" s="354">
        <v>0</v>
      </c>
      <c r="BE31" s="354">
        <v>0</v>
      </c>
    </row>
    <row r="32" spans="2:60" x14ac:dyDescent="0.3">
      <c r="B32" s="357" t="s">
        <v>822</v>
      </c>
      <c r="C32" s="318" t="s">
        <v>797</v>
      </c>
      <c r="D32" s="353">
        <v>0</v>
      </c>
      <c r="E32" s="353">
        <v>0</v>
      </c>
      <c r="F32" s="353">
        <v>0</v>
      </c>
      <c r="G32" s="353">
        <v>0</v>
      </c>
      <c r="H32" s="354">
        <v>0</v>
      </c>
      <c r="I32" s="354">
        <v>2.9869846476024298E-2</v>
      </c>
      <c r="J32" s="354">
        <v>3.6850000000000001E-2</v>
      </c>
      <c r="K32" s="354">
        <v>0</v>
      </c>
      <c r="L32" s="354">
        <v>0</v>
      </c>
      <c r="M32" s="354">
        <v>0</v>
      </c>
      <c r="N32" s="354">
        <v>0</v>
      </c>
      <c r="O32" s="354">
        <v>0</v>
      </c>
      <c r="P32" s="354">
        <v>0</v>
      </c>
      <c r="Q32" s="354">
        <v>0</v>
      </c>
      <c r="R32" s="354">
        <v>3.02200819055174E-2</v>
      </c>
      <c r="S32" s="354">
        <v>3.7282080412170203E-2</v>
      </c>
      <c r="T32" s="354">
        <v>0</v>
      </c>
      <c r="U32" s="354">
        <v>0</v>
      </c>
      <c r="V32" s="353">
        <v>0</v>
      </c>
      <c r="W32" s="353">
        <v>0</v>
      </c>
      <c r="X32" s="353">
        <v>0</v>
      </c>
      <c r="Y32" s="353">
        <v>0</v>
      </c>
      <c r="Z32" s="354">
        <v>0</v>
      </c>
      <c r="AA32" s="354">
        <v>3.0990385983408499E-2</v>
      </c>
      <c r="AB32" s="354">
        <v>3.8232393474310303E-2</v>
      </c>
      <c r="AC32" s="354">
        <v>0</v>
      </c>
      <c r="AD32" s="354">
        <v>0</v>
      </c>
      <c r="AE32" s="353">
        <v>0</v>
      </c>
      <c r="AF32" s="353">
        <v>0</v>
      </c>
      <c r="AG32" s="353">
        <v>0</v>
      </c>
      <c r="AH32" s="353">
        <v>0</v>
      </c>
      <c r="AI32" s="354">
        <v>0</v>
      </c>
      <c r="AJ32" s="354">
        <v>3.21968558252618E-2</v>
      </c>
      <c r="AK32" s="354">
        <v>3.9720797966378299E-2</v>
      </c>
      <c r="AL32" s="354">
        <v>0</v>
      </c>
      <c r="AM32" s="354">
        <v>0</v>
      </c>
      <c r="AN32" s="353">
        <v>0</v>
      </c>
      <c r="AO32" s="353">
        <v>0</v>
      </c>
      <c r="AP32" s="353">
        <v>0</v>
      </c>
      <c r="AQ32" s="353">
        <v>0</v>
      </c>
      <c r="AR32" s="354">
        <v>0</v>
      </c>
      <c r="AS32" s="354">
        <v>3.22603321723487E-2</v>
      </c>
      <c r="AT32" s="354">
        <v>3.9799107822842697E-2</v>
      </c>
      <c r="AU32" s="354">
        <v>0</v>
      </c>
      <c r="AV32" s="354">
        <v>0</v>
      </c>
      <c r="AW32" s="353">
        <v>0</v>
      </c>
      <c r="AX32" s="353">
        <v>0</v>
      </c>
      <c r="AY32" s="353">
        <v>0</v>
      </c>
      <c r="AZ32" s="353">
        <v>0</v>
      </c>
      <c r="BA32" s="354">
        <v>0</v>
      </c>
      <c r="BB32" s="354">
        <v>3.22603321723487E-2</v>
      </c>
      <c r="BC32" s="354">
        <v>3.9799107822842697E-2</v>
      </c>
      <c r="BD32" s="354">
        <v>0</v>
      </c>
      <c r="BE32" s="354">
        <v>0</v>
      </c>
    </row>
    <row r="33" spans="2:60" x14ac:dyDescent="0.3">
      <c r="B33" s="358" t="s">
        <v>823</v>
      </c>
      <c r="C33" s="318" t="s">
        <v>797</v>
      </c>
      <c r="D33" s="359">
        <v>0</v>
      </c>
      <c r="E33" s="359">
        <v>0</v>
      </c>
      <c r="F33" s="359">
        <v>0</v>
      </c>
      <c r="G33" s="359">
        <v>0</v>
      </c>
      <c r="H33" s="359">
        <v>0</v>
      </c>
      <c r="I33" s="359">
        <v>0</v>
      </c>
      <c r="J33" s="359">
        <v>0</v>
      </c>
      <c r="K33" s="359">
        <v>3.6230000000000002</v>
      </c>
      <c r="L33" s="359">
        <v>0</v>
      </c>
      <c r="M33" s="359">
        <v>0</v>
      </c>
      <c r="N33" s="359">
        <v>0</v>
      </c>
      <c r="O33" s="359">
        <v>0</v>
      </c>
      <c r="P33" s="359">
        <v>0</v>
      </c>
      <c r="Q33" s="359">
        <v>0</v>
      </c>
      <c r="R33" s="359">
        <v>0</v>
      </c>
      <c r="S33" s="359">
        <v>0</v>
      </c>
      <c r="T33" s="359">
        <v>3.6690673565331302</v>
      </c>
      <c r="U33" s="359">
        <v>0</v>
      </c>
      <c r="V33" s="359">
        <v>0</v>
      </c>
      <c r="W33" s="359">
        <v>0</v>
      </c>
      <c r="X33" s="359">
        <v>0</v>
      </c>
      <c r="Y33" s="359">
        <v>0</v>
      </c>
      <c r="Z33" s="359">
        <v>0</v>
      </c>
      <c r="AA33" s="359">
        <v>0</v>
      </c>
      <c r="AB33" s="359">
        <v>0</v>
      </c>
      <c r="AC33" s="359">
        <v>3.8464244813434401</v>
      </c>
      <c r="AD33" s="359">
        <v>0</v>
      </c>
      <c r="AE33" s="359">
        <v>0</v>
      </c>
      <c r="AF33" s="359">
        <v>0</v>
      </c>
      <c r="AG33" s="359">
        <v>0</v>
      </c>
      <c r="AH33" s="359">
        <v>0</v>
      </c>
      <c r="AI33" s="359">
        <v>0</v>
      </c>
      <c r="AJ33" s="359">
        <v>0</v>
      </c>
      <c r="AK33" s="359">
        <v>0</v>
      </c>
      <c r="AL33" s="359">
        <v>4.2331290574027003</v>
      </c>
      <c r="AM33" s="359">
        <v>0</v>
      </c>
      <c r="AN33" s="359">
        <v>0</v>
      </c>
      <c r="AO33" s="359">
        <v>0</v>
      </c>
      <c r="AP33" s="359">
        <v>0</v>
      </c>
      <c r="AQ33" s="359">
        <v>0</v>
      </c>
      <c r="AR33" s="359">
        <v>0</v>
      </c>
      <c r="AS33" s="359">
        <v>0</v>
      </c>
      <c r="AT33" s="359">
        <v>0</v>
      </c>
      <c r="AU33" s="359">
        <v>4.2539473610108596</v>
      </c>
      <c r="AV33" s="359">
        <v>0</v>
      </c>
      <c r="AW33" s="359">
        <v>0</v>
      </c>
      <c r="AX33" s="359">
        <v>0</v>
      </c>
      <c r="AY33" s="359">
        <v>0</v>
      </c>
      <c r="AZ33" s="359">
        <v>0</v>
      </c>
      <c r="BA33" s="359">
        <v>0</v>
      </c>
      <c r="BB33" s="359">
        <v>0</v>
      </c>
      <c r="BC33" s="359">
        <v>0</v>
      </c>
      <c r="BD33" s="359">
        <v>4.2539473610108596</v>
      </c>
      <c r="BE33" s="359">
        <v>0</v>
      </c>
      <c r="BG33" s="70">
        <f>SUM(AE33:AM33)</f>
        <v>4.2331290574027003</v>
      </c>
      <c r="BH33" s="70">
        <f>SUM(AW33:BE33)</f>
        <v>4.2539473610108596</v>
      </c>
    </row>
    <row r="34" spans="2:60" x14ac:dyDescent="0.3">
      <c r="B34" s="360" t="s">
        <v>824</v>
      </c>
      <c r="C34" s="318" t="s">
        <v>797</v>
      </c>
      <c r="D34" s="361">
        <v>0</v>
      </c>
      <c r="E34" s="361">
        <v>0</v>
      </c>
      <c r="F34" s="361">
        <v>0</v>
      </c>
      <c r="G34" s="361">
        <v>0</v>
      </c>
      <c r="H34" s="362">
        <v>0</v>
      </c>
      <c r="I34" s="362">
        <v>0</v>
      </c>
      <c r="J34" s="362">
        <v>0</v>
      </c>
      <c r="K34" s="362">
        <v>0.77600000000000002</v>
      </c>
      <c r="L34" s="362">
        <v>0</v>
      </c>
      <c r="M34" s="362">
        <v>0</v>
      </c>
      <c r="N34" s="362">
        <v>0</v>
      </c>
      <c r="O34" s="362">
        <v>0</v>
      </c>
      <c r="P34" s="362">
        <v>0</v>
      </c>
      <c r="Q34" s="362">
        <v>0</v>
      </c>
      <c r="R34" s="362">
        <v>0</v>
      </c>
      <c r="S34" s="362">
        <v>0</v>
      </c>
      <c r="T34" s="362">
        <v>0.762308799080475</v>
      </c>
      <c r="U34" s="362">
        <v>0</v>
      </c>
      <c r="V34" s="361">
        <v>0</v>
      </c>
      <c r="W34" s="361">
        <v>0</v>
      </c>
      <c r="X34" s="361">
        <v>0</v>
      </c>
      <c r="Y34" s="361">
        <v>0</v>
      </c>
      <c r="Z34" s="362">
        <v>0</v>
      </c>
      <c r="AA34" s="362">
        <v>0</v>
      </c>
      <c r="AB34" s="362">
        <v>0</v>
      </c>
      <c r="AC34" s="362">
        <v>0.696586595016499</v>
      </c>
      <c r="AD34" s="362">
        <v>0</v>
      </c>
      <c r="AE34" s="361">
        <v>0</v>
      </c>
      <c r="AF34" s="361">
        <v>0</v>
      </c>
      <c r="AG34" s="361">
        <v>0</v>
      </c>
      <c r="AH34" s="361">
        <v>0</v>
      </c>
      <c r="AI34" s="362">
        <v>0</v>
      </c>
      <c r="AJ34" s="362">
        <v>0</v>
      </c>
      <c r="AK34" s="362">
        <v>0</v>
      </c>
      <c r="AL34" s="362">
        <v>0.55161968745225598</v>
      </c>
      <c r="AM34" s="362">
        <v>0</v>
      </c>
      <c r="AN34" s="361">
        <v>0</v>
      </c>
      <c r="AO34" s="361">
        <v>0</v>
      </c>
      <c r="AP34" s="361">
        <v>0</v>
      </c>
      <c r="AQ34" s="361">
        <v>0</v>
      </c>
      <c r="AR34" s="362">
        <v>0</v>
      </c>
      <c r="AS34" s="362">
        <v>0</v>
      </c>
      <c r="AT34" s="362">
        <v>0</v>
      </c>
      <c r="AU34" s="362">
        <v>0.54364260295609801</v>
      </c>
      <c r="AV34" s="362">
        <v>0</v>
      </c>
      <c r="AW34" s="361">
        <v>0</v>
      </c>
      <c r="AX34" s="361">
        <v>0</v>
      </c>
      <c r="AY34" s="361">
        <v>0</v>
      </c>
      <c r="AZ34" s="361">
        <v>0</v>
      </c>
      <c r="BA34" s="362">
        <v>0</v>
      </c>
      <c r="BB34" s="362">
        <v>0</v>
      </c>
      <c r="BC34" s="362">
        <v>0</v>
      </c>
      <c r="BD34" s="362">
        <v>0.54364260295609801</v>
      </c>
      <c r="BE34" s="362">
        <v>0</v>
      </c>
    </row>
    <row r="35" spans="2:60" x14ac:dyDescent="0.3">
      <c r="B35" s="360" t="s">
        <v>825</v>
      </c>
      <c r="C35" s="318" t="s">
        <v>797</v>
      </c>
      <c r="D35" s="361">
        <v>0</v>
      </c>
      <c r="E35" s="361">
        <v>0</v>
      </c>
      <c r="F35" s="361">
        <v>0</v>
      </c>
      <c r="G35" s="361">
        <v>0</v>
      </c>
      <c r="H35" s="362">
        <v>0</v>
      </c>
      <c r="I35" s="362">
        <v>0</v>
      </c>
      <c r="J35" s="362">
        <v>0</v>
      </c>
      <c r="K35" s="362">
        <v>2.4489999999999998</v>
      </c>
      <c r="L35" s="362">
        <v>0</v>
      </c>
      <c r="M35" s="362">
        <v>0</v>
      </c>
      <c r="N35" s="362">
        <v>0</v>
      </c>
      <c r="O35" s="362">
        <v>0</v>
      </c>
      <c r="P35" s="362">
        <v>0</v>
      </c>
      <c r="Q35" s="362">
        <v>0</v>
      </c>
      <c r="R35" s="362">
        <v>0</v>
      </c>
      <c r="S35" s="362">
        <v>0</v>
      </c>
      <c r="T35" s="362">
        <v>2.5156477809690401</v>
      </c>
      <c r="U35" s="362">
        <v>0</v>
      </c>
      <c r="V35" s="361">
        <v>0</v>
      </c>
      <c r="W35" s="361">
        <v>0</v>
      </c>
      <c r="X35" s="361">
        <v>0</v>
      </c>
      <c r="Y35" s="361">
        <v>0</v>
      </c>
      <c r="Z35" s="362">
        <v>0</v>
      </c>
      <c r="AA35" s="362">
        <v>0</v>
      </c>
      <c r="AB35" s="362">
        <v>0</v>
      </c>
      <c r="AC35" s="362">
        <v>2.7921792874031701</v>
      </c>
      <c r="AD35" s="362">
        <v>0</v>
      </c>
      <c r="AE35" s="361">
        <v>0</v>
      </c>
      <c r="AF35" s="361">
        <v>0</v>
      </c>
      <c r="AG35" s="361">
        <v>0</v>
      </c>
      <c r="AH35" s="361">
        <v>0</v>
      </c>
      <c r="AI35" s="362">
        <v>0</v>
      </c>
      <c r="AJ35" s="362">
        <v>0</v>
      </c>
      <c r="AK35" s="362">
        <v>0</v>
      </c>
      <c r="AL35" s="362">
        <v>3.3979167922679201</v>
      </c>
      <c r="AM35" s="362">
        <v>0</v>
      </c>
      <c r="AN35" s="361">
        <v>0</v>
      </c>
      <c r="AO35" s="361">
        <v>0</v>
      </c>
      <c r="AP35" s="361">
        <v>0</v>
      </c>
      <c r="AQ35" s="361">
        <v>0</v>
      </c>
      <c r="AR35" s="362">
        <v>0</v>
      </c>
      <c r="AS35" s="362">
        <v>0</v>
      </c>
      <c r="AT35" s="362">
        <v>0</v>
      </c>
      <c r="AU35" s="362">
        <v>3.43079423402857</v>
      </c>
      <c r="AV35" s="362">
        <v>0</v>
      </c>
      <c r="AW35" s="361">
        <v>0</v>
      </c>
      <c r="AX35" s="361">
        <v>0</v>
      </c>
      <c r="AY35" s="361">
        <v>0</v>
      </c>
      <c r="AZ35" s="361">
        <v>0</v>
      </c>
      <c r="BA35" s="362">
        <v>0</v>
      </c>
      <c r="BB35" s="362">
        <v>0</v>
      </c>
      <c r="BC35" s="362">
        <v>0</v>
      </c>
      <c r="BD35" s="362">
        <v>3.43079423402857</v>
      </c>
      <c r="BE35" s="362">
        <v>0</v>
      </c>
    </row>
    <row r="36" spans="2:60" x14ac:dyDescent="0.3">
      <c r="B36" s="360" t="s">
        <v>826</v>
      </c>
      <c r="C36" s="318" t="s">
        <v>797</v>
      </c>
      <c r="D36" s="361">
        <v>0</v>
      </c>
      <c r="E36" s="361">
        <v>0</v>
      </c>
      <c r="F36" s="361">
        <v>0</v>
      </c>
      <c r="G36" s="361">
        <v>0</v>
      </c>
      <c r="H36" s="362">
        <v>0</v>
      </c>
      <c r="I36" s="362">
        <v>0</v>
      </c>
      <c r="J36" s="362">
        <v>0</v>
      </c>
      <c r="K36" s="362">
        <v>0.39800000000000002</v>
      </c>
      <c r="L36" s="362">
        <v>0</v>
      </c>
      <c r="M36" s="362">
        <v>0</v>
      </c>
      <c r="N36" s="362">
        <v>0</v>
      </c>
      <c r="O36" s="362">
        <v>0</v>
      </c>
      <c r="P36" s="362">
        <v>0</v>
      </c>
      <c r="Q36" s="362">
        <v>0</v>
      </c>
      <c r="R36" s="362">
        <v>0</v>
      </c>
      <c r="S36" s="362">
        <v>0</v>
      </c>
      <c r="T36" s="362">
        <v>0.39111077648361497</v>
      </c>
      <c r="U36" s="362">
        <v>0</v>
      </c>
      <c r="V36" s="361">
        <v>0</v>
      </c>
      <c r="W36" s="361">
        <v>0</v>
      </c>
      <c r="X36" s="361">
        <v>0</v>
      </c>
      <c r="Y36" s="361">
        <v>0</v>
      </c>
      <c r="Z36" s="362">
        <v>0</v>
      </c>
      <c r="AA36" s="362">
        <v>0</v>
      </c>
      <c r="AB36" s="362">
        <v>0</v>
      </c>
      <c r="AC36" s="362">
        <v>0.357658598923767</v>
      </c>
      <c r="AD36" s="362">
        <v>0</v>
      </c>
      <c r="AE36" s="361">
        <v>0</v>
      </c>
      <c r="AF36" s="361">
        <v>0</v>
      </c>
      <c r="AG36" s="361">
        <v>0</v>
      </c>
      <c r="AH36" s="361">
        <v>0</v>
      </c>
      <c r="AI36" s="362">
        <v>0</v>
      </c>
      <c r="AJ36" s="362">
        <v>0</v>
      </c>
      <c r="AK36" s="362">
        <v>0</v>
      </c>
      <c r="AL36" s="362">
        <v>0.28359257768252999</v>
      </c>
      <c r="AM36" s="362">
        <v>0</v>
      </c>
      <c r="AN36" s="361">
        <v>0</v>
      </c>
      <c r="AO36" s="361">
        <v>0</v>
      </c>
      <c r="AP36" s="361">
        <v>0</v>
      </c>
      <c r="AQ36" s="361">
        <v>0</v>
      </c>
      <c r="AR36" s="362">
        <v>0</v>
      </c>
      <c r="AS36" s="362">
        <v>0</v>
      </c>
      <c r="AT36" s="362">
        <v>0</v>
      </c>
      <c r="AU36" s="362">
        <v>0.27951052402618998</v>
      </c>
      <c r="AV36" s="362">
        <v>0</v>
      </c>
      <c r="AW36" s="361">
        <v>0</v>
      </c>
      <c r="AX36" s="361">
        <v>0</v>
      </c>
      <c r="AY36" s="361">
        <v>0</v>
      </c>
      <c r="AZ36" s="361">
        <v>0</v>
      </c>
      <c r="BA36" s="362">
        <v>0</v>
      </c>
      <c r="BB36" s="362">
        <v>0</v>
      </c>
      <c r="BC36" s="362">
        <v>0</v>
      </c>
      <c r="BD36" s="362">
        <v>0.27951052402618998</v>
      </c>
      <c r="BE36" s="362">
        <v>0</v>
      </c>
    </row>
    <row r="37" spans="2:60" x14ac:dyDescent="0.3">
      <c r="B37" s="358" t="s">
        <v>827</v>
      </c>
      <c r="C37" s="318" t="s">
        <v>797</v>
      </c>
      <c r="D37" s="359">
        <v>0</v>
      </c>
      <c r="E37" s="359">
        <v>0</v>
      </c>
      <c r="F37" s="359">
        <v>0</v>
      </c>
      <c r="G37" s="359">
        <v>0</v>
      </c>
      <c r="H37" s="359">
        <v>0</v>
      </c>
      <c r="I37" s="359">
        <v>0</v>
      </c>
      <c r="J37" s="359">
        <v>0</v>
      </c>
      <c r="K37" s="359">
        <v>0</v>
      </c>
      <c r="L37" s="359">
        <v>1.9139999999999999</v>
      </c>
      <c r="M37" s="359">
        <v>0</v>
      </c>
      <c r="N37" s="359">
        <v>0</v>
      </c>
      <c r="O37" s="359">
        <v>0</v>
      </c>
      <c r="P37" s="359">
        <v>0</v>
      </c>
      <c r="Q37" s="359">
        <v>0</v>
      </c>
      <c r="R37" s="359">
        <v>0</v>
      </c>
      <c r="S37" s="359">
        <v>0</v>
      </c>
      <c r="T37" s="359">
        <v>0</v>
      </c>
      <c r="U37" s="359">
        <v>1.9131319130859401</v>
      </c>
      <c r="V37" s="359">
        <v>0</v>
      </c>
      <c r="W37" s="359">
        <v>0</v>
      </c>
      <c r="X37" s="359">
        <v>0</v>
      </c>
      <c r="Y37" s="359">
        <v>0</v>
      </c>
      <c r="Z37" s="359">
        <v>0</v>
      </c>
      <c r="AA37" s="359">
        <v>0</v>
      </c>
      <c r="AB37" s="359">
        <v>0</v>
      </c>
      <c r="AC37" s="359">
        <v>0</v>
      </c>
      <c r="AD37" s="359">
        <v>1.9863492</v>
      </c>
      <c r="AE37" s="359">
        <v>0</v>
      </c>
      <c r="AF37" s="359">
        <v>0</v>
      </c>
      <c r="AG37" s="359">
        <v>0</v>
      </c>
      <c r="AH37" s="359">
        <v>0</v>
      </c>
      <c r="AI37" s="359">
        <v>0</v>
      </c>
      <c r="AJ37" s="359">
        <v>0</v>
      </c>
      <c r="AK37" s="359">
        <v>0</v>
      </c>
      <c r="AL37" s="359">
        <v>0</v>
      </c>
      <c r="AM37" s="359">
        <v>2.0643542699999999</v>
      </c>
      <c r="AN37" s="359">
        <v>0</v>
      </c>
      <c r="AO37" s="359">
        <v>0</v>
      </c>
      <c r="AP37" s="359">
        <v>0</v>
      </c>
      <c r="AQ37" s="359">
        <v>0</v>
      </c>
      <c r="AR37" s="359">
        <v>0</v>
      </c>
      <c r="AS37" s="359">
        <v>0</v>
      </c>
      <c r="AT37" s="359">
        <v>0</v>
      </c>
      <c r="AU37" s="359">
        <v>0</v>
      </c>
      <c r="AV37" s="359">
        <v>2.0684597999999998</v>
      </c>
      <c r="AW37" s="359">
        <v>0</v>
      </c>
      <c r="AX37" s="359">
        <v>0</v>
      </c>
      <c r="AY37" s="359">
        <v>0</v>
      </c>
      <c r="AZ37" s="359">
        <v>0</v>
      </c>
      <c r="BA37" s="359">
        <v>0</v>
      </c>
      <c r="BB37" s="359">
        <v>0</v>
      </c>
      <c r="BC37" s="359">
        <v>0</v>
      </c>
      <c r="BD37" s="359">
        <v>0</v>
      </c>
      <c r="BE37" s="359">
        <v>2.0684597999999998</v>
      </c>
      <c r="BG37" s="70">
        <f>SUM(AE37:AM37)</f>
        <v>2.0643542699999999</v>
      </c>
      <c r="BH37" s="70">
        <f>SUM(AW37:BE37)</f>
        <v>2.0684597999999998</v>
      </c>
    </row>
    <row r="38" spans="2:60" x14ac:dyDescent="0.3">
      <c r="B38" s="360" t="s">
        <v>828</v>
      </c>
      <c r="C38" s="318" t="s">
        <v>797</v>
      </c>
      <c r="D38" s="361">
        <v>0</v>
      </c>
      <c r="E38" s="361">
        <v>0</v>
      </c>
      <c r="F38" s="361">
        <v>0</v>
      </c>
      <c r="G38" s="361">
        <v>0</v>
      </c>
      <c r="H38" s="362">
        <v>0</v>
      </c>
      <c r="I38" s="362">
        <v>0</v>
      </c>
      <c r="J38" s="362">
        <v>0</v>
      </c>
      <c r="K38" s="362">
        <v>0</v>
      </c>
      <c r="L38" s="362">
        <v>1.9139999999999999</v>
      </c>
      <c r="M38" s="362">
        <v>0</v>
      </c>
      <c r="N38" s="362">
        <v>0</v>
      </c>
      <c r="O38" s="362">
        <v>0</v>
      </c>
      <c r="P38" s="362">
        <v>0</v>
      </c>
      <c r="Q38" s="362">
        <v>0</v>
      </c>
      <c r="R38" s="362">
        <v>0</v>
      </c>
      <c r="S38" s="362">
        <v>0</v>
      </c>
      <c r="T38" s="362">
        <v>0</v>
      </c>
      <c r="U38" s="362">
        <v>1.9131319130859401</v>
      </c>
      <c r="V38" s="361">
        <v>0</v>
      </c>
      <c r="W38" s="361">
        <v>0</v>
      </c>
      <c r="X38" s="361">
        <v>0</v>
      </c>
      <c r="Y38" s="361">
        <v>0</v>
      </c>
      <c r="Z38" s="362">
        <v>0</v>
      </c>
      <c r="AA38" s="362">
        <v>0</v>
      </c>
      <c r="AB38" s="362">
        <v>0</v>
      </c>
      <c r="AC38" s="362">
        <v>0</v>
      </c>
      <c r="AD38" s="362">
        <v>1.9863492</v>
      </c>
      <c r="AE38" s="361">
        <v>0</v>
      </c>
      <c r="AF38" s="361">
        <v>0</v>
      </c>
      <c r="AG38" s="361">
        <v>0</v>
      </c>
      <c r="AH38" s="361">
        <v>0</v>
      </c>
      <c r="AI38" s="362">
        <v>0</v>
      </c>
      <c r="AJ38" s="362">
        <v>0</v>
      </c>
      <c r="AK38" s="362">
        <v>0</v>
      </c>
      <c r="AL38" s="362">
        <v>0</v>
      </c>
      <c r="AM38" s="362">
        <v>2.0643542699999999</v>
      </c>
      <c r="AN38" s="361">
        <v>0</v>
      </c>
      <c r="AO38" s="361">
        <v>0</v>
      </c>
      <c r="AP38" s="361">
        <v>0</v>
      </c>
      <c r="AQ38" s="361">
        <v>0</v>
      </c>
      <c r="AR38" s="362">
        <v>0</v>
      </c>
      <c r="AS38" s="362">
        <v>0</v>
      </c>
      <c r="AT38" s="362">
        <v>0</v>
      </c>
      <c r="AU38" s="362">
        <v>0</v>
      </c>
      <c r="AV38" s="362">
        <v>2.0684597999999998</v>
      </c>
      <c r="AW38" s="361">
        <v>0</v>
      </c>
      <c r="AX38" s="361">
        <v>0</v>
      </c>
      <c r="AY38" s="361">
        <v>0</v>
      </c>
      <c r="AZ38" s="361">
        <v>0</v>
      </c>
      <c r="BA38" s="362">
        <v>0</v>
      </c>
      <c r="BB38" s="362">
        <v>0</v>
      </c>
      <c r="BC38" s="362">
        <v>0</v>
      </c>
      <c r="BD38" s="362">
        <v>0</v>
      </c>
      <c r="BE38" s="362">
        <v>2.0684597999999998</v>
      </c>
    </row>
    <row r="39" spans="2:60" x14ac:dyDescent="0.3">
      <c r="B39" s="363" t="s">
        <v>829</v>
      </c>
      <c r="C39" s="318" t="s">
        <v>797</v>
      </c>
      <c r="D39" s="364">
        <v>0</v>
      </c>
      <c r="E39" s="364">
        <v>0</v>
      </c>
      <c r="F39" s="364">
        <v>0</v>
      </c>
      <c r="G39" s="364">
        <v>0</v>
      </c>
      <c r="H39" s="364">
        <v>6.7536176344524607E-2</v>
      </c>
      <c r="I39" s="364">
        <v>0.148793856446338</v>
      </c>
      <c r="J39" s="364">
        <v>0.369198282681999</v>
      </c>
      <c r="K39" s="364">
        <v>1.073</v>
      </c>
      <c r="L39" s="364">
        <v>1.8457692307692299</v>
      </c>
      <c r="M39" s="364">
        <v>0</v>
      </c>
      <c r="N39" s="364">
        <v>0</v>
      </c>
      <c r="O39" s="364">
        <v>0</v>
      </c>
      <c r="P39" s="364">
        <v>0</v>
      </c>
      <c r="Q39" s="364">
        <v>6.2496004849650198E-2</v>
      </c>
      <c r="R39" s="364">
        <v>0.14747701954671699</v>
      </c>
      <c r="S39" s="364">
        <v>0.379956855686438</v>
      </c>
      <c r="T39" s="364">
        <v>1.14451073231212</v>
      </c>
      <c r="U39" s="364">
        <v>1.8583902928745</v>
      </c>
      <c r="V39" s="364">
        <v>0</v>
      </c>
      <c r="W39" s="364">
        <v>0</v>
      </c>
      <c r="X39" s="364">
        <v>0</v>
      </c>
      <c r="Y39" s="364">
        <v>0</v>
      </c>
      <c r="Z39" s="364">
        <v>5.8931780837660701E-2</v>
      </c>
      <c r="AA39" s="364">
        <v>0.14068839744551501</v>
      </c>
      <c r="AB39" s="364">
        <v>0.33774109470083102</v>
      </c>
      <c r="AC39" s="364">
        <v>1.2816952828184001</v>
      </c>
      <c r="AD39" s="364">
        <v>1.8957071514016799</v>
      </c>
      <c r="AE39" s="364">
        <v>0</v>
      </c>
      <c r="AF39" s="364">
        <v>0</v>
      </c>
      <c r="AG39" s="364">
        <v>0</v>
      </c>
      <c r="AH39" s="364">
        <v>0</v>
      </c>
      <c r="AI39" s="364">
        <v>4.6273174664865899E-2</v>
      </c>
      <c r="AJ39" s="364">
        <v>0.12829469227222101</v>
      </c>
      <c r="AK39" s="364">
        <v>0.27564886136403199</v>
      </c>
      <c r="AL39" s="364">
        <v>1.61452489333203</v>
      </c>
      <c r="AM39" s="364">
        <v>1.94448987714758</v>
      </c>
      <c r="AN39" s="364">
        <v>0</v>
      </c>
      <c r="AO39" s="364">
        <v>0</v>
      </c>
      <c r="AP39" s="364">
        <v>0</v>
      </c>
      <c r="AQ39" s="364">
        <v>0</v>
      </c>
      <c r="AR39" s="364">
        <v>4.5566410324776201E-2</v>
      </c>
      <c r="AS39" s="364">
        <v>0.135235156515814</v>
      </c>
      <c r="AT39" s="364">
        <v>0.27448163391697</v>
      </c>
      <c r="AU39" s="364">
        <v>1.3458258689967899</v>
      </c>
      <c r="AV39" s="364">
        <v>1.94703465127256</v>
      </c>
      <c r="AW39" s="364">
        <v>0</v>
      </c>
      <c r="AX39" s="364">
        <v>0</v>
      </c>
      <c r="AY39" s="364">
        <v>0</v>
      </c>
      <c r="AZ39" s="364">
        <v>0</v>
      </c>
      <c r="BA39" s="364">
        <v>3.6555911611020502E-2</v>
      </c>
      <c r="BB39" s="364">
        <v>0.135235156515814</v>
      </c>
      <c r="BC39" s="364">
        <v>0.27448163391697</v>
      </c>
      <c r="BD39" s="365">
        <v>1.62</v>
      </c>
      <c r="BE39" s="364">
        <v>1.94703465127256</v>
      </c>
      <c r="BG39" s="70">
        <f>SUM(AE39:AM39)</f>
        <v>4.0092314987807294</v>
      </c>
      <c r="BH39" s="70">
        <f>SUM(AW39:BE39)</f>
        <v>4.0133073533163648</v>
      </c>
    </row>
    <row r="40" spans="2:60" x14ac:dyDescent="0.3">
      <c r="B40" s="366" t="s">
        <v>124</v>
      </c>
      <c r="C40" s="318" t="s">
        <v>797</v>
      </c>
      <c r="D40" s="367">
        <v>0</v>
      </c>
      <c r="E40" s="367">
        <v>0</v>
      </c>
      <c r="F40" s="367">
        <v>0</v>
      </c>
      <c r="G40" s="367">
        <v>0</v>
      </c>
      <c r="H40" s="368">
        <v>0</v>
      </c>
      <c r="I40" s="368">
        <v>0</v>
      </c>
      <c r="J40" s="368">
        <v>0</v>
      </c>
      <c r="K40" s="368">
        <v>0</v>
      </c>
      <c r="L40" s="368">
        <v>0</v>
      </c>
      <c r="M40" s="368">
        <v>0</v>
      </c>
      <c r="N40" s="368">
        <v>0</v>
      </c>
      <c r="O40" s="368">
        <v>0</v>
      </c>
      <c r="P40" s="368">
        <v>0</v>
      </c>
      <c r="Q40" s="368">
        <v>0</v>
      </c>
      <c r="R40" s="368">
        <v>0</v>
      </c>
      <c r="S40" s="368">
        <v>0</v>
      </c>
      <c r="T40" s="368">
        <v>0</v>
      </c>
      <c r="U40" s="368">
        <v>0</v>
      </c>
      <c r="V40" s="367">
        <v>0</v>
      </c>
      <c r="W40" s="367">
        <v>0</v>
      </c>
      <c r="X40" s="367">
        <v>0</v>
      </c>
      <c r="Y40" s="367">
        <v>0</v>
      </c>
      <c r="Z40" s="368">
        <v>0</v>
      </c>
      <c r="AA40" s="368">
        <v>0</v>
      </c>
      <c r="AB40" s="368">
        <v>0</v>
      </c>
      <c r="AC40" s="368">
        <v>0</v>
      </c>
      <c r="AD40" s="368">
        <v>0</v>
      </c>
      <c r="AE40" s="367">
        <v>0</v>
      </c>
      <c r="AF40" s="367">
        <v>0</v>
      </c>
      <c r="AG40" s="367">
        <v>0</v>
      </c>
      <c r="AH40" s="367">
        <v>0</v>
      </c>
      <c r="AI40" s="368">
        <v>0</v>
      </c>
      <c r="AJ40" s="368">
        <v>0</v>
      </c>
      <c r="AK40" s="368">
        <v>0</v>
      </c>
      <c r="AL40" s="368">
        <v>0</v>
      </c>
      <c r="AM40" s="368">
        <v>0</v>
      </c>
      <c r="AN40" s="367">
        <v>0</v>
      </c>
      <c r="AO40" s="367">
        <v>0</v>
      </c>
      <c r="AP40" s="367">
        <v>0</v>
      </c>
      <c r="AQ40" s="367">
        <v>0</v>
      </c>
      <c r="AR40" s="368">
        <v>0</v>
      </c>
      <c r="AS40" s="368">
        <v>0</v>
      </c>
      <c r="AT40" s="368">
        <v>0</v>
      </c>
      <c r="AU40" s="368">
        <v>0</v>
      </c>
      <c r="AV40" s="368">
        <v>0</v>
      </c>
      <c r="AW40" s="367">
        <v>0</v>
      </c>
      <c r="AX40" s="367">
        <v>0</v>
      </c>
      <c r="AY40" s="367">
        <v>0</v>
      </c>
      <c r="AZ40" s="367">
        <v>0</v>
      </c>
      <c r="BA40" s="368">
        <v>0</v>
      </c>
      <c r="BB40" s="368">
        <v>0</v>
      </c>
      <c r="BC40" s="368">
        <v>0</v>
      </c>
      <c r="BD40" s="368">
        <v>0</v>
      </c>
      <c r="BE40" s="368">
        <v>0</v>
      </c>
    </row>
    <row r="41" spans="2:60" x14ac:dyDescent="0.3">
      <c r="B41" s="366" t="s">
        <v>51</v>
      </c>
      <c r="C41" s="318" t="s">
        <v>797</v>
      </c>
      <c r="D41" s="367">
        <v>0</v>
      </c>
      <c r="E41" s="367">
        <v>0</v>
      </c>
      <c r="F41" s="367">
        <v>0</v>
      </c>
      <c r="G41" s="367">
        <v>0</v>
      </c>
      <c r="H41" s="368">
        <v>0</v>
      </c>
      <c r="I41" s="368">
        <v>0</v>
      </c>
      <c r="J41" s="368">
        <v>3.6850000000000001E-2</v>
      </c>
      <c r="K41" s="368">
        <v>0</v>
      </c>
      <c r="L41" s="368">
        <v>0</v>
      </c>
      <c r="M41" s="368">
        <v>0</v>
      </c>
      <c r="N41" s="368">
        <v>0</v>
      </c>
      <c r="O41" s="368">
        <v>0</v>
      </c>
      <c r="P41" s="368">
        <v>0</v>
      </c>
      <c r="Q41" s="368">
        <v>0</v>
      </c>
      <c r="R41" s="368">
        <v>0</v>
      </c>
      <c r="S41" s="368">
        <v>3.64645101661773E-2</v>
      </c>
      <c r="T41" s="368">
        <v>0</v>
      </c>
      <c r="U41" s="368">
        <v>0</v>
      </c>
      <c r="V41" s="367">
        <v>0</v>
      </c>
      <c r="W41" s="367">
        <v>0</v>
      </c>
      <c r="X41" s="367">
        <v>0</v>
      </c>
      <c r="Y41" s="367">
        <v>0</v>
      </c>
      <c r="Z41" s="368">
        <v>0</v>
      </c>
      <c r="AA41" s="368">
        <v>0</v>
      </c>
      <c r="AB41" s="368">
        <v>4.0066906872282301E-2</v>
      </c>
      <c r="AC41" s="368">
        <v>0</v>
      </c>
      <c r="AD41" s="368">
        <v>0</v>
      </c>
      <c r="AE41" s="367">
        <v>0</v>
      </c>
      <c r="AF41" s="367">
        <v>0</v>
      </c>
      <c r="AG41" s="367">
        <v>0</v>
      </c>
      <c r="AH41" s="367">
        <v>0</v>
      </c>
      <c r="AI41" s="368">
        <v>0</v>
      </c>
      <c r="AJ41" s="368">
        <v>0</v>
      </c>
      <c r="AK41" s="368">
        <v>4.5958037908722403E-2</v>
      </c>
      <c r="AL41" s="368">
        <v>0</v>
      </c>
      <c r="AM41" s="368">
        <v>0</v>
      </c>
      <c r="AN41" s="367">
        <v>0</v>
      </c>
      <c r="AO41" s="367">
        <v>0</v>
      </c>
      <c r="AP41" s="367">
        <v>0</v>
      </c>
      <c r="AQ41" s="367">
        <v>0</v>
      </c>
      <c r="AR41" s="368">
        <v>0</v>
      </c>
      <c r="AS41" s="368">
        <v>0</v>
      </c>
      <c r="AT41" s="368">
        <v>4.32182334324289E-2</v>
      </c>
      <c r="AU41" s="368">
        <v>0</v>
      </c>
      <c r="AV41" s="368">
        <v>0</v>
      </c>
      <c r="AW41" s="367">
        <v>0</v>
      </c>
      <c r="AX41" s="367">
        <v>0</v>
      </c>
      <c r="AY41" s="367">
        <v>0</v>
      </c>
      <c r="AZ41" s="367">
        <v>0</v>
      </c>
      <c r="BA41" s="368">
        <v>0</v>
      </c>
      <c r="BB41" s="368">
        <v>0</v>
      </c>
      <c r="BC41" s="368">
        <v>4.32182334324289E-2</v>
      </c>
      <c r="BD41" s="368">
        <v>0</v>
      </c>
      <c r="BE41" s="368">
        <v>0</v>
      </c>
    </row>
    <row r="42" spans="2:60" x14ac:dyDescent="0.3">
      <c r="B42" s="369" t="s">
        <v>719</v>
      </c>
      <c r="C42" s="318" t="s">
        <v>797</v>
      </c>
      <c r="D42" s="367">
        <v>0</v>
      </c>
      <c r="E42" s="367">
        <v>0</v>
      </c>
      <c r="F42" s="367">
        <v>0</v>
      </c>
      <c r="G42" s="367">
        <v>0</v>
      </c>
      <c r="H42" s="368">
        <v>0</v>
      </c>
      <c r="I42" s="368">
        <v>0</v>
      </c>
      <c r="J42" s="368">
        <v>0</v>
      </c>
      <c r="K42" s="368">
        <v>0</v>
      </c>
      <c r="L42" s="368">
        <v>0</v>
      </c>
      <c r="M42" s="368">
        <v>0</v>
      </c>
      <c r="N42" s="368">
        <v>0</v>
      </c>
      <c r="O42" s="368">
        <v>0</v>
      </c>
      <c r="P42" s="368">
        <v>0</v>
      </c>
      <c r="Q42" s="368">
        <v>0</v>
      </c>
      <c r="R42" s="368">
        <v>0</v>
      </c>
      <c r="S42" s="368">
        <v>0</v>
      </c>
      <c r="T42" s="368">
        <v>0</v>
      </c>
      <c r="U42" s="368">
        <v>0</v>
      </c>
      <c r="V42" s="367">
        <v>0</v>
      </c>
      <c r="W42" s="367">
        <v>0</v>
      </c>
      <c r="X42" s="367">
        <v>0</v>
      </c>
      <c r="Y42" s="367">
        <v>0</v>
      </c>
      <c r="Z42" s="368">
        <v>0</v>
      </c>
      <c r="AA42" s="368">
        <v>0</v>
      </c>
      <c r="AB42" s="368">
        <v>0</v>
      </c>
      <c r="AC42" s="368">
        <v>0</v>
      </c>
      <c r="AD42" s="368">
        <v>0</v>
      </c>
      <c r="AE42" s="367">
        <v>0</v>
      </c>
      <c r="AF42" s="367">
        <v>0</v>
      </c>
      <c r="AG42" s="367">
        <v>0</v>
      </c>
      <c r="AH42" s="367">
        <v>0</v>
      </c>
      <c r="AI42" s="368">
        <v>0</v>
      </c>
      <c r="AJ42" s="368">
        <v>0</v>
      </c>
      <c r="AK42" s="368">
        <v>0</v>
      </c>
      <c r="AL42" s="368">
        <v>0</v>
      </c>
      <c r="AM42" s="368">
        <v>0</v>
      </c>
      <c r="AN42" s="367">
        <v>0</v>
      </c>
      <c r="AO42" s="367">
        <v>0</v>
      </c>
      <c r="AP42" s="367">
        <v>0</v>
      </c>
      <c r="AQ42" s="367">
        <v>0</v>
      </c>
      <c r="AR42" s="368">
        <v>0</v>
      </c>
      <c r="AS42" s="368">
        <v>0</v>
      </c>
      <c r="AT42" s="368">
        <v>0</v>
      </c>
      <c r="AU42" s="368">
        <v>0</v>
      </c>
      <c r="AV42" s="368">
        <v>0</v>
      </c>
      <c r="AW42" s="367">
        <v>0</v>
      </c>
      <c r="AX42" s="367">
        <v>0</v>
      </c>
      <c r="AY42" s="367">
        <v>0</v>
      </c>
      <c r="AZ42" s="367">
        <v>0</v>
      </c>
      <c r="BA42" s="368">
        <v>0</v>
      </c>
      <c r="BB42" s="368">
        <v>0</v>
      </c>
      <c r="BC42" s="368">
        <v>0</v>
      </c>
      <c r="BD42" s="368">
        <v>0</v>
      </c>
      <c r="BE42" s="368">
        <v>0</v>
      </c>
    </row>
    <row r="43" spans="2:60" x14ac:dyDescent="0.3">
      <c r="B43" s="369" t="s">
        <v>830</v>
      </c>
      <c r="C43" s="318" t="s">
        <v>797</v>
      </c>
      <c r="D43" s="367">
        <v>0</v>
      </c>
      <c r="E43" s="367">
        <v>0</v>
      </c>
      <c r="F43" s="367">
        <v>0</v>
      </c>
      <c r="G43" s="367">
        <v>0</v>
      </c>
      <c r="H43" s="368">
        <v>0</v>
      </c>
      <c r="I43" s="368">
        <v>0</v>
      </c>
      <c r="J43" s="368">
        <v>0</v>
      </c>
      <c r="K43" s="368">
        <v>0</v>
      </c>
      <c r="L43" s="368">
        <v>0</v>
      </c>
      <c r="M43" s="368">
        <v>0</v>
      </c>
      <c r="N43" s="368">
        <v>0</v>
      </c>
      <c r="O43" s="368">
        <v>0</v>
      </c>
      <c r="P43" s="368">
        <v>0</v>
      </c>
      <c r="Q43" s="368">
        <v>0</v>
      </c>
      <c r="R43" s="368">
        <v>0</v>
      </c>
      <c r="S43" s="368">
        <v>0</v>
      </c>
      <c r="T43" s="368">
        <v>0</v>
      </c>
      <c r="U43" s="368">
        <v>0</v>
      </c>
      <c r="V43" s="367">
        <v>0</v>
      </c>
      <c r="W43" s="367">
        <v>0</v>
      </c>
      <c r="X43" s="367">
        <v>0</v>
      </c>
      <c r="Y43" s="367">
        <v>0</v>
      </c>
      <c r="Z43" s="368">
        <v>0</v>
      </c>
      <c r="AA43" s="368">
        <v>0</v>
      </c>
      <c r="AB43" s="368">
        <v>0</v>
      </c>
      <c r="AC43" s="368">
        <v>0</v>
      </c>
      <c r="AD43" s="368">
        <v>0</v>
      </c>
      <c r="AE43" s="367">
        <v>0</v>
      </c>
      <c r="AF43" s="367">
        <v>0</v>
      </c>
      <c r="AG43" s="367">
        <v>0</v>
      </c>
      <c r="AH43" s="367">
        <v>0</v>
      </c>
      <c r="AI43" s="368">
        <v>0</v>
      </c>
      <c r="AJ43" s="368">
        <v>0</v>
      </c>
      <c r="AK43" s="368">
        <v>0</v>
      </c>
      <c r="AL43" s="368">
        <v>0</v>
      </c>
      <c r="AM43" s="368">
        <v>0</v>
      </c>
      <c r="AN43" s="367">
        <v>0</v>
      </c>
      <c r="AO43" s="367">
        <v>0</v>
      </c>
      <c r="AP43" s="367">
        <v>0</v>
      </c>
      <c r="AQ43" s="367">
        <v>0</v>
      </c>
      <c r="AR43" s="368">
        <v>0</v>
      </c>
      <c r="AS43" s="368">
        <v>0</v>
      </c>
      <c r="AT43" s="368">
        <v>0</v>
      </c>
      <c r="AU43" s="368">
        <v>0</v>
      </c>
      <c r="AV43" s="368">
        <v>0</v>
      </c>
      <c r="AW43" s="367">
        <v>0</v>
      </c>
      <c r="AX43" s="367">
        <v>0</v>
      </c>
      <c r="AY43" s="367">
        <v>0</v>
      </c>
      <c r="AZ43" s="367">
        <v>0</v>
      </c>
      <c r="BA43" s="368">
        <v>0</v>
      </c>
      <c r="BB43" s="368">
        <v>0</v>
      </c>
      <c r="BC43" s="368">
        <v>0</v>
      </c>
      <c r="BD43" s="368">
        <v>0</v>
      </c>
      <c r="BE43" s="368">
        <v>0</v>
      </c>
    </row>
    <row r="44" spans="2:60" x14ac:dyDescent="0.3">
      <c r="B44" s="369" t="s">
        <v>16</v>
      </c>
      <c r="C44" s="318" t="s">
        <v>797</v>
      </c>
      <c r="D44" s="367">
        <v>0</v>
      </c>
      <c r="E44" s="367">
        <v>0</v>
      </c>
      <c r="F44" s="367">
        <v>0</v>
      </c>
      <c r="G44" s="367">
        <v>0</v>
      </c>
      <c r="H44" s="368">
        <v>0</v>
      </c>
      <c r="I44" s="368">
        <v>0</v>
      </c>
      <c r="J44" s="368">
        <v>0</v>
      </c>
      <c r="K44" s="368">
        <v>0</v>
      </c>
      <c r="L44" s="368">
        <v>0</v>
      </c>
      <c r="M44" s="368">
        <v>0</v>
      </c>
      <c r="N44" s="368">
        <v>0</v>
      </c>
      <c r="O44" s="368">
        <v>0</v>
      </c>
      <c r="P44" s="368">
        <v>0</v>
      </c>
      <c r="Q44" s="368">
        <v>0</v>
      </c>
      <c r="R44" s="368">
        <v>0</v>
      </c>
      <c r="S44" s="368">
        <v>0</v>
      </c>
      <c r="T44" s="368">
        <v>0</v>
      </c>
      <c r="U44" s="368">
        <v>0</v>
      </c>
      <c r="V44" s="367">
        <v>0</v>
      </c>
      <c r="W44" s="367">
        <v>0</v>
      </c>
      <c r="X44" s="367">
        <v>0</v>
      </c>
      <c r="Y44" s="367">
        <v>0</v>
      </c>
      <c r="Z44" s="368">
        <v>0</v>
      </c>
      <c r="AA44" s="368">
        <v>0</v>
      </c>
      <c r="AB44" s="368">
        <v>0</v>
      </c>
      <c r="AC44" s="368">
        <v>0</v>
      </c>
      <c r="AD44" s="368">
        <v>0</v>
      </c>
      <c r="AE44" s="367">
        <v>0</v>
      </c>
      <c r="AF44" s="367">
        <v>0</v>
      </c>
      <c r="AG44" s="367">
        <v>0</v>
      </c>
      <c r="AH44" s="367">
        <v>0</v>
      </c>
      <c r="AI44" s="368">
        <v>0</v>
      </c>
      <c r="AJ44" s="368">
        <v>0</v>
      </c>
      <c r="AK44" s="368">
        <v>0</v>
      </c>
      <c r="AL44" s="368">
        <v>0</v>
      </c>
      <c r="AM44" s="368">
        <v>0</v>
      </c>
      <c r="AN44" s="367">
        <v>0</v>
      </c>
      <c r="AO44" s="367">
        <v>0</v>
      </c>
      <c r="AP44" s="367">
        <v>0</v>
      </c>
      <c r="AQ44" s="367">
        <v>0</v>
      </c>
      <c r="AR44" s="368">
        <v>0</v>
      </c>
      <c r="AS44" s="368">
        <v>0</v>
      </c>
      <c r="AT44" s="368">
        <v>0</v>
      </c>
      <c r="AU44" s="368">
        <v>0</v>
      </c>
      <c r="AV44" s="368">
        <v>0</v>
      </c>
      <c r="AW44" s="367">
        <v>0</v>
      </c>
      <c r="AX44" s="367">
        <v>0</v>
      </c>
      <c r="AY44" s="367">
        <v>0</v>
      </c>
      <c r="AZ44" s="367">
        <v>0</v>
      </c>
      <c r="BA44" s="368">
        <v>0</v>
      </c>
      <c r="BB44" s="368">
        <v>0</v>
      </c>
      <c r="BC44" s="368">
        <v>0</v>
      </c>
      <c r="BD44" s="368">
        <v>0</v>
      </c>
      <c r="BE44" s="368">
        <v>0</v>
      </c>
    </row>
    <row r="45" spans="2:60" x14ac:dyDescent="0.3">
      <c r="B45" s="357" t="s">
        <v>831</v>
      </c>
      <c r="C45" s="318" t="s">
        <v>797</v>
      </c>
      <c r="D45" s="367">
        <v>0</v>
      </c>
      <c r="E45" s="367">
        <v>0</v>
      </c>
      <c r="F45" s="367">
        <v>0</v>
      </c>
      <c r="G45" s="367">
        <v>0</v>
      </c>
      <c r="H45" s="368">
        <v>0</v>
      </c>
      <c r="I45" s="368">
        <v>0</v>
      </c>
      <c r="J45" s="368">
        <v>0</v>
      </c>
      <c r="K45" s="368">
        <v>0</v>
      </c>
      <c r="L45" s="368">
        <v>0</v>
      </c>
      <c r="M45" s="368">
        <v>0</v>
      </c>
      <c r="N45" s="368">
        <v>0</v>
      </c>
      <c r="O45" s="368">
        <v>0</v>
      </c>
      <c r="P45" s="368">
        <v>0</v>
      </c>
      <c r="Q45" s="368">
        <v>0</v>
      </c>
      <c r="R45" s="368">
        <v>0</v>
      </c>
      <c r="S45" s="368">
        <v>0</v>
      </c>
      <c r="T45" s="368">
        <v>0</v>
      </c>
      <c r="U45" s="368">
        <v>0</v>
      </c>
      <c r="V45" s="367">
        <v>0</v>
      </c>
      <c r="W45" s="367">
        <v>0</v>
      </c>
      <c r="X45" s="367">
        <v>0</v>
      </c>
      <c r="Y45" s="367">
        <v>0</v>
      </c>
      <c r="Z45" s="368">
        <v>0</v>
      </c>
      <c r="AA45" s="368">
        <v>0</v>
      </c>
      <c r="AB45" s="368">
        <v>0</v>
      </c>
      <c r="AC45" s="368">
        <v>0</v>
      </c>
      <c r="AD45" s="368">
        <v>0</v>
      </c>
      <c r="AE45" s="367">
        <v>0</v>
      </c>
      <c r="AF45" s="367">
        <v>0</v>
      </c>
      <c r="AG45" s="367">
        <v>0</v>
      </c>
      <c r="AH45" s="367">
        <v>0</v>
      </c>
      <c r="AI45" s="368">
        <v>0</v>
      </c>
      <c r="AJ45" s="368">
        <v>0</v>
      </c>
      <c r="AK45" s="368">
        <v>0</v>
      </c>
      <c r="AL45" s="368">
        <v>0</v>
      </c>
      <c r="AM45" s="368">
        <v>0</v>
      </c>
      <c r="AN45" s="367">
        <v>0</v>
      </c>
      <c r="AO45" s="367">
        <v>0</v>
      </c>
      <c r="AP45" s="367">
        <v>0</v>
      </c>
      <c r="AQ45" s="367">
        <v>0</v>
      </c>
      <c r="AR45" s="368">
        <v>0</v>
      </c>
      <c r="AS45" s="368">
        <v>0</v>
      </c>
      <c r="AT45" s="368">
        <v>0</v>
      </c>
      <c r="AU45" s="368">
        <v>0</v>
      </c>
      <c r="AV45" s="368">
        <v>0</v>
      </c>
      <c r="AW45" s="367">
        <v>0</v>
      </c>
      <c r="AX45" s="367">
        <v>0</v>
      </c>
      <c r="AY45" s="367">
        <v>0</v>
      </c>
      <c r="AZ45" s="367">
        <v>0</v>
      </c>
      <c r="BA45" s="368">
        <v>0</v>
      </c>
      <c r="BB45" s="368">
        <v>0</v>
      </c>
      <c r="BC45" s="368">
        <v>0</v>
      </c>
      <c r="BD45" s="368">
        <v>0</v>
      </c>
      <c r="BE45" s="368">
        <v>0</v>
      </c>
    </row>
    <row r="46" spans="2:60" x14ac:dyDescent="0.3">
      <c r="B46" s="357" t="s">
        <v>25</v>
      </c>
      <c r="C46" s="318" t="s">
        <v>797</v>
      </c>
      <c r="D46" s="367">
        <v>0</v>
      </c>
      <c r="E46" s="367">
        <v>0</v>
      </c>
      <c r="F46" s="367">
        <v>0</v>
      </c>
      <c r="G46" s="367">
        <v>0</v>
      </c>
      <c r="H46" s="368">
        <v>0</v>
      </c>
      <c r="I46" s="368">
        <v>8.3559640000000004E-2</v>
      </c>
      <c r="J46" s="368">
        <v>4.0535000000000002E-2</v>
      </c>
      <c r="K46" s="368">
        <v>0</v>
      </c>
      <c r="L46" s="368">
        <v>1.1040116959064299</v>
      </c>
      <c r="M46" s="368">
        <v>0</v>
      </c>
      <c r="N46" s="368">
        <v>0</v>
      </c>
      <c r="O46" s="368">
        <v>0</v>
      </c>
      <c r="P46" s="368">
        <v>0</v>
      </c>
      <c r="Q46" s="368">
        <v>0</v>
      </c>
      <c r="R46" s="368">
        <v>8.4421949591908102E-2</v>
      </c>
      <c r="S46" s="368">
        <v>4.0953308639290399E-2</v>
      </c>
      <c r="T46" s="368">
        <v>0</v>
      </c>
      <c r="U46" s="368">
        <v>1.11540475450457</v>
      </c>
      <c r="V46" s="367">
        <v>0</v>
      </c>
      <c r="W46" s="367">
        <v>0</v>
      </c>
      <c r="X46" s="367">
        <v>0</v>
      </c>
      <c r="Y46" s="367">
        <v>0</v>
      </c>
      <c r="Z46" s="368">
        <v>0</v>
      </c>
      <c r="AA46" s="368">
        <v>8.6372240882482507E-2</v>
      </c>
      <c r="AB46" s="368">
        <v>4.1899400047336603E-2</v>
      </c>
      <c r="AC46" s="368">
        <v>0</v>
      </c>
      <c r="AD46" s="368">
        <v>1.14117251026822</v>
      </c>
      <c r="AE46" s="367">
        <v>0</v>
      </c>
      <c r="AF46" s="367">
        <v>0</v>
      </c>
      <c r="AG46" s="367">
        <v>0</v>
      </c>
      <c r="AH46" s="367">
        <v>0</v>
      </c>
      <c r="AI46" s="368">
        <v>0</v>
      </c>
      <c r="AJ46" s="368">
        <v>8.9061816213108796E-2</v>
      </c>
      <c r="AK46" s="368">
        <v>4.3204120077568103E-2</v>
      </c>
      <c r="AL46" s="368">
        <v>0</v>
      </c>
      <c r="AM46" s="368">
        <v>1.17670787904234</v>
      </c>
      <c r="AN46" s="367">
        <v>0</v>
      </c>
      <c r="AO46" s="367">
        <v>0</v>
      </c>
      <c r="AP46" s="367">
        <v>0</v>
      </c>
      <c r="AQ46" s="367">
        <v>0</v>
      </c>
      <c r="AR46" s="368">
        <v>0</v>
      </c>
      <c r="AS46" s="368">
        <v>8.9201831664066894E-2</v>
      </c>
      <c r="AT46" s="368">
        <v>4.3272041939182E-2</v>
      </c>
      <c r="AU46" s="368">
        <v>0</v>
      </c>
      <c r="AV46" s="368">
        <v>1.17855779959567</v>
      </c>
      <c r="AW46" s="367">
        <v>0</v>
      </c>
      <c r="AX46" s="367">
        <v>0</v>
      </c>
      <c r="AY46" s="367">
        <v>0</v>
      </c>
      <c r="AZ46" s="367">
        <v>0</v>
      </c>
      <c r="BA46" s="368">
        <v>0</v>
      </c>
      <c r="BB46" s="368">
        <v>8.9201831664066894E-2</v>
      </c>
      <c r="BC46" s="368">
        <v>4.3272041939182E-2</v>
      </c>
      <c r="BD46" s="368">
        <v>0</v>
      </c>
      <c r="BE46" s="368">
        <v>1.17855779959567</v>
      </c>
    </row>
    <row r="47" spans="2:60" x14ac:dyDescent="0.3">
      <c r="B47" s="370" t="s">
        <v>674</v>
      </c>
      <c r="C47" s="318" t="s">
        <v>797</v>
      </c>
      <c r="D47" s="367">
        <v>0</v>
      </c>
      <c r="E47" s="367">
        <v>0</v>
      </c>
      <c r="F47" s="367">
        <v>0</v>
      </c>
      <c r="G47" s="367">
        <v>0</v>
      </c>
      <c r="H47" s="368">
        <v>0</v>
      </c>
      <c r="I47" s="368">
        <v>7.4273580146371102E-2</v>
      </c>
      <c r="J47" s="368">
        <v>4.4220000000000002E-2</v>
      </c>
      <c r="K47" s="368">
        <v>0</v>
      </c>
      <c r="L47" s="368">
        <v>0</v>
      </c>
      <c r="M47" s="368">
        <v>0</v>
      </c>
      <c r="N47" s="368">
        <v>0</v>
      </c>
      <c r="O47" s="368">
        <v>0</v>
      </c>
      <c r="P47" s="368">
        <v>0</v>
      </c>
      <c r="Q47" s="368">
        <v>0</v>
      </c>
      <c r="R47" s="368">
        <v>7.2126802815246305E-2</v>
      </c>
      <c r="S47" s="368">
        <v>4.2941880736120999E-2</v>
      </c>
      <c r="T47" s="368">
        <v>0</v>
      </c>
      <c r="U47" s="368">
        <v>0</v>
      </c>
      <c r="V47" s="367">
        <v>0</v>
      </c>
      <c r="W47" s="367">
        <v>0</v>
      </c>
      <c r="X47" s="367">
        <v>0</v>
      </c>
      <c r="Y47" s="367">
        <v>0</v>
      </c>
      <c r="Z47" s="368">
        <v>0</v>
      </c>
      <c r="AA47" s="368">
        <v>6.3680845224670199E-2</v>
      </c>
      <c r="AB47" s="368">
        <v>3.7913440691635998E-2</v>
      </c>
      <c r="AC47" s="368">
        <v>0</v>
      </c>
      <c r="AD47" s="368">
        <v>0</v>
      </c>
      <c r="AE47" s="367">
        <v>0</v>
      </c>
      <c r="AF47" s="367">
        <v>0</v>
      </c>
      <c r="AG47" s="367">
        <v>0</v>
      </c>
      <c r="AH47" s="367">
        <v>0</v>
      </c>
      <c r="AI47" s="368">
        <v>0</v>
      </c>
      <c r="AJ47" s="368">
        <v>4.8995425453592097E-2</v>
      </c>
      <c r="AK47" s="368">
        <v>2.9170234009026699E-2</v>
      </c>
      <c r="AL47" s="368">
        <v>0</v>
      </c>
      <c r="AM47" s="368">
        <v>0</v>
      </c>
      <c r="AN47" s="367">
        <v>0</v>
      </c>
      <c r="AO47" s="367">
        <v>0</v>
      </c>
      <c r="AP47" s="367">
        <v>0</v>
      </c>
      <c r="AQ47" s="367">
        <v>0</v>
      </c>
      <c r="AR47" s="368">
        <v>0</v>
      </c>
      <c r="AS47" s="368">
        <v>5.5827175751109202E-2</v>
      </c>
      <c r="AT47" s="368">
        <v>3.32376291387734E-2</v>
      </c>
      <c r="AU47" s="368">
        <v>0</v>
      </c>
      <c r="AV47" s="368">
        <v>0</v>
      </c>
      <c r="AW47" s="367">
        <v>0</v>
      </c>
      <c r="AX47" s="367">
        <v>0</v>
      </c>
      <c r="AY47" s="367">
        <v>0</v>
      </c>
      <c r="AZ47" s="367">
        <v>0</v>
      </c>
      <c r="BA47" s="368">
        <v>0</v>
      </c>
      <c r="BB47" s="368">
        <v>5.5827175751109202E-2</v>
      </c>
      <c r="BC47" s="368">
        <v>3.32376291387734E-2</v>
      </c>
      <c r="BD47" s="368">
        <v>0</v>
      </c>
      <c r="BE47" s="368">
        <v>0</v>
      </c>
    </row>
    <row r="48" spans="2:60" x14ac:dyDescent="0.3">
      <c r="B48" s="371" t="s">
        <v>832</v>
      </c>
      <c r="C48" s="318" t="s">
        <v>797</v>
      </c>
      <c r="D48" s="367">
        <v>0</v>
      </c>
      <c r="E48" s="367">
        <v>0</v>
      </c>
      <c r="F48" s="367">
        <v>0</v>
      </c>
      <c r="G48" s="367">
        <v>0</v>
      </c>
      <c r="H48" s="368">
        <v>0</v>
      </c>
      <c r="I48" s="368">
        <v>0</v>
      </c>
      <c r="J48" s="368">
        <v>0</v>
      </c>
      <c r="K48" s="368">
        <v>0</v>
      </c>
      <c r="L48" s="368">
        <v>0.34892000000000001</v>
      </c>
      <c r="M48" s="368">
        <v>0</v>
      </c>
      <c r="N48" s="368">
        <v>0</v>
      </c>
      <c r="O48" s="368">
        <v>0</v>
      </c>
      <c r="P48" s="368">
        <v>0</v>
      </c>
      <c r="Q48" s="368">
        <v>0</v>
      </c>
      <c r="R48" s="368">
        <v>0</v>
      </c>
      <c r="S48" s="368">
        <v>0</v>
      </c>
      <c r="T48" s="368">
        <v>0</v>
      </c>
      <c r="U48" s="368">
        <v>0.34892000000000001</v>
      </c>
      <c r="V48" s="367">
        <v>0</v>
      </c>
      <c r="W48" s="367">
        <v>0</v>
      </c>
      <c r="X48" s="367">
        <v>0</v>
      </c>
      <c r="Y48" s="367">
        <v>0</v>
      </c>
      <c r="Z48" s="368">
        <v>0</v>
      </c>
      <c r="AA48" s="368">
        <v>0</v>
      </c>
      <c r="AB48" s="368">
        <v>0</v>
      </c>
      <c r="AC48" s="368">
        <v>0</v>
      </c>
      <c r="AD48" s="368">
        <v>0.34892000000000001</v>
      </c>
      <c r="AE48" s="367">
        <v>0</v>
      </c>
      <c r="AF48" s="367">
        <v>0</v>
      </c>
      <c r="AG48" s="367">
        <v>0</v>
      </c>
      <c r="AH48" s="367">
        <v>0</v>
      </c>
      <c r="AI48" s="368">
        <v>0</v>
      </c>
      <c r="AJ48" s="368">
        <v>0</v>
      </c>
      <c r="AK48" s="368">
        <v>0</v>
      </c>
      <c r="AL48" s="368">
        <v>0</v>
      </c>
      <c r="AM48" s="368">
        <v>0.34892000000000001</v>
      </c>
      <c r="AN48" s="367">
        <v>0</v>
      </c>
      <c r="AO48" s="367">
        <v>0</v>
      </c>
      <c r="AP48" s="367">
        <v>0</v>
      </c>
      <c r="AQ48" s="367">
        <v>0</v>
      </c>
      <c r="AR48" s="368">
        <v>0</v>
      </c>
      <c r="AS48" s="368">
        <v>0</v>
      </c>
      <c r="AT48" s="368">
        <v>0</v>
      </c>
      <c r="AU48" s="368">
        <v>0</v>
      </c>
      <c r="AV48" s="368">
        <v>0.34892000000000001</v>
      </c>
      <c r="AW48" s="367">
        <v>0</v>
      </c>
      <c r="AX48" s="367">
        <v>0</v>
      </c>
      <c r="AY48" s="367">
        <v>0</v>
      </c>
      <c r="AZ48" s="367">
        <v>0</v>
      </c>
      <c r="BA48" s="368">
        <v>0</v>
      </c>
      <c r="BB48" s="368">
        <v>0</v>
      </c>
      <c r="BC48" s="368">
        <v>0</v>
      </c>
      <c r="BD48" s="368">
        <v>0</v>
      </c>
      <c r="BE48" s="368">
        <v>0.34892000000000001</v>
      </c>
    </row>
    <row r="49" spans="2:57" x14ac:dyDescent="0.3">
      <c r="B49" s="371" t="s">
        <v>833</v>
      </c>
      <c r="C49" s="318" t="s">
        <v>797</v>
      </c>
      <c r="D49" s="367">
        <v>0</v>
      </c>
      <c r="E49" s="367">
        <v>0</v>
      </c>
      <c r="F49" s="367">
        <v>0</v>
      </c>
      <c r="G49" s="367">
        <v>0</v>
      </c>
      <c r="H49" s="368">
        <v>0</v>
      </c>
      <c r="I49" s="368">
        <v>0</v>
      </c>
      <c r="J49" s="368">
        <v>0</v>
      </c>
      <c r="K49" s="368">
        <v>0</v>
      </c>
      <c r="L49" s="368">
        <v>0</v>
      </c>
      <c r="M49" s="368">
        <v>0</v>
      </c>
      <c r="N49" s="368">
        <v>0</v>
      </c>
      <c r="O49" s="368">
        <v>0</v>
      </c>
      <c r="P49" s="368">
        <v>0</v>
      </c>
      <c r="Q49" s="368">
        <v>0</v>
      </c>
      <c r="R49" s="368">
        <v>0</v>
      </c>
      <c r="S49" s="368">
        <v>0</v>
      </c>
      <c r="T49" s="368">
        <v>0</v>
      </c>
      <c r="U49" s="368">
        <v>0</v>
      </c>
      <c r="V49" s="367">
        <v>0</v>
      </c>
      <c r="W49" s="367">
        <v>0</v>
      </c>
      <c r="X49" s="367">
        <v>0</v>
      </c>
      <c r="Y49" s="367">
        <v>0</v>
      </c>
      <c r="Z49" s="368">
        <v>0</v>
      </c>
      <c r="AA49" s="368">
        <v>0</v>
      </c>
      <c r="AB49" s="368">
        <v>0</v>
      </c>
      <c r="AC49" s="368">
        <v>0</v>
      </c>
      <c r="AD49" s="368">
        <v>0</v>
      </c>
      <c r="AE49" s="367">
        <v>0</v>
      </c>
      <c r="AF49" s="367">
        <v>0</v>
      </c>
      <c r="AG49" s="367">
        <v>0</v>
      </c>
      <c r="AH49" s="367">
        <v>0</v>
      </c>
      <c r="AI49" s="368">
        <v>0</v>
      </c>
      <c r="AJ49" s="368">
        <v>0</v>
      </c>
      <c r="AK49" s="368">
        <v>0</v>
      </c>
      <c r="AL49" s="368">
        <v>0</v>
      </c>
      <c r="AM49" s="368">
        <v>0</v>
      </c>
      <c r="AN49" s="367">
        <v>0</v>
      </c>
      <c r="AO49" s="367">
        <v>0</v>
      </c>
      <c r="AP49" s="367">
        <v>0</v>
      </c>
      <c r="AQ49" s="367">
        <v>0</v>
      </c>
      <c r="AR49" s="368">
        <v>0</v>
      </c>
      <c r="AS49" s="368">
        <v>0</v>
      </c>
      <c r="AT49" s="368">
        <v>0</v>
      </c>
      <c r="AU49" s="368">
        <v>0</v>
      </c>
      <c r="AV49" s="368">
        <v>0</v>
      </c>
      <c r="AW49" s="367">
        <v>0</v>
      </c>
      <c r="AX49" s="367">
        <v>0</v>
      </c>
      <c r="AY49" s="367">
        <v>0</v>
      </c>
      <c r="AZ49" s="367">
        <v>0</v>
      </c>
      <c r="BA49" s="368">
        <v>0</v>
      </c>
      <c r="BB49" s="368">
        <v>0</v>
      </c>
      <c r="BC49" s="368">
        <v>0</v>
      </c>
      <c r="BD49" s="368">
        <v>0</v>
      </c>
      <c r="BE49" s="368">
        <v>0</v>
      </c>
    </row>
    <row r="50" spans="2:57" x14ac:dyDescent="0.3">
      <c r="B50" s="371" t="s">
        <v>834</v>
      </c>
      <c r="C50" s="318" t="s">
        <v>797</v>
      </c>
      <c r="D50" s="367">
        <v>0</v>
      </c>
      <c r="E50" s="367">
        <v>0</v>
      </c>
      <c r="F50" s="367">
        <v>0</v>
      </c>
      <c r="G50" s="367">
        <v>0</v>
      </c>
      <c r="H50" s="368">
        <v>6.7536176344524607E-2</v>
      </c>
      <c r="I50" s="368">
        <v>-9.0393637000331199E-3</v>
      </c>
      <c r="J50" s="368">
        <v>0.24759328268199901</v>
      </c>
      <c r="K50" s="368">
        <v>1.073</v>
      </c>
      <c r="L50" s="368">
        <v>0.39283753486279799</v>
      </c>
      <c r="M50" s="368">
        <v>0</v>
      </c>
      <c r="N50" s="368">
        <v>0</v>
      </c>
      <c r="O50" s="368">
        <v>0</v>
      </c>
      <c r="P50" s="368">
        <v>0</v>
      </c>
      <c r="Q50" s="368">
        <v>6.2496004849650198E-2</v>
      </c>
      <c r="R50" s="368">
        <v>-9.0717328604374304E-3</v>
      </c>
      <c r="S50" s="368">
        <v>0.25959715614484902</v>
      </c>
      <c r="T50" s="368">
        <v>1.14451073231212</v>
      </c>
      <c r="U50" s="368">
        <v>0.39406553836993702</v>
      </c>
      <c r="V50" s="367">
        <v>0</v>
      </c>
      <c r="W50" s="367">
        <v>0</v>
      </c>
      <c r="X50" s="367">
        <v>0</v>
      </c>
      <c r="Y50" s="367">
        <v>0</v>
      </c>
      <c r="Z50" s="368">
        <v>5.8931780837660701E-2</v>
      </c>
      <c r="AA50" s="368">
        <v>-9.3646886616372393E-3</v>
      </c>
      <c r="AB50" s="368">
        <v>0.217861347089576</v>
      </c>
      <c r="AC50" s="368">
        <v>1.2816952828184001</v>
      </c>
      <c r="AD50" s="368">
        <v>0.40561464113346501</v>
      </c>
      <c r="AE50" s="367">
        <v>0</v>
      </c>
      <c r="AF50" s="367">
        <v>0</v>
      </c>
      <c r="AG50" s="367">
        <v>0</v>
      </c>
      <c r="AH50" s="367">
        <v>0</v>
      </c>
      <c r="AI50" s="368">
        <v>4.6273174664865899E-2</v>
      </c>
      <c r="AJ50" s="368">
        <v>-9.7625493944802997E-3</v>
      </c>
      <c r="AK50" s="368">
        <v>0.15731646936871499</v>
      </c>
      <c r="AL50" s="368">
        <v>1.61452489333203</v>
      </c>
      <c r="AM50" s="368">
        <v>0.41886199810524299</v>
      </c>
      <c r="AN50" s="367">
        <v>0</v>
      </c>
      <c r="AO50" s="367">
        <v>0</v>
      </c>
      <c r="AP50" s="367">
        <v>0</v>
      </c>
      <c r="AQ50" s="367">
        <v>0</v>
      </c>
      <c r="AR50" s="368">
        <v>4.5566410324776201E-2</v>
      </c>
      <c r="AS50" s="368">
        <v>-9.7938508993622893E-3</v>
      </c>
      <c r="AT50" s="368">
        <v>0.15475372940658599</v>
      </c>
      <c r="AU50" s="368">
        <v>1.3458258689967899</v>
      </c>
      <c r="AV50" s="368">
        <v>0.419556851676883</v>
      </c>
      <c r="AW50" s="367">
        <v>0</v>
      </c>
      <c r="AX50" s="367">
        <v>0</v>
      </c>
      <c r="AY50" s="367">
        <v>0</v>
      </c>
      <c r="AZ50" s="367">
        <v>0</v>
      </c>
      <c r="BA50" s="368">
        <v>3.6555911611020502E-2</v>
      </c>
      <c r="BB50" s="368">
        <v>-9.7938508993622893E-3</v>
      </c>
      <c r="BC50" s="368">
        <v>0.15475372940658599</v>
      </c>
      <c r="BD50" s="372">
        <v>1.62</v>
      </c>
      <c r="BE50" s="368">
        <v>0.419556851676883</v>
      </c>
    </row>
    <row r="51" spans="2:57" x14ac:dyDescent="0.3">
      <c r="C51" s="373"/>
      <c r="D51" s="373"/>
      <c r="E51" s="373"/>
      <c r="F51" s="373"/>
      <c r="G51" s="373"/>
      <c r="H51" s="373"/>
      <c r="I51" s="373"/>
      <c r="J51" s="373"/>
      <c r="K51" s="373"/>
      <c r="L51" s="70"/>
      <c r="M51" s="70"/>
      <c r="N51" s="70"/>
      <c r="O51" s="70"/>
      <c r="P51" s="70"/>
      <c r="Q51" s="70"/>
      <c r="R51" s="70"/>
      <c r="S51" s="70"/>
      <c r="T51" s="70"/>
      <c r="U51" s="70"/>
      <c r="V51" s="70"/>
      <c r="W51" s="70"/>
      <c r="X51" s="70"/>
      <c r="Y51" s="70"/>
      <c r="Z51" s="70"/>
      <c r="AA51" s="70"/>
      <c r="AB51" s="70"/>
      <c r="AC51" s="70"/>
      <c r="AE51" s="70"/>
      <c r="AF51" s="70"/>
      <c r="AG51" s="70"/>
      <c r="AH51" s="70"/>
      <c r="AI51" s="70"/>
      <c r="AJ51" s="70"/>
      <c r="AK51" s="70"/>
      <c r="AL51" s="70"/>
      <c r="AN51" s="70"/>
      <c r="AO51" s="70"/>
      <c r="AP51" s="70"/>
      <c r="AQ51" s="70"/>
      <c r="AR51" s="70"/>
      <c r="AS51" s="70"/>
      <c r="AT51" s="70"/>
      <c r="AU51" s="70"/>
      <c r="AW51" s="70"/>
      <c r="AX51" s="70"/>
      <c r="AY51" s="70"/>
      <c r="AZ51" s="70"/>
      <c r="BA51" s="70"/>
      <c r="BB51" s="70"/>
      <c r="BC51" s="70"/>
      <c r="BD51" s="70"/>
    </row>
    <row r="52" spans="2:57" x14ac:dyDescent="0.3">
      <c r="B52" s="374" t="s">
        <v>52</v>
      </c>
      <c r="D52" s="70">
        <f t="shared" ref="D52:AI52" si="0">SUM(D39+D37+D33+D26+D22+D17+D14+D12+D6)</f>
        <v>12.452717393481137</v>
      </c>
      <c r="E52" s="70">
        <f t="shared" si="0"/>
        <v>1.3666520990067765</v>
      </c>
      <c r="F52" s="70">
        <f t="shared" si="0"/>
        <v>4.9308939854919993</v>
      </c>
      <c r="G52" s="70">
        <f t="shared" si="0"/>
        <v>13.307546795161608</v>
      </c>
      <c r="H52" s="70">
        <f t="shared" si="0"/>
        <v>2.1547622741316497</v>
      </c>
      <c r="I52" s="70">
        <f t="shared" si="0"/>
        <v>1.1275837860370581</v>
      </c>
      <c r="J52" s="70">
        <f t="shared" si="0"/>
        <v>3.2018183148017663</v>
      </c>
      <c r="K52" s="70">
        <f t="shared" si="0"/>
        <v>8.3467850000000006</v>
      </c>
      <c r="L52" s="70">
        <f t="shared" si="0"/>
        <v>3.7597692307692299</v>
      </c>
      <c r="M52" s="70">
        <f t="shared" si="0"/>
        <v>12.240883970856911</v>
      </c>
      <c r="N52" s="70">
        <f t="shared" si="0"/>
        <v>1.4419885947101787</v>
      </c>
      <c r="O52" s="70">
        <f t="shared" si="0"/>
        <v>4.8770763930889203</v>
      </c>
      <c r="P52" s="70">
        <f t="shared" si="0"/>
        <v>12.378305742126296</v>
      </c>
      <c r="Q52" s="70">
        <f t="shared" si="0"/>
        <v>2.0974804950457488</v>
      </c>
      <c r="R52" s="70">
        <f t="shared" si="0"/>
        <v>1.1070517570887719</v>
      </c>
      <c r="S52" s="70">
        <f t="shared" si="0"/>
        <v>3.1799100639802989</v>
      </c>
      <c r="T52" s="70">
        <f t="shared" si="0"/>
        <v>8.7020144402068702</v>
      </c>
      <c r="U52" s="70">
        <f t="shared" si="0"/>
        <v>3.7715222059604399</v>
      </c>
      <c r="V52" s="70">
        <f t="shared" si="0"/>
        <v>12.204449141087089</v>
      </c>
      <c r="W52" s="70">
        <f t="shared" si="0"/>
        <v>1.6668344856094777</v>
      </c>
      <c r="X52" s="70">
        <f t="shared" si="0"/>
        <v>4.8450818794527741</v>
      </c>
      <c r="Y52" s="70">
        <f t="shared" si="0"/>
        <v>11.53616800720232</v>
      </c>
      <c r="Z52" s="70">
        <f t="shared" si="0"/>
        <v>2.1042674838599709</v>
      </c>
      <c r="AA52" s="70">
        <f t="shared" si="0"/>
        <v>1.0960159107965133</v>
      </c>
      <c r="AB52" s="70">
        <f t="shared" si="0"/>
        <v>2.6591448303066203</v>
      </c>
      <c r="AC52" s="70">
        <f t="shared" si="0"/>
        <v>9.6905754800433392</v>
      </c>
      <c r="AD52" s="70">
        <f t="shared" si="0"/>
        <v>3.8820563514016797</v>
      </c>
      <c r="AE52" s="70">
        <f t="shared" si="0"/>
        <v>12.830079646878215</v>
      </c>
      <c r="AF52" s="70">
        <f t="shared" si="0"/>
        <v>2.1754663803644028</v>
      </c>
      <c r="AG52" s="70">
        <f t="shared" si="0"/>
        <v>4.2149945500939037</v>
      </c>
      <c r="AH52" s="70">
        <f t="shared" si="0"/>
        <v>9.042956949718354</v>
      </c>
      <c r="AI52" s="70">
        <f t="shared" si="0"/>
        <v>2.0271977013522631</v>
      </c>
      <c r="AJ52" s="70">
        <f t="shared" ref="AJ52:BE52" si="1">SUM(AJ39+AJ37+AJ33+AJ26+AJ22+AJ17+AJ14+AJ12+AJ6)</f>
        <v>1.0319653943188238</v>
      </c>
      <c r="AK52" s="70">
        <f t="shared" si="1"/>
        <v>1.8053936621327651</v>
      </c>
      <c r="AL52" s="70">
        <f t="shared" si="1"/>
        <v>11.88693972450826</v>
      </c>
      <c r="AM52" s="70">
        <f t="shared" si="1"/>
        <v>4.0088441471475802</v>
      </c>
      <c r="AN52" s="70">
        <f t="shared" si="1"/>
        <v>12.873651146325845</v>
      </c>
      <c r="AO52" s="70">
        <f t="shared" si="1"/>
        <v>2.23731887037163</v>
      </c>
      <c r="AP52" s="70">
        <f t="shared" si="1"/>
        <v>4.6527254801542064</v>
      </c>
      <c r="AQ52" s="70">
        <f t="shared" si="1"/>
        <v>7.9318222734538395</v>
      </c>
      <c r="AR52" s="70">
        <f t="shared" si="1"/>
        <v>2.0235036744963666</v>
      </c>
      <c r="AS52" s="70">
        <f t="shared" si="1"/>
        <v>1.0372340341935802</v>
      </c>
      <c r="AT52" s="70">
        <f t="shared" si="1"/>
        <v>1.7673595023255653</v>
      </c>
      <c r="AU52" s="70">
        <f t="shared" si="1"/>
        <v>10.256760269386859</v>
      </c>
      <c r="AV52" s="70">
        <f t="shared" si="1"/>
        <v>4.0154944512725601</v>
      </c>
      <c r="AW52" s="70">
        <f t="shared" si="1"/>
        <v>12.873651146325845</v>
      </c>
      <c r="AX52" s="70">
        <f t="shared" si="1"/>
        <v>2.198292099190196</v>
      </c>
      <c r="AY52" s="70">
        <f t="shared" si="1"/>
        <v>4.1710733988994573</v>
      </c>
      <c r="AZ52" s="70">
        <f t="shared" si="1"/>
        <v>8.904537613324278</v>
      </c>
      <c r="BA52" s="70">
        <f t="shared" si="1"/>
        <v>1.9945286337845252</v>
      </c>
      <c r="BB52" s="70">
        <f t="shared" si="1"/>
        <v>1.0372340341935802</v>
      </c>
      <c r="BC52" s="70">
        <f t="shared" si="1"/>
        <v>1.7835214737204257</v>
      </c>
      <c r="BD52" s="70">
        <f t="shared" si="1"/>
        <v>11.973947361010859</v>
      </c>
      <c r="BE52" s="70">
        <f t="shared" si="1"/>
        <v>4.0154944512725601</v>
      </c>
    </row>
    <row r="54" spans="2:57" x14ac:dyDescent="0.3">
      <c r="D54" s="38">
        <v>2014</v>
      </c>
      <c r="E54" s="38">
        <v>2019</v>
      </c>
      <c r="F54" s="38">
        <v>2030</v>
      </c>
      <c r="G54" s="38">
        <v>2049</v>
      </c>
      <c r="H54" s="38">
        <v>2050</v>
      </c>
      <c r="AW54" s="70">
        <f t="shared" ref="AW54:BE54" si="2">AW52-AE52</f>
        <v>4.3571499447629947E-2</v>
      </c>
      <c r="AX54" s="70">
        <f t="shared" si="2"/>
        <v>2.2825718825793206E-2</v>
      </c>
      <c r="AY54" s="70">
        <f t="shared" si="2"/>
        <v>-4.3921151194446395E-2</v>
      </c>
      <c r="AZ54" s="70">
        <f t="shared" si="2"/>
        <v>-0.138419336394076</v>
      </c>
      <c r="BA54" s="70">
        <f t="shared" si="2"/>
        <v>-3.2669067567737908E-2</v>
      </c>
      <c r="BB54" s="70">
        <f t="shared" si="2"/>
        <v>5.2686398747563423E-3</v>
      </c>
      <c r="BC54" s="70">
        <f t="shared" si="2"/>
        <v>-2.1872188412339399E-2</v>
      </c>
      <c r="BD54" s="70">
        <f t="shared" si="2"/>
        <v>8.7007636502599794E-2</v>
      </c>
      <c r="BE54" s="70">
        <f t="shared" si="2"/>
        <v>6.6503041249799111E-3</v>
      </c>
    </row>
    <row r="55" spans="2:57" x14ac:dyDescent="0.3">
      <c r="D55" s="38">
        <v>2014</v>
      </c>
      <c r="E55" s="38">
        <v>2019</v>
      </c>
      <c r="F55" s="38">
        <v>2030</v>
      </c>
      <c r="G55" s="38">
        <v>2050</v>
      </c>
    </row>
  </sheetData>
  <mergeCells count="7">
    <mergeCell ref="AN4:AV4"/>
    <mergeCell ref="AW4:BE4"/>
    <mergeCell ref="B4:C5"/>
    <mergeCell ref="D4:L4"/>
    <mergeCell ref="M4:U4"/>
    <mergeCell ref="V4:AD4"/>
    <mergeCell ref="AE4:AM4"/>
  </mergeCells>
  <pageMargins left="0.7" right="0.7" top="0.75" bottom="0.75" header="0.51180555555555496" footer="0.51180555555555496"/>
  <pageSetup paperSize="9" firstPageNumber="0" orientation="portrait" horizontalDpi="300" verticalDpi="30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5A5A5"/>
  </sheetPr>
  <dimension ref="A2:AMK55"/>
  <sheetViews>
    <sheetView zoomScale="55" zoomScaleNormal="55" workbookViewId="0">
      <selection activeCell="BF6" sqref="BF6:BN50"/>
    </sheetView>
  </sheetViews>
  <sheetFormatPr baseColWidth="10" defaultColWidth="8.6640625" defaultRowHeight="14.4" x14ac:dyDescent="0.3"/>
  <cols>
    <col min="1" max="12" width="10.44140625" style="38" customWidth="1"/>
    <col min="13" max="30" width="10.44140625" style="38" hidden="1" customWidth="1"/>
    <col min="31" max="1025" width="10.44140625" style="38" customWidth="1"/>
  </cols>
  <sheetData>
    <row r="2" spans="2:78" x14ac:dyDescent="0.3">
      <c r="B2" s="375" t="s">
        <v>835</v>
      </c>
    </row>
    <row r="4" spans="2:78" ht="14.7" customHeight="1" x14ac:dyDescent="0.3">
      <c r="B4" s="702" t="s">
        <v>788</v>
      </c>
      <c r="C4" s="702"/>
      <c r="D4" s="701" t="s">
        <v>789</v>
      </c>
      <c r="E4" s="701"/>
      <c r="F4" s="701"/>
      <c r="G4" s="701"/>
      <c r="H4" s="701"/>
      <c r="I4" s="701"/>
      <c r="J4" s="701"/>
      <c r="K4" s="701"/>
      <c r="L4" s="701"/>
      <c r="M4" s="703" t="s">
        <v>836</v>
      </c>
      <c r="N4" s="704"/>
      <c r="O4" s="704"/>
      <c r="P4" s="704"/>
      <c r="Q4" s="704"/>
      <c r="R4" s="704"/>
      <c r="S4" s="704"/>
      <c r="T4" s="704"/>
      <c r="U4" s="705"/>
      <c r="V4" s="703" t="s">
        <v>837</v>
      </c>
      <c r="W4" s="704"/>
      <c r="X4" s="704"/>
      <c r="Y4" s="704"/>
      <c r="Z4" s="704"/>
      <c r="AA4" s="704"/>
      <c r="AB4" s="704"/>
      <c r="AC4" s="704"/>
      <c r="AD4" s="705"/>
      <c r="AE4" s="701" t="s">
        <v>838</v>
      </c>
      <c r="AF4" s="701"/>
      <c r="AG4" s="701"/>
      <c r="AH4" s="701"/>
      <c r="AI4" s="701"/>
      <c r="AJ4" s="701"/>
      <c r="AK4" s="701"/>
      <c r="AL4" s="701"/>
      <c r="AM4" s="701"/>
      <c r="AN4" s="701" t="s">
        <v>791</v>
      </c>
      <c r="AO4" s="701"/>
      <c r="AP4" s="701"/>
      <c r="AQ4" s="701"/>
      <c r="AR4" s="701"/>
      <c r="AS4" s="701"/>
      <c r="AT4" s="701"/>
      <c r="AU4" s="701"/>
      <c r="AV4" s="701"/>
      <c r="AW4" s="701" t="s">
        <v>792</v>
      </c>
      <c r="AX4" s="701"/>
      <c r="AY4" s="701"/>
      <c r="AZ4" s="701"/>
      <c r="BA4" s="701"/>
      <c r="BB4" s="701"/>
      <c r="BC4" s="701"/>
      <c r="BD4" s="701"/>
      <c r="BE4" s="701"/>
      <c r="BF4" s="701" t="s">
        <v>793</v>
      </c>
      <c r="BG4" s="701"/>
      <c r="BH4" s="701"/>
      <c r="BI4" s="701"/>
      <c r="BJ4" s="701"/>
      <c r="BK4" s="701"/>
      <c r="BL4" s="701"/>
      <c r="BM4" s="701"/>
      <c r="BN4" s="701"/>
      <c r="BO4" s="701" t="s">
        <v>794</v>
      </c>
      <c r="BP4" s="701"/>
      <c r="BQ4" s="701"/>
      <c r="BR4" s="701"/>
      <c r="BS4" s="701"/>
      <c r="BT4" s="701"/>
      <c r="BU4" s="701"/>
      <c r="BV4" s="701"/>
      <c r="BW4" s="701"/>
    </row>
    <row r="5" spans="2:78" x14ac:dyDescent="0.3">
      <c r="B5" s="702"/>
      <c r="C5" s="702"/>
      <c r="D5" s="315" t="s">
        <v>6</v>
      </c>
      <c r="E5" s="315" t="s">
        <v>10</v>
      </c>
      <c r="F5" s="315" t="s">
        <v>16</v>
      </c>
      <c r="G5" s="315" t="s">
        <v>15</v>
      </c>
      <c r="H5" s="315" t="s">
        <v>14</v>
      </c>
      <c r="I5" s="315" t="s">
        <v>795</v>
      </c>
      <c r="J5" s="316" t="s">
        <v>12</v>
      </c>
      <c r="K5" s="316" t="s">
        <v>17</v>
      </c>
      <c r="L5" s="316" t="s">
        <v>18</v>
      </c>
      <c r="M5" s="315" t="s">
        <v>6</v>
      </c>
      <c r="N5" s="315" t="s">
        <v>10</v>
      </c>
      <c r="O5" s="315" t="s">
        <v>16</v>
      </c>
      <c r="P5" s="315" t="s">
        <v>15</v>
      </c>
      <c r="Q5" s="315" t="s">
        <v>14</v>
      </c>
      <c r="R5" s="315" t="s">
        <v>795</v>
      </c>
      <c r="S5" s="316" t="s">
        <v>12</v>
      </c>
      <c r="T5" s="316" t="s">
        <v>17</v>
      </c>
      <c r="U5" s="316" t="s">
        <v>18</v>
      </c>
      <c r="V5" s="315" t="s">
        <v>6</v>
      </c>
      <c r="W5" s="315" t="s">
        <v>10</v>
      </c>
      <c r="X5" s="315" t="s">
        <v>16</v>
      </c>
      <c r="Y5" s="315" t="s">
        <v>15</v>
      </c>
      <c r="Z5" s="315" t="s">
        <v>14</v>
      </c>
      <c r="AA5" s="315" t="s">
        <v>795</v>
      </c>
      <c r="AB5" s="316" t="s">
        <v>12</v>
      </c>
      <c r="AC5" s="316" t="s">
        <v>17</v>
      </c>
      <c r="AD5" s="316" t="s">
        <v>18</v>
      </c>
      <c r="AE5" s="315" t="s">
        <v>6</v>
      </c>
      <c r="AF5" s="315" t="s">
        <v>10</v>
      </c>
      <c r="AG5" s="315" t="s">
        <v>16</v>
      </c>
      <c r="AH5" s="315" t="s">
        <v>15</v>
      </c>
      <c r="AI5" s="315" t="s">
        <v>14</v>
      </c>
      <c r="AJ5" s="315" t="s">
        <v>795</v>
      </c>
      <c r="AK5" s="316" t="s">
        <v>12</v>
      </c>
      <c r="AL5" s="316" t="s">
        <v>17</v>
      </c>
      <c r="AM5" s="316" t="s">
        <v>18</v>
      </c>
      <c r="AN5" s="315" t="s">
        <v>6</v>
      </c>
      <c r="AO5" s="315" t="s">
        <v>10</v>
      </c>
      <c r="AP5" s="315" t="s">
        <v>16</v>
      </c>
      <c r="AQ5" s="315" t="s">
        <v>15</v>
      </c>
      <c r="AR5" s="315" t="s">
        <v>14</v>
      </c>
      <c r="AS5" s="315" t="s">
        <v>795</v>
      </c>
      <c r="AT5" s="316" t="s">
        <v>12</v>
      </c>
      <c r="AU5" s="316" t="s">
        <v>17</v>
      </c>
      <c r="AV5" s="316" t="s">
        <v>18</v>
      </c>
      <c r="AW5" s="315" t="s">
        <v>6</v>
      </c>
      <c r="AX5" s="315" t="s">
        <v>10</v>
      </c>
      <c r="AY5" s="315" t="s">
        <v>16</v>
      </c>
      <c r="AZ5" s="315" t="s">
        <v>15</v>
      </c>
      <c r="BA5" s="315" t="s">
        <v>14</v>
      </c>
      <c r="BB5" s="315" t="s">
        <v>795</v>
      </c>
      <c r="BC5" s="316" t="s">
        <v>12</v>
      </c>
      <c r="BD5" s="316" t="s">
        <v>17</v>
      </c>
      <c r="BE5" s="316" t="s">
        <v>18</v>
      </c>
      <c r="BF5" s="315" t="s">
        <v>6</v>
      </c>
      <c r="BG5" s="315" t="s">
        <v>10</v>
      </c>
      <c r="BH5" s="315" t="s">
        <v>16</v>
      </c>
      <c r="BI5" s="315" t="s">
        <v>15</v>
      </c>
      <c r="BJ5" s="315" t="s">
        <v>14</v>
      </c>
      <c r="BK5" s="315" t="s">
        <v>795</v>
      </c>
      <c r="BL5" s="316" t="s">
        <v>12</v>
      </c>
      <c r="BM5" s="316" t="s">
        <v>17</v>
      </c>
      <c r="BN5" s="316" t="s">
        <v>18</v>
      </c>
      <c r="BO5" s="315" t="s">
        <v>6</v>
      </c>
      <c r="BP5" s="315" t="s">
        <v>10</v>
      </c>
      <c r="BQ5" s="315" t="s">
        <v>16</v>
      </c>
      <c r="BR5" s="315" t="s">
        <v>15</v>
      </c>
      <c r="BS5" s="315" t="s">
        <v>14</v>
      </c>
      <c r="BT5" s="315" t="s">
        <v>795</v>
      </c>
      <c r="BU5" s="316" t="s">
        <v>12</v>
      </c>
      <c r="BV5" s="316" t="s">
        <v>17</v>
      </c>
      <c r="BW5" s="316" t="s">
        <v>18</v>
      </c>
    </row>
    <row r="6" spans="2:78" x14ac:dyDescent="0.3">
      <c r="B6" s="317" t="s">
        <v>796</v>
      </c>
      <c r="C6" s="318" t="s">
        <v>797</v>
      </c>
      <c r="D6" s="319">
        <v>3.0855467839999999</v>
      </c>
      <c r="E6" s="319">
        <v>0.45881</v>
      </c>
      <c r="F6" s="319">
        <v>0.52264500000000003</v>
      </c>
      <c r="G6" s="319">
        <v>0</v>
      </c>
      <c r="H6" s="319">
        <v>0.48256920961041</v>
      </c>
      <c r="I6" s="319">
        <v>0.27113667699007099</v>
      </c>
      <c r="J6" s="319">
        <v>0.45102890040768601</v>
      </c>
      <c r="K6" s="319">
        <v>0</v>
      </c>
      <c r="L6" s="319">
        <v>0</v>
      </c>
      <c r="M6" s="319">
        <v>3.1275163676162099</v>
      </c>
      <c r="N6" s="319">
        <v>0.47155573259373901</v>
      </c>
      <c r="O6" s="319">
        <v>0.52823776727000904</v>
      </c>
      <c r="P6" s="319">
        <v>0</v>
      </c>
      <c r="Q6" s="319">
        <v>0.49605441930285799</v>
      </c>
      <c r="R6" s="319">
        <v>0.27687153020166799</v>
      </c>
      <c r="S6" s="319">
        <v>0.45901331397641798</v>
      </c>
      <c r="T6" s="319">
        <v>0</v>
      </c>
      <c r="U6" s="319">
        <v>0</v>
      </c>
      <c r="V6" s="319">
        <v>3.04052827877767</v>
      </c>
      <c r="W6" s="319">
        <v>0.45864090602276703</v>
      </c>
      <c r="X6" s="319">
        <v>0.52823776727000904</v>
      </c>
      <c r="Y6" s="319">
        <v>0</v>
      </c>
      <c r="Z6" s="319">
        <v>0.49092122476443301</v>
      </c>
      <c r="AA6" s="319">
        <v>0.270213032488197</v>
      </c>
      <c r="AB6" s="319">
        <v>0.43236434950059999</v>
      </c>
      <c r="AC6" s="319">
        <v>0</v>
      </c>
      <c r="AD6" s="319">
        <v>0</v>
      </c>
      <c r="AE6" s="319">
        <f t="shared" ref="AE6:AE50" si="0">(V6+M6)/2</f>
        <v>3.0840223231969399</v>
      </c>
      <c r="AF6" s="319">
        <f t="shared" ref="AF6:AF50" si="1">(W6+N6)/2</f>
        <v>0.46509831930825302</v>
      </c>
      <c r="AG6" s="319">
        <f t="shared" ref="AG6:AG50" si="2">(X6+O6)/2</f>
        <v>0.52823776727000904</v>
      </c>
      <c r="AH6" s="319">
        <f t="shared" ref="AH6:AH50" si="3">(Y6+P6)/2</f>
        <v>0</v>
      </c>
      <c r="AI6" s="319">
        <f t="shared" ref="AI6:AI50" si="4">(Z6+Q6)/2</f>
        <v>0.4934878220336455</v>
      </c>
      <c r="AJ6" s="319">
        <f t="shared" ref="AJ6:AJ50" si="5">(AA6+R6)/2</f>
        <v>0.27354228134493253</v>
      </c>
      <c r="AK6" s="319">
        <f t="shared" ref="AK6:AK50" si="6">(AB6+S6)/2</f>
        <v>0.44568883173850898</v>
      </c>
      <c r="AL6" s="319">
        <f t="shared" ref="AL6:AL50" si="7">(AC6+T6)/2</f>
        <v>0</v>
      </c>
      <c r="AM6" s="319">
        <f t="shared" ref="AM6:AM50" si="8">(AD6+U6)/2</f>
        <v>0</v>
      </c>
      <c r="AN6" s="319">
        <v>2.9350960304583835</v>
      </c>
      <c r="AO6" s="319">
        <v>0.45785360051380886</v>
      </c>
      <c r="AP6" s="319">
        <v>0.54049410528064534</v>
      </c>
      <c r="AQ6" s="319">
        <v>0</v>
      </c>
      <c r="AR6" s="319">
        <v>0.50940739257620127</v>
      </c>
      <c r="AS6" s="319">
        <v>0.2687654216600619</v>
      </c>
      <c r="AT6" s="319">
        <v>0.39050328293313569</v>
      </c>
      <c r="AU6" s="319">
        <v>0</v>
      </c>
      <c r="AV6" s="319">
        <v>0</v>
      </c>
      <c r="AW6" s="319">
        <v>2.6168790776323361</v>
      </c>
      <c r="AX6" s="319">
        <v>0.45061881830477202</v>
      </c>
      <c r="AY6" s="319">
        <v>0.55936627836813346</v>
      </c>
      <c r="AZ6" s="319">
        <v>0</v>
      </c>
      <c r="BA6" s="319">
        <v>0.39255921373698155</v>
      </c>
      <c r="BB6" s="319">
        <v>0.21519037635292487</v>
      </c>
      <c r="BC6" s="319">
        <v>0.36766116734322873</v>
      </c>
      <c r="BD6" s="319">
        <v>0</v>
      </c>
      <c r="BE6" s="319">
        <v>0</v>
      </c>
      <c r="BF6" s="319">
        <v>2.599276264695249</v>
      </c>
      <c r="BG6" s="319">
        <v>0.45019337139462906</v>
      </c>
      <c r="BH6" s="319">
        <v>0.56035462405030878</v>
      </c>
      <c r="BI6" s="319">
        <v>0</v>
      </c>
      <c r="BJ6" s="319">
        <v>0.38581478561152666</v>
      </c>
      <c r="BK6" s="319">
        <v>0.21211647969576281</v>
      </c>
      <c r="BL6" s="319">
        <v>0.36631903954346012</v>
      </c>
      <c r="BM6" s="319">
        <v>0</v>
      </c>
      <c r="BN6" s="319">
        <v>0</v>
      </c>
      <c r="BO6" s="319">
        <f>BF6</f>
        <v>2.599276264695249</v>
      </c>
      <c r="BP6" s="319">
        <f t="shared" ref="BP6:BW7" si="9">BG6</f>
        <v>0.45019337139462906</v>
      </c>
      <c r="BQ6" s="319">
        <f t="shared" si="9"/>
        <v>0.56035462405030878</v>
      </c>
      <c r="BR6" s="319">
        <f t="shared" si="9"/>
        <v>0</v>
      </c>
      <c r="BS6" s="319">
        <f t="shared" si="9"/>
        <v>0.38581478561152666</v>
      </c>
      <c r="BT6" s="319">
        <f t="shared" si="9"/>
        <v>0.21211647969576281</v>
      </c>
      <c r="BU6" s="319">
        <f t="shared" si="9"/>
        <v>0.36631903954346012</v>
      </c>
      <c r="BV6" s="319">
        <f t="shared" si="9"/>
        <v>0</v>
      </c>
      <c r="BW6" s="319">
        <f t="shared" si="9"/>
        <v>0</v>
      </c>
      <c r="BY6" s="70">
        <f>SUM(AW6:BE6)</f>
        <v>4.6022749317383767</v>
      </c>
      <c r="BZ6" s="70">
        <f>SUM(BO6:BW6)</f>
        <v>4.5740745649909362</v>
      </c>
    </row>
    <row r="7" spans="2:78" x14ac:dyDescent="0.3">
      <c r="B7" s="320" t="s">
        <v>798</v>
      </c>
      <c r="C7" s="318" t="s">
        <v>797</v>
      </c>
      <c r="D7" s="321">
        <v>2.7054697600000002</v>
      </c>
      <c r="E7" s="321">
        <v>0.26743</v>
      </c>
      <c r="F7" s="321">
        <v>0</v>
      </c>
      <c r="G7" s="321">
        <v>0</v>
      </c>
      <c r="H7" s="322">
        <v>0</v>
      </c>
      <c r="I7" s="322">
        <v>0</v>
      </c>
      <c r="J7" s="322">
        <v>0</v>
      </c>
      <c r="K7" s="322">
        <v>0</v>
      </c>
      <c r="L7" s="322">
        <v>0</v>
      </c>
      <c r="M7" s="322">
        <v>2.7065704989139898</v>
      </c>
      <c r="N7" s="322">
        <v>0.26753880572835098</v>
      </c>
      <c r="O7" s="322">
        <v>0</v>
      </c>
      <c r="P7" s="322">
        <v>0</v>
      </c>
      <c r="Q7" s="322">
        <v>0</v>
      </c>
      <c r="R7" s="322">
        <v>0</v>
      </c>
      <c r="S7" s="322">
        <v>0</v>
      </c>
      <c r="T7" s="322">
        <v>0</v>
      </c>
      <c r="U7" s="322">
        <v>0</v>
      </c>
      <c r="V7" s="322">
        <v>2.6424337572335599</v>
      </c>
      <c r="W7" s="322">
        <v>0.26119902360208702</v>
      </c>
      <c r="X7" s="322">
        <v>0</v>
      </c>
      <c r="Y7" s="322">
        <v>0</v>
      </c>
      <c r="Z7" s="322">
        <v>0</v>
      </c>
      <c r="AA7" s="322">
        <v>0</v>
      </c>
      <c r="AB7" s="322">
        <v>0</v>
      </c>
      <c r="AC7" s="322">
        <v>0</v>
      </c>
      <c r="AD7" s="322">
        <v>0</v>
      </c>
      <c r="AE7" s="322">
        <f t="shared" si="0"/>
        <v>2.6745021280737751</v>
      </c>
      <c r="AF7" s="322">
        <f t="shared" si="1"/>
        <v>0.264368914665219</v>
      </c>
      <c r="AG7" s="322">
        <f t="shared" si="2"/>
        <v>0</v>
      </c>
      <c r="AH7" s="322">
        <f t="shared" si="3"/>
        <v>0</v>
      </c>
      <c r="AI7" s="322">
        <f t="shared" si="4"/>
        <v>0</v>
      </c>
      <c r="AJ7" s="322">
        <f t="shared" si="5"/>
        <v>0</v>
      </c>
      <c r="AK7" s="322">
        <f t="shared" si="6"/>
        <v>0</v>
      </c>
      <c r="AL7" s="322">
        <f t="shared" si="7"/>
        <v>0</v>
      </c>
      <c r="AM7" s="322">
        <f t="shared" si="8"/>
        <v>0</v>
      </c>
      <c r="AN7" s="321">
        <v>2.4961771773232719</v>
      </c>
      <c r="AO7" s="321">
        <v>0.24674186804866099</v>
      </c>
      <c r="AP7" s="321">
        <v>0</v>
      </c>
      <c r="AQ7" s="321">
        <v>0</v>
      </c>
      <c r="AR7" s="322">
        <v>0</v>
      </c>
      <c r="AS7" s="322">
        <v>0</v>
      </c>
      <c r="AT7" s="322">
        <v>0</v>
      </c>
      <c r="AU7" s="322">
        <v>0</v>
      </c>
      <c r="AV7" s="322">
        <v>0</v>
      </c>
      <c r="AW7" s="321">
        <v>2.0654111413377652</v>
      </c>
      <c r="AX7" s="321">
        <v>0.20416155068314584</v>
      </c>
      <c r="AY7" s="321">
        <v>0</v>
      </c>
      <c r="AZ7" s="321">
        <v>0</v>
      </c>
      <c r="BA7" s="322">
        <v>0</v>
      </c>
      <c r="BB7" s="322">
        <v>0</v>
      </c>
      <c r="BC7" s="322">
        <v>0</v>
      </c>
      <c r="BD7" s="322">
        <v>0</v>
      </c>
      <c r="BE7" s="322">
        <v>0</v>
      </c>
      <c r="BF7" s="321">
        <v>2.0416698775432467</v>
      </c>
      <c r="BG7" s="321">
        <v>0.20181477665135331</v>
      </c>
      <c r="BH7" s="321">
        <v>0</v>
      </c>
      <c r="BI7" s="321">
        <v>0</v>
      </c>
      <c r="BJ7" s="322">
        <v>0</v>
      </c>
      <c r="BK7" s="322">
        <v>0</v>
      </c>
      <c r="BL7" s="322">
        <v>0</v>
      </c>
      <c r="BM7" s="322">
        <v>0</v>
      </c>
      <c r="BN7" s="322">
        <v>0</v>
      </c>
      <c r="BO7" s="321">
        <f>BF7</f>
        <v>2.0416698775432467</v>
      </c>
      <c r="BP7" s="321">
        <f t="shared" si="9"/>
        <v>0.20181477665135331</v>
      </c>
      <c r="BQ7" s="321">
        <f t="shared" si="9"/>
        <v>0</v>
      </c>
      <c r="BR7" s="321">
        <f t="shared" si="9"/>
        <v>0</v>
      </c>
      <c r="BS7" s="321">
        <f t="shared" si="9"/>
        <v>0</v>
      </c>
      <c r="BT7" s="321">
        <f t="shared" si="9"/>
        <v>0</v>
      </c>
      <c r="BU7" s="321">
        <f t="shared" si="9"/>
        <v>0</v>
      </c>
      <c r="BV7" s="321">
        <f t="shared" si="9"/>
        <v>0</v>
      </c>
      <c r="BW7" s="321">
        <f t="shared" si="9"/>
        <v>0</v>
      </c>
    </row>
    <row r="8" spans="2:78" x14ac:dyDescent="0.3">
      <c r="B8" s="320" t="s">
        <v>571</v>
      </c>
      <c r="C8" s="318" t="s">
        <v>797</v>
      </c>
      <c r="D8" s="321">
        <v>0.38007702399999999</v>
      </c>
      <c r="E8" s="321">
        <v>0.10936</v>
      </c>
      <c r="F8" s="321">
        <v>0</v>
      </c>
      <c r="G8" s="321">
        <v>0</v>
      </c>
      <c r="H8" s="322">
        <v>8.5353554350616895E-2</v>
      </c>
      <c r="I8" s="322">
        <v>3.7468890101210003E-2</v>
      </c>
      <c r="J8" s="322">
        <v>7.0715481985624801E-2</v>
      </c>
      <c r="K8" s="322">
        <v>0</v>
      </c>
      <c r="L8" s="322">
        <v>0</v>
      </c>
      <c r="M8" s="322">
        <v>0.420945868702224</v>
      </c>
      <c r="N8" s="322">
        <v>0.12111923977092399</v>
      </c>
      <c r="O8" s="322">
        <v>0</v>
      </c>
      <c r="P8" s="322">
        <v>0</v>
      </c>
      <c r="Q8" s="322">
        <v>9.4558846760454507E-2</v>
      </c>
      <c r="R8" s="322">
        <v>4.1431570256698802E-2</v>
      </c>
      <c r="S8" s="322">
        <v>7.7627680677205699E-2</v>
      </c>
      <c r="T8" s="322">
        <v>0</v>
      </c>
      <c r="U8" s="322">
        <v>0</v>
      </c>
      <c r="V8" s="322">
        <v>0.39809452154410302</v>
      </c>
      <c r="W8" s="322">
        <v>0.114544195326217</v>
      </c>
      <c r="X8" s="322">
        <v>0</v>
      </c>
      <c r="Y8" s="322">
        <v>0</v>
      </c>
      <c r="Z8" s="322">
        <v>8.9425652222029806E-2</v>
      </c>
      <c r="AA8" s="322">
        <v>3.8833059698401499E-2</v>
      </c>
      <c r="AB8" s="322">
        <v>6.8534040366903304E-2</v>
      </c>
      <c r="AC8" s="322">
        <v>0</v>
      </c>
      <c r="AD8" s="322">
        <v>0</v>
      </c>
      <c r="AE8" s="322">
        <f t="shared" si="0"/>
        <v>0.40952019512316351</v>
      </c>
      <c r="AF8" s="322">
        <f t="shared" si="1"/>
        <v>0.1178317175485705</v>
      </c>
      <c r="AG8" s="322">
        <f t="shared" si="2"/>
        <v>0</v>
      </c>
      <c r="AH8" s="322">
        <f t="shared" si="3"/>
        <v>0</v>
      </c>
      <c r="AI8" s="322">
        <f t="shared" si="4"/>
        <v>9.1992249491242156E-2</v>
      </c>
      <c r="AJ8" s="322">
        <f t="shared" si="5"/>
        <v>4.0132314977550154E-2</v>
      </c>
      <c r="AK8" s="322">
        <f t="shared" si="6"/>
        <v>7.3080860522054508E-2</v>
      </c>
      <c r="AL8" s="322">
        <f t="shared" si="7"/>
        <v>0</v>
      </c>
      <c r="AM8" s="322">
        <f t="shared" si="8"/>
        <v>0</v>
      </c>
      <c r="AN8" s="321">
        <v>0.43891885313511164</v>
      </c>
      <c r="AO8" s="321">
        <v>0.12629062728836724</v>
      </c>
      <c r="AP8" s="321">
        <v>0</v>
      </c>
      <c r="AQ8" s="321">
        <v>0</v>
      </c>
      <c r="AR8" s="322">
        <v>9.8596194094583284E-2</v>
      </c>
      <c r="AS8" s="322">
        <v>4.1899045791657909E-2</v>
      </c>
      <c r="AT8" s="322">
        <v>6.2874480486271533E-2</v>
      </c>
      <c r="AU8" s="322">
        <v>0</v>
      </c>
      <c r="AV8" s="322">
        <v>0</v>
      </c>
      <c r="AW8" s="321">
        <v>0.5514679362945708</v>
      </c>
      <c r="AX8" s="321">
        <v>0.15867450465296809</v>
      </c>
      <c r="AY8" s="321">
        <v>0</v>
      </c>
      <c r="AZ8" s="321">
        <v>0</v>
      </c>
      <c r="BA8" s="322">
        <v>8.8573177242804529E-2</v>
      </c>
      <c r="BB8" s="322">
        <v>3.8618874215578414E-2</v>
      </c>
      <c r="BC8" s="322">
        <v>7.1928802236420605E-2</v>
      </c>
      <c r="BD8" s="322">
        <v>0</v>
      </c>
      <c r="BE8" s="322">
        <v>0</v>
      </c>
      <c r="BF8" s="321">
        <v>0.55760638715200239</v>
      </c>
      <c r="BG8" s="321">
        <v>0.16044072819024963</v>
      </c>
      <c r="BH8" s="321">
        <v>0</v>
      </c>
      <c r="BI8" s="321">
        <v>0</v>
      </c>
      <c r="BJ8" s="322">
        <v>8.768023298230504E-2</v>
      </c>
      <c r="BK8" s="322">
        <v>3.830242032102614E-2</v>
      </c>
      <c r="BL8" s="322">
        <v>7.2353299959137099E-2</v>
      </c>
      <c r="BM8" s="322">
        <v>0</v>
      </c>
      <c r="BN8" s="322">
        <v>0</v>
      </c>
      <c r="BO8" s="321">
        <f t="shared" ref="BO8:BO11" si="10">BF8</f>
        <v>0.55760638715200239</v>
      </c>
      <c r="BP8" s="321">
        <f t="shared" ref="BP8:BP14" si="11">BG8</f>
        <v>0.16044072819024963</v>
      </c>
      <c r="BQ8" s="321">
        <f t="shared" ref="BQ8:BQ14" si="12">BH8</f>
        <v>0</v>
      </c>
      <c r="BR8" s="321">
        <f t="shared" ref="BR8:BR14" si="13">BI8</f>
        <v>0</v>
      </c>
      <c r="BS8" s="321">
        <f t="shared" ref="BS8:BS14" si="14">BJ8</f>
        <v>8.768023298230504E-2</v>
      </c>
      <c r="BT8" s="321">
        <f t="shared" ref="BT8:BT14" si="15">BK8</f>
        <v>3.830242032102614E-2</v>
      </c>
      <c r="BU8" s="321">
        <f t="shared" ref="BU8:BU14" si="16">BL8</f>
        <v>7.2353299959137099E-2</v>
      </c>
      <c r="BV8" s="321">
        <f t="shared" ref="BV8:BV11" si="17">BM8</f>
        <v>0</v>
      </c>
      <c r="BW8" s="321">
        <f t="shared" ref="BW8:BW11" si="18">BN8</f>
        <v>0</v>
      </c>
    </row>
    <row r="9" spans="2:78" x14ac:dyDescent="0.3">
      <c r="B9" s="320" t="s">
        <v>799</v>
      </c>
      <c r="C9" s="318" t="s">
        <v>797</v>
      </c>
      <c r="D9" s="321">
        <v>0</v>
      </c>
      <c r="E9" s="321">
        <v>0</v>
      </c>
      <c r="F9" s="321">
        <v>0</v>
      </c>
      <c r="G9" s="321">
        <v>0</v>
      </c>
      <c r="H9" s="322">
        <v>0</v>
      </c>
      <c r="I9" s="322">
        <v>0</v>
      </c>
      <c r="J9" s="322">
        <v>0</v>
      </c>
      <c r="K9" s="322">
        <v>0</v>
      </c>
      <c r="L9" s="322">
        <v>0</v>
      </c>
      <c r="M9" s="322">
        <v>0</v>
      </c>
      <c r="N9" s="322">
        <v>0</v>
      </c>
      <c r="O9" s="322">
        <v>0</v>
      </c>
      <c r="P9" s="322">
        <v>0</v>
      </c>
      <c r="Q9" s="322">
        <v>0</v>
      </c>
      <c r="R9" s="322">
        <v>0</v>
      </c>
      <c r="S9" s="322">
        <v>0</v>
      </c>
      <c r="T9" s="322">
        <v>0</v>
      </c>
      <c r="U9" s="322">
        <v>0</v>
      </c>
      <c r="V9" s="322">
        <v>0</v>
      </c>
      <c r="W9" s="322">
        <v>0</v>
      </c>
      <c r="X9" s="322">
        <v>0</v>
      </c>
      <c r="Y9" s="322">
        <v>0</v>
      </c>
      <c r="Z9" s="322">
        <v>0</v>
      </c>
      <c r="AA9" s="322">
        <v>0</v>
      </c>
      <c r="AB9" s="322">
        <v>0</v>
      </c>
      <c r="AC9" s="322">
        <v>0</v>
      </c>
      <c r="AD9" s="322">
        <v>0</v>
      </c>
      <c r="AE9" s="322">
        <f t="shared" si="0"/>
        <v>0</v>
      </c>
      <c r="AF9" s="322">
        <f t="shared" si="1"/>
        <v>0</v>
      </c>
      <c r="AG9" s="322">
        <f t="shared" si="2"/>
        <v>0</v>
      </c>
      <c r="AH9" s="322">
        <f t="shared" si="3"/>
        <v>0</v>
      </c>
      <c r="AI9" s="322">
        <f t="shared" si="4"/>
        <v>0</v>
      </c>
      <c r="AJ9" s="322">
        <f t="shared" si="5"/>
        <v>0</v>
      </c>
      <c r="AK9" s="322">
        <f t="shared" si="6"/>
        <v>0</v>
      </c>
      <c r="AL9" s="322">
        <f t="shared" si="7"/>
        <v>0</v>
      </c>
      <c r="AM9" s="322">
        <f t="shared" si="8"/>
        <v>0</v>
      </c>
      <c r="AN9" s="321">
        <v>0</v>
      </c>
      <c r="AO9" s="321">
        <v>0</v>
      </c>
      <c r="AP9" s="321">
        <v>0</v>
      </c>
      <c r="AQ9" s="321">
        <v>0</v>
      </c>
      <c r="AR9" s="322">
        <v>0</v>
      </c>
      <c r="AS9" s="322">
        <v>0</v>
      </c>
      <c r="AT9" s="322">
        <v>0</v>
      </c>
      <c r="AU9" s="322">
        <v>0</v>
      </c>
      <c r="AV9" s="322">
        <v>0</v>
      </c>
      <c r="AW9" s="321">
        <v>0</v>
      </c>
      <c r="AX9" s="321">
        <v>0</v>
      </c>
      <c r="AY9" s="321">
        <v>0</v>
      </c>
      <c r="AZ9" s="321">
        <v>0</v>
      </c>
      <c r="BA9" s="322">
        <v>0</v>
      </c>
      <c r="BB9" s="322">
        <v>0</v>
      </c>
      <c r="BC9" s="322">
        <v>0</v>
      </c>
      <c r="BD9" s="322">
        <v>0</v>
      </c>
      <c r="BE9" s="322">
        <v>0</v>
      </c>
      <c r="BF9" s="321">
        <v>0</v>
      </c>
      <c r="BG9" s="321">
        <v>0</v>
      </c>
      <c r="BH9" s="321">
        <v>0</v>
      </c>
      <c r="BI9" s="321">
        <v>0</v>
      </c>
      <c r="BJ9" s="322">
        <v>0</v>
      </c>
      <c r="BK9" s="322">
        <v>0</v>
      </c>
      <c r="BL9" s="322">
        <v>0</v>
      </c>
      <c r="BM9" s="322">
        <v>0</v>
      </c>
      <c r="BN9" s="322">
        <v>0</v>
      </c>
      <c r="BO9" s="321">
        <f t="shared" si="10"/>
        <v>0</v>
      </c>
      <c r="BP9" s="321">
        <f t="shared" si="11"/>
        <v>0</v>
      </c>
      <c r="BQ9" s="321">
        <f t="shared" si="12"/>
        <v>0</v>
      </c>
      <c r="BR9" s="321">
        <f t="shared" si="13"/>
        <v>0</v>
      </c>
      <c r="BS9" s="321">
        <f t="shared" si="14"/>
        <v>0</v>
      </c>
      <c r="BT9" s="321">
        <f t="shared" si="15"/>
        <v>0</v>
      </c>
      <c r="BU9" s="321">
        <f t="shared" si="16"/>
        <v>0</v>
      </c>
      <c r="BV9" s="321">
        <f t="shared" si="17"/>
        <v>0</v>
      </c>
      <c r="BW9" s="321">
        <f t="shared" si="18"/>
        <v>0</v>
      </c>
    </row>
    <row r="10" spans="2:78" x14ac:dyDescent="0.3">
      <c r="B10" s="320" t="s">
        <v>800</v>
      </c>
      <c r="C10" s="318" t="s">
        <v>797</v>
      </c>
      <c r="D10" s="321">
        <v>0</v>
      </c>
      <c r="E10" s="321">
        <v>0</v>
      </c>
      <c r="F10" s="321">
        <v>0</v>
      </c>
      <c r="G10" s="321">
        <v>0</v>
      </c>
      <c r="H10" s="322">
        <v>0</v>
      </c>
      <c r="I10" s="322">
        <v>0</v>
      </c>
      <c r="J10" s="322">
        <v>7.3700000000000002E-2</v>
      </c>
      <c r="K10" s="322">
        <v>0</v>
      </c>
      <c r="L10" s="322">
        <v>0</v>
      </c>
      <c r="M10" s="322">
        <v>0</v>
      </c>
      <c r="N10" s="322">
        <v>0</v>
      </c>
      <c r="O10" s="322">
        <v>0</v>
      </c>
      <c r="P10" s="322">
        <v>0</v>
      </c>
      <c r="Q10" s="322">
        <v>0</v>
      </c>
      <c r="R10" s="322">
        <v>0</v>
      </c>
      <c r="S10" s="322">
        <v>7.3429916002954301E-2</v>
      </c>
      <c r="T10" s="322">
        <v>0</v>
      </c>
      <c r="U10" s="322">
        <v>0</v>
      </c>
      <c r="V10" s="322">
        <v>0</v>
      </c>
      <c r="W10" s="322">
        <v>0</v>
      </c>
      <c r="X10" s="322">
        <v>0</v>
      </c>
      <c r="Y10" s="322">
        <v>0</v>
      </c>
      <c r="Z10" s="322">
        <v>0</v>
      </c>
      <c r="AA10" s="322">
        <v>0</v>
      </c>
      <c r="AB10" s="322">
        <v>7.2031250936231403E-2</v>
      </c>
      <c r="AC10" s="322">
        <v>0</v>
      </c>
      <c r="AD10" s="322">
        <v>0</v>
      </c>
      <c r="AE10" s="322">
        <f t="shared" si="0"/>
        <v>0</v>
      </c>
      <c r="AF10" s="322">
        <f t="shared" si="1"/>
        <v>0</v>
      </c>
      <c r="AG10" s="322">
        <f t="shared" si="2"/>
        <v>0</v>
      </c>
      <c r="AH10" s="322">
        <f t="shared" si="3"/>
        <v>0</v>
      </c>
      <c r="AI10" s="322">
        <f t="shared" si="4"/>
        <v>0</v>
      </c>
      <c r="AJ10" s="322">
        <f t="shared" si="5"/>
        <v>0</v>
      </c>
      <c r="AK10" s="322">
        <f t="shared" si="6"/>
        <v>7.2730583469592852E-2</v>
      </c>
      <c r="AL10" s="322">
        <f t="shared" si="7"/>
        <v>0</v>
      </c>
      <c r="AM10" s="322">
        <f t="shared" si="8"/>
        <v>0</v>
      </c>
      <c r="AN10" s="321">
        <v>0</v>
      </c>
      <c r="AO10" s="321">
        <v>0</v>
      </c>
      <c r="AP10" s="321">
        <v>0</v>
      </c>
      <c r="AQ10" s="321">
        <v>0</v>
      </c>
      <c r="AR10" s="322">
        <v>0</v>
      </c>
      <c r="AS10" s="322">
        <v>0</v>
      </c>
      <c r="AT10" s="322">
        <v>6.8145119788540931E-2</v>
      </c>
      <c r="AU10" s="322">
        <v>0</v>
      </c>
      <c r="AV10" s="322">
        <v>0</v>
      </c>
      <c r="AW10" s="321">
        <v>0</v>
      </c>
      <c r="AX10" s="321">
        <v>0</v>
      </c>
      <c r="AY10" s="321">
        <v>0</v>
      </c>
      <c r="AZ10" s="321">
        <v>0</v>
      </c>
      <c r="BA10" s="322">
        <v>0</v>
      </c>
      <c r="BB10" s="322">
        <v>0</v>
      </c>
      <c r="BC10" s="322">
        <v>5.652956762551007E-2</v>
      </c>
      <c r="BD10" s="322">
        <v>0</v>
      </c>
      <c r="BE10" s="322">
        <v>0</v>
      </c>
      <c r="BF10" s="321">
        <v>0</v>
      </c>
      <c r="BG10" s="321">
        <v>0</v>
      </c>
      <c r="BH10" s="321">
        <v>0</v>
      </c>
      <c r="BI10" s="321">
        <v>0</v>
      </c>
      <c r="BJ10" s="322">
        <v>0</v>
      </c>
      <c r="BK10" s="322">
        <v>0</v>
      </c>
      <c r="BL10" s="322">
        <v>5.5887293829689946E-2</v>
      </c>
      <c r="BM10" s="322">
        <v>0</v>
      </c>
      <c r="BN10" s="322">
        <v>0</v>
      </c>
      <c r="BO10" s="321">
        <f t="shared" si="10"/>
        <v>0</v>
      </c>
      <c r="BP10" s="321">
        <f t="shared" si="11"/>
        <v>0</v>
      </c>
      <c r="BQ10" s="321">
        <f t="shared" si="12"/>
        <v>0</v>
      </c>
      <c r="BR10" s="321">
        <f t="shared" si="13"/>
        <v>0</v>
      </c>
      <c r="BS10" s="321">
        <f t="shared" si="14"/>
        <v>0</v>
      </c>
      <c r="BT10" s="321">
        <f t="shared" si="15"/>
        <v>0</v>
      </c>
      <c r="BU10" s="321">
        <f t="shared" si="16"/>
        <v>5.5887293829689946E-2</v>
      </c>
      <c r="BV10" s="321">
        <f t="shared" si="17"/>
        <v>0</v>
      </c>
      <c r="BW10" s="321">
        <f t="shared" si="18"/>
        <v>0</v>
      </c>
    </row>
    <row r="11" spans="2:78" x14ac:dyDescent="0.3">
      <c r="B11" s="323" t="s">
        <v>801</v>
      </c>
      <c r="C11" s="318" t="s">
        <v>797</v>
      </c>
      <c r="D11" s="321">
        <v>0</v>
      </c>
      <c r="E11" s="321">
        <v>8.2019999999999996E-2</v>
      </c>
      <c r="F11" s="321">
        <v>0.52264500000000003</v>
      </c>
      <c r="G11" s="321">
        <v>0</v>
      </c>
      <c r="H11" s="322">
        <v>0.39721565525979302</v>
      </c>
      <c r="I11" s="322">
        <v>0.233667786888861</v>
      </c>
      <c r="J11" s="322">
        <v>0.30661341842206102</v>
      </c>
      <c r="K11" s="322">
        <v>0</v>
      </c>
      <c r="L11" s="322">
        <v>0</v>
      </c>
      <c r="M11" s="322">
        <v>0</v>
      </c>
      <c r="N11" s="322">
        <v>8.2897687094464101E-2</v>
      </c>
      <c r="O11" s="322">
        <v>0.52823776727000904</v>
      </c>
      <c r="P11" s="322">
        <v>0</v>
      </c>
      <c r="Q11" s="322">
        <v>0.40149557254240298</v>
      </c>
      <c r="R11" s="322">
        <v>0.23543995994497</v>
      </c>
      <c r="S11" s="322">
        <v>0.30795571729625798</v>
      </c>
      <c r="T11" s="322">
        <v>0</v>
      </c>
      <c r="U11" s="322">
        <v>0</v>
      </c>
      <c r="V11" s="322">
        <v>0</v>
      </c>
      <c r="W11" s="322">
        <v>8.2897687094464101E-2</v>
      </c>
      <c r="X11" s="322">
        <v>0.52823776727000904</v>
      </c>
      <c r="Y11" s="322">
        <v>0</v>
      </c>
      <c r="Z11" s="322">
        <v>0.40149557254240298</v>
      </c>
      <c r="AA11" s="322">
        <v>0.231379972789795</v>
      </c>
      <c r="AB11" s="322">
        <v>0.29179905819746499</v>
      </c>
      <c r="AC11" s="322">
        <v>0</v>
      </c>
      <c r="AD11" s="322">
        <v>0</v>
      </c>
      <c r="AE11" s="322">
        <f t="shared" si="0"/>
        <v>0</v>
      </c>
      <c r="AF11" s="322">
        <f t="shared" si="1"/>
        <v>8.2897687094464101E-2</v>
      </c>
      <c r="AG11" s="322">
        <f t="shared" si="2"/>
        <v>0.52823776727000904</v>
      </c>
      <c r="AH11" s="322">
        <f t="shared" si="3"/>
        <v>0</v>
      </c>
      <c r="AI11" s="322">
        <f t="shared" si="4"/>
        <v>0.40149557254240298</v>
      </c>
      <c r="AJ11" s="322">
        <f t="shared" si="5"/>
        <v>0.23340996636738248</v>
      </c>
      <c r="AK11" s="322">
        <f t="shared" si="6"/>
        <v>0.29987738774686146</v>
      </c>
      <c r="AL11" s="322">
        <f t="shared" si="7"/>
        <v>0</v>
      </c>
      <c r="AM11" s="322">
        <f t="shared" si="8"/>
        <v>0</v>
      </c>
      <c r="AN11" s="321">
        <v>0</v>
      </c>
      <c r="AO11" s="321">
        <v>8.4821105176780667E-2</v>
      </c>
      <c r="AP11" s="321">
        <v>0.54049410528064534</v>
      </c>
      <c r="AQ11" s="321">
        <v>0</v>
      </c>
      <c r="AR11" s="322">
        <v>0.41081119848161796</v>
      </c>
      <c r="AS11" s="322">
        <v>0.22686637586840397</v>
      </c>
      <c r="AT11" s="322">
        <v>0.25948368265832322</v>
      </c>
      <c r="AU11" s="322">
        <v>0</v>
      </c>
      <c r="AV11" s="322">
        <v>0</v>
      </c>
      <c r="AW11" s="321">
        <v>0</v>
      </c>
      <c r="AX11" s="321">
        <v>8.7782762968658085E-2</v>
      </c>
      <c r="AY11" s="321">
        <v>0.55936627836813346</v>
      </c>
      <c r="AZ11" s="321">
        <v>0</v>
      </c>
      <c r="BA11" s="322">
        <v>0.30398603649417705</v>
      </c>
      <c r="BB11" s="322">
        <v>0.17657150213734646</v>
      </c>
      <c r="BC11" s="322">
        <v>0.23920279748129808</v>
      </c>
      <c r="BD11" s="322">
        <v>0</v>
      </c>
      <c r="BE11" s="322">
        <v>0</v>
      </c>
      <c r="BF11" s="321">
        <v>0</v>
      </c>
      <c r="BG11" s="321">
        <v>8.7937866553026087E-2</v>
      </c>
      <c r="BH11" s="321">
        <v>0.56035462405030878</v>
      </c>
      <c r="BI11" s="321">
        <v>0</v>
      </c>
      <c r="BJ11" s="322">
        <v>0.29813455262922162</v>
      </c>
      <c r="BK11" s="322">
        <v>0.17381405937473665</v>
      </c>
      <c r="BL11" s="322">
        <v>0.23807844575463305</v>
      </c>
      <c r="BM11" s="322">
        <v>0</v>
      </c>
      <c r="BN11" s="322">
        <v>0</v>
      </c>
      <c r="BO11" s="321">
        <f t="shared" si="10"/>
        <v>0</v>
      </c>
      <c r="BP11" s="321">
        <f t="shared" si="11"/>
        <v>8.7937866553026087E-2</v>
      </c>
      <c r="BQ11" s="321">
        <f t="shared" si="12"/>
        <v>0.56035462405030878</v>
      </c>
      <c r="BR11" s="321">
        <f t="shared" si="13"/>
        <v>0</v>
      </c>
      <c r="BS11" s="321">
        <f t="shared" si="14"/>
        <v>0.29813455262922162</v>
      </c>
      <c r="BT11" s="321">
        <f t="shared" si="15"/>
        <v>0.17381405937473665</v>
      </c>
      <c r="BU11" s="321">
        <f t="shared" si="16"/>
        <v>0.23807844575463305</v>
      </c>
      <c r="BV11" s="321">
        <f t="shared" si="17"/>
        <v>0</v>
      </c>
      <c r="BW11" s="321">
        <f t="shared" si="18"/>
        <v>0</v>
      </c>
    </row>
    <row r="12" spans="2:78" x14ac:dyDescent="0.3">
      <c r="B12" s="324" t="s">
        <v>802</v>
      </c>
      <c r="C12" s="318" t="s">
        <v>797</v>
      </c>
      <c r="D12" s="325">
        <v>0.47199999999999998</v>
      </c>
      <c r="E12" s="325">
        <v>0.129</v>
      </c>
      <c r="F12" s="325">
        <v>3.2250000000000001</v>
      </c>
      <c r="G12" s="325">
        <v>0</v>
      </c>
      <c r="H12" s="325">
        <v>5.0241974510259E-3</v>
      </c>
      <c r="I12" s="325">
        <v>9.7934215665656504E-3</v>
      </c>
      <c r="J12" s="325">
        <v>1.0574619742197899</v>
      </c>
      <c r="K12" s="325">
        <v>3.6507849999999999</v>
      </c>
      <c r="L12" s="325">
        <v>0</v>
      </c>
      <c r="M12" s="325">
        <v>0.47877070931097898</v>
      </c>
      <c r="N12" s="325">
        <v>0.122371461493037</v>
      </c>
      <c r="O12" s="325">
        <v>3.1995186462910801</v>
      </c>
      <c r="P12" s="325">
        <v>0</v>
      </c>
      <c r="Q12" s="325">
        <v>4.73922498460988E-3</v>
      </c>
      <c r="R12" s="325">
        <v>9.1019851294216504E-3</v>
      </c>
      <c r="S12" s="325">
        <v>1.1501740368482001</v>
      </c>
      <c r="T12" s="325">
        <v>3.9251440652655298</v>
      </c>
      <c r="U12" s="325">
        <v>0</v>
      </c>
      <c r="V12" s="325">
        <v>0.465828183892047</v>
      </c>
      <c r="W12" s="325">
        <v>0.12016703186456799</v>
      </c>
      <c r="X12" s="325">
        <v>3.0877144586081302</v>
      </c>
      <c r="Y12" s="325">
        <v>0</v>
      </c>
      <c r="Z12" s="325">
        <v>4.6892430893013702E-3</v>
      </c>
      <c r="AA12" s="325">
        <v>8.2830596286855105E-3</v>
      </c>
      <c r="AB12" s="325">
        <v>1.0358874147157899</v>
      </c>
      <c r="AC12" s="325">
        <v>3.8517286374577102</v>
      </c>
      <c r="AD12" s="325">
        <v>0</v>
      </c>
      <c r="AE12" s="325">
        <f t="shared" si="0"/>
        <v>0.47229944660151302</v>
      </c>
      <c r="AF12" s="325">
        <f t="shared" si="1"/>
        <v>0.1212692466788025</v>
      </c>
      <c r="AG12" s="325">
        <f t="shared" si="2"/>
        <v>3.1436165524496049</v>
      </c>
      <c r="AH12" s="325">
        <f t="shared" si="3"/>
        <v>0</v>
      </c>
      <c r="AI12" s="325">
        <f t="shared" si="4"/>
        <v>4.7142340369556255E-3</v>
      </c>
      <c r="AJ12" s="325">
        <f t="shared" si="5"/>
        <v>8.6925223790535813E-3</v>
      </c>
      <c r="AK12" s="325">
        <f t="shared" si="6"/>
        <v>1.0930307257819951</v>
      </c>
      <c r="AL12" s="325">
        <f t="shared" si="7"/>
        <v>3.8884363513616202</v>
      </c>
      <c r="AM12" s="325">
        <f t="shared" si="8"/>
        <v>0</v>
      </c>
      <c r="AN12" s="325">
        <v>0.44983435324893545</v>
      </c>
      <c r="AO12" s="326">
        <v>9.7137022060728523E-2</v>
      </c>
      <c r="AP12" s="325">
        <v>2.7503918738678017</v>
      </c>
      <c r="AQ12" s="325">
        <v>0</v>
      </c>
      <c r="AR12" s="325">
        <v>3.0259361003138526E-3</v>
      </c>
      <c r="AS12" s="325">
        <v>4.2352650853928414E-3</v>
      </c>
      <c r="AT12" s="325">
        <v>0.50021955962800924</v>
      </c>
      <c r="AU12" s="325">
        <v>4.3006376852469703</v>
      </c>
      <c r="AV12" s="325">
        <v>0</v>
      </c>
      <c r="AW12" s="325">
        <v>0.35880729838907238</v>
      </c>
      <c r="AX12" s="326">
        <v>5.4380387817806318E-2</v>
      </c>
      <c r="AY12" s="325">
        <v>1.3227220395318828</v>
      </c>
      <c r="AZ12" s="325">
        <v>0</v>
      </c>
      <c r="BA12" s="325">
        <v>3.5297026098546911E-4</v>
      </c>
      <c r="BB12" s="325">
        <v>6.4801750584518635E-4</v>
      </c>
      <c r="BC12" s="325">
        <v>7.4448135379713634E-2</v>
      </c>
      <c r="BD12" s="325">
        <v>5.0610662293791142</v>
      </c>
      <c r="BE12" s="325">
        <v>0</v>
      </c>
      <c r="BF12" s="325">
        <v>0.35349474633744865</v>
      </c>
      <c r="BG12" s="325">
        <v>8.3291831717972206E-2</v>
      </c>
      <c r="BH12" s="325">
        <v>1.458624180582563</v>
      </c>
      <c r="BI12" s="325">
        <v>0</v>
      </c>
      <c r="BJ12" s="325">
        <v>2.485611054536674E-4</v>
      </c>
      <c r="BK12" s="325">
        <v>4.6448578902891739E-4</v>
      </c>
      <c r="BL12" s="325">
        <v>5.3278625447676885E-2</v>
      </c>
      <c r="BM12" s="325">
        <v>3.878786520087897</v>
      </c>
      <c r="BN12" s="325">
        <v>0</v>
      </c>
      <c r="BO12" s="325">
        <f>BF12</f>
        <v>0.35349474633744865</v>
      </c>
      <c r="BP12" s="325">
        <f t="shared" si="11"/>
        <v>8.3291831717972206E-2</v>
      </c>
      <c r="BQ12" s="325">
        <f t="shared" si="12"/>
        <v>1.458624180582563</v>
      </c>
      <c r="BR12" s="325">
        <f t="shared" si="13"/>
        <v>0</v>
      </c>
      <c r="BS12" s="325">
        <f t="shared" si="14"/>
        <v>2.485611054536674E-4</v>
      </c>
      <c r="BT12" s="325">
        <f t="shared" si="15"/>
        <v>4.6448578902891739E-4</v>
      </c>
      <c r="BU12" s="325">
        <f t="shared" si="16"/>
        <v>5.3278625447676885E-2</v>
      </c>
      <c r="BV12" s="327">
        <f>BD12*(1+(BD12-AU12)*1/19/BD12)</f>
        <v>5.1010887843334372</v>
      </c>
      <c r="BW12" s="325">
        <f>BN12</f>
        <v>0</v>
      </c>
      <c r="BY12" s="70">
        <f>SUM(AW12:BE12)</f>
        <v>6.8724250782644205</v>
      </c>
      <c r="BZ12" s="70">
        <f>SUM(BO12:BW12)</f>
        <v>7.0504912153135813</v>
      </c>
    </row>
    <row r="13" spans="2:78" x14ac:dyDescent="0.3">
      <c r="B13" s="328" t="s">
        <v>803</v>
      </c>
      <c r="C13" s="318" t="s">
        <v>797</v>
      </c>
      <c r="D13" s="329">
        <v>0.47199999999999998</v>
      </c>
      <c r="E13" s="329">
        <v>0.129</v>
      </c>
      <c r="F13" s="329">
        <v>3.2250000000000001</v>
      </c>
      <c r="G13" s="329">
        <v>0</v>
      </c>
      <c r="H13" s="330">
        <v>5.0241974510259E-3</v>
      </c>
      <c r="I13" s="330">
        <v>9.7934215665656504E-3</v>
      </c>
      <c r="J13" s="330">
        <v>1.0574619742197899</v>
      </c>
      <c r="K13" s="330">
        <v>3.6507849999999999</v>
      </c>
      <c r="L13" s="330">
        <v>0</v>
      </c>
      <c r="M13" s="330">
        <v>0.47877070931097898</v>
      </c>
      <c r="N13" s="330">
        <v>0.122371461493037</v>
      </c>
      <c r="O13" s="330">
        <v>3.1995186462910801</v>
      </c>
      <c r="P13" s="330">
        <v>0</v>
      </c>
      <c r="Q13" s="330">
        <v>4.73922498460988E-3</v>
      </c>
      <c r="R13" s="330">
        <v>9.1019851294216504E-3</v>
      </c>
      <c r="S13" s="330">
        <v>1.1501740368482001</v>
      </c>
      <c r="T13" s="330">
        <v>3.9251440652655298</v>
      </c>
      <c r="U13" s="330">
        <v>0</v>
      </c>
      <c r="V13" s="330">
        <v>0.465828183892047</v>
      </c>
      <c r="W13" s="330">
        <v>0.12016703186456799</v>
      </c>
      <c r="X13" s="330">
        <v>3.0877144586081302</v>
      </c>
      <c r="Y13" s="330">
        <v>0</v>
      </c>
      <c r="Z13" s="330">
        <v>4.6892430893013702E-3</v>
      </c>
      <c r="AA13" s="330">
        <v>8.2830596286855105E-3</v>
      </c>
      <c r="AB13" s="330">
        <v>1.0358874147157899</v>
      </c>
      <c r="AC13" s="330">
        <v>3.8517286374577102</v>
      </c>
      <c r="AD13" s="330">
        <v>0</v>
      </c>
      <c r="AE13" s="330">
        <f t="shared" si="0"/>
        <v>0.47229944660151302</v>
      </c>
      <c r="AF13" s="330">
        <f t="shared" si="1"/>
        <v>0.1212692466788025</v>
      </c>
      <c r="AG13" s="330">
        <f t="shared" si="2"/>
        <v>3.1436165524496049</v>
      </c>
      <c r="AH13" s="330">
        <f t="shared" si="3"/>
        <v>0</v>
      </c>
      <c r="AI13" s="330">
        <f t="shared" si="4"/>
        <v>4.7142340369556255E-3</v>
      </c>
      <c r="AJ13" s="330">
        <f t="shared" si="5"/>
        <v>8.6925223790535813E-3</v>
      </c>
      <c r="AK13" s="330">
        <f t="shared" si="6"/>
        <v>1.0930307257819951</v>
      </c>
      <c r="AL13" s="330">
        <f t="shared" si="7"/>
        <v>3.8884363513616202</v>
      </c>
      <c r="AM13" s="330">
        <f t="shared" si="8"/>
        <v>0</v>
      </c>
      <c r="AN13" s="329">
        <v>0.44983435324893545</v>
      </c>
      <c r="AO13" s="329">
        <v>9.7137022060728523E-2</v>
      </c>
      <c r="AP13" s="329">
        <v>2.7503918738678017</v>
      </c>
      <c r="AQ13" s="329">
        <v>0</v>
      </c>
      <c r="AR13" s="330">
        <v>3.0259361003138526E-3</v>
      </c>
      <c r="AS13" s="330">
        <v>4.2352650853928414E-3</v>
      </c>
      <c r="AT13" s="330">
        <v>0.50021955962800924</v>
      </c>
      <c r="AU13" s="330">
        <v>4.3006376852469703</v>
      </c>
      <c r="AV13" s="330">
        <v>0</v>
      </c>
      <c r="AW13" s="329">
        <v>0.35880729838907238</v>
      </c>
      <c r="AX13" s="329">
        <v>5.4380387817806318E-2</v>
      </c>
      <c r="AY13" s="329">
        <v>1.3227220395318828</v>
      </c>
      <c r="AZ13" s="329">
        <v>0</v>
      </c>
      <c r="BA13" s="330">
        <v>3.5297026098546911E-4</v>
      </c>
      <c r="BB13" s="330">
        <v>6.4801750584518635E-4</v>
      </c>
      <c r="BC13" s="330">
        <v>7.4448135379713634E-2</v>
      </c>
      <c r="BD13" s="330">
        <v>5.0610662293791142</v>
      </c>
      <c r="BE13" s="330">
        <v>0</v>
      </c>
      <c r="BF13" s="329">
        <v>0.35349474633744865</v>
      </c>
      <c r="BG13" s="329">
        <v>8.3291831717972206E-2</v>
      </c>
      <c r="BH13" s="329">
        <v>1.458624180582563</v>
      </c>
      <c r="BI13" s="329">
        <v>0</v>
      </c>
      <c r="BJ13" s="330">
        <v>2.485611054536674E-4</v>
      </c>
      <c r="BK13" s="330">
        <v>4.6448578902891739E-4</v>
      </c>
      <c r="BL13" s="330">
        <v>5.3278625447676885E-2</v>
      </c>
      <c r="BM13" s="330">
        <v>3.878786520087897</v>
      </c>
      <c r="BN13" s="330">
        <v>0</v>
      </c>
      <c r="BO13" s="329">
        <f>BF13</f>
        <v>0.35349474633744865</v>
      </c>
      <c r="BP13" s="329">
        <f t="shared" si="11"/>
        <v>8.3291831717972206E-2</v>
      </c>
      <c r="BQ13" s="329">
        <f t="shared" si="12"/>
        <v>1.458624180582563</v>
      </c>
      <c r="BR13" s="329">
        <f t="shared" si="13"/>
        <v>0</v>
      </c>
      <c r="BS13" s="329">
        <f t="shared" si="14"/>
        <v>2.485611054536674E-4</v>
      </c>
      <c r="BT13" s="329">
        <f t="shared" si="15"/>
        <v>4.6448578902891739E-4</v>
      </c>
      <c r="BU13" s="329">
        <f t="shared" si="16"/>
        <v>5.3278625447676885E-2</v>
      </c>
      <c r="BV13" s="332">
        <f>BV12</f>
        <v>5.1010887843334372</v>
      </c>
      <c r="BW13" s="330">
        <f>BN13</f>
        <v>0</v>
      </c>
    </row>
    <row r="14" spans="2:78" x14ac:dyDescent="0.3">
      <c r="B14" s="333" t="s">
        <v>804</v>
      </c>
      <c r="C14" s="318" t="s">
        <v>797</v>
      </c>
      <c r="D14" s="334">
        <v>3.0200613631105</v>
      </c>
      <c r="E14" s="334">
        <v>0.44015162419749998</v>
      </c>
      <c r="F14" s="334">
        <v>0.10675770492</v>
      </c>
      <c r="G14" s="334">
        <v>0</v>
      </c>
      <c r="H14" s="334">
        <v>0.17388883742158701</v>
      </c>
      <c r="I14" s="334">
        <v>9.3357908935547199E-2</v>
      </c>
      <c r="J14" s="334">
        <v>0.37326955346134799</v>
      </c>
      <c r="K14" s="334">
        <v>0</v>
      </c>
      <c r="L14" s="334">
        <v>0</v>
      </c>
      <c r="M14" s="334">
        <v>3.2326060676509898</v>
      </c>
      <c r="N14" s="334">
        <v>0.50684182759865704</v>
      </c>
      <c r="O14" s="334">
        <v>0.10763012686835299</v>
      </c>
      <c r="P14" s="334">
        <v>0</v>
      </c>
      <c r="Q14" s="334">
        <v>0.18731993921706</v>
      </c>
      <c r="R14" s="334">
        <v>0.100192143246604</v>
      </c>
      <c r="S14" s="334">
        <v>0.378013823974922</v>
      </c>
      <c r="T14" s="334">
        <v>0</v>
      </c>
      <c r="U14" s="334">
        <v>0</v>
      </c>
      <c r="V14" s="334">
        <v>3.1988582513621</v>
      </c>
      <c r="W14" s="334">
        <v>0.49924774529196803</v>
      </c>
      <c r="X14" s="334">
        <v>0.104632679256092</v>
      </c>
      <c r="Y14" s="334">
        <v>0</v>
      </c>
      <c r="Z14" s="334">
        <v>0.18219677285237401</v>
      </c>
      <c r="AA14" s="334">
        <v>9.6274812265536497E-2</v>
      </c>
      <c r="AB14" s="334">
        <v>0.35429296113886599</v>
      </c>
      <c r="AC14" s="334">
        <v>0</v>
      </c>
      <c r="AD14" s="334">
        <v>0</v>
      </c>
      <c r="AE14" s="334">
        <f t="shared" si="0"/>
        <v>3.2157321595065449</v>
      </c>
      <c r="AF14" s="334">
        <f t="shared" si="1"/>
        <v>0.50304478644531248</v>
      </c>
      <c r="AG14" s="334">
        <f t="shared" si="2"/>
        <v>0.10613140306222249</v>
      </c>
      <c r="AH14" s="334">
        <f t="shared" si="3"/>
        <v>0</v>
      </c>
      <c r="AI14" s="334">
        <f t="shared" si="4"/>
        <v>0.18475835603471702</v>
      </c>
      <c r="AJ14" s="334">
        <f t="shared" si="5"/>
        <v>9.8233477756070248E-2</v>
      </c>
      <c r="AK14" s="334">
        <f t="shared" si="6"/>
        <v>0.366153392556894</v>
      </c>
      <c r="AL14" s="334">
        <f t="shared" si="7"/>
        <v>0</v>
      </c>
      <c r="AM14" s="334">
        <f t="shared" si="8"/>
        <v>0</v>
      </c>
      <c r="AN14" s="335">
        <v>3.696143553248826</v>
      </c>
      <c r="AO14" s="334">
        <v>0.66259545009687015</v>
      </c>
      <c r="AP14" s="334">
        <v>0.10170224620694235</v>
      </c>
      <c r="AQ14" s="334">
        <v>0</v>
      </c>
      <c r="AR14" s="334">
        <v>0.20251368768655295</v>
      </c>
      <c r="AS14" s="334">
        <v>0.10386623795140063</v>
      </c>
      <c r="AT14" s="334">
        <v>0.31790644479729641</v>
      </c>
      <c r="AU14" s="334">
        <v>0</v>
      </c>
      <c r="AV14" s="334">
        <v>0</v>
      </c>
      <c r="AW14" s="335">
        <v>4.5063745803059989</v>
      </c>
      <c r="AX14" s="334">
        <v>1.144601582956823</v>
      </c>
      <c r="AY14" s="334">
        <v>9.508651164047055E-2</v>
      </c>
      <c r="AZ14" s="334">
        <v>0</v>
      </c>
      <c r="BA14" s="334">
        <v>0.16418557479296197</v>
      </c>
      <c r="BB14" s="334">
        <v>8.7565708734457071E-2</v>
      </c>
      <c r="BC14" s="334">
        <v>0.35118152420598681</v>
      </c>
      <c r="BD14" s="334">
        <v>0</v>
      </c>
      <c r="BE14" s="334">
        <v>0</v>
      </c>
      <c r="BF14" s="335">
        <v>4.5562414008330645</v>
      </c>
      <c r="BG14" s="334">
        <v>1.1697000190897051</v>
      </c>
      <c r="BH14" s="334">
        <v>9.5002043997670718E-2</v>
      </c>
      <c r="BI14" s="334">
        <v>0</v>
      </c>
      <c r="BJ14" s="334">
        <v>0.16194286617182832</v>
      </c>
      <c r="BK14" s="334">
        <v>8.6593947737015259E-2</v>
      </c>
      <c r="BL14" s="334">
        <v>0.35455744850375698</v>
      </c>
      <c r="BM14" s="334">
        <v>0</v>
      </c>
      <c r="BN14" s="334">
        <v>0</v>
      </c>
      <c r="BO14" s="335">
        <f>BF14</f>
        <v>4.5562414008330645</v>
      </c>
      <c r="BP14" s="335">
        <f t="shared" si="11"/>
        <v>1.1697000190897051</v>
      </c>
      <c r="BQ14" s="335">
        <f t="shared" si="12"/>
        <v>9.5002043997670718E-2</v>
      </c>
      <c r="BR14" s="335">
        <f t="shared" si="13"/>
        <v>0</v>
      </c>
      <c r="BS14" s="335">
        <f t="shared" si="14"/>
        <v>0.16194286617182832</v>
      </c>
      <c r="BT14" s="335">
        <f t="shared" si="15"/>
        <v>8.6593947737015259E-2</v>
      </c>
      <c r="BU14" s="335">
        <f t="shared" si="16"/>
        <v>0.35455744850375698</v>
      </c>
      <c r="BV14" s="335">
        <f t="shared" ref="BV14:BW14" si="19">BM14</f>
        <v>0</v>
      </c>
      <c r="BW14" s="335">
        <f t="shared" si="19"/>
        <v>0</v>
      </c>
      <c r="BY14" s="70">
        <f>SUM(AW14:BE14)</f>
        <v>6.348995482636699</v>
      </c>
      <c r="BZ14" s="70">
        <f>SUM(BO14:BW14)</f>
        <v>6.4240377263330402</v>
      </c>
    </row>
    <row r="15" spans="2:78" x14ac:dyDescent="0.3">
      <c r="B15" s="336" t="s">
        <v>805</v>
      </c>
      <c r="C15" s="318" t="s">
        <v>797</v>
      </c>
      <c r="D15" s="335">
        <v>2.8304276828604999</v>
      </c>
      <c r="E15" s="335">
        <v>0.29845278552249999</v>
      </c>
      <c r="F15" s="335">
        <v>0.10675770492</v>
      </c>
      <c r="G15" s="335">
        <v>0</v>
      </c>
      <c r="H15" s="337">
        <v>0.17313813080340401</v>
      </c>
      <c r="I15" s="337">
        <v>9.29780919153219E-2</v>
      </c>
      <c r="J15" s="337">
        <v>0.35630325677625502</v>
      </c>
      <c r="K15" s="337">
        <v>0</v>
      </c>
      <c r="L15" s="337">
        <v>0</v>
      </c>
      <c r="M15" s="337">
        <v>3.05151002041339</v>
      </c>
      <c r="N15" s="337">
        <v>0.34283854321416901</v>
      </c>
      <c r="O15" s="337">
        <v>0.10763012686835299</v>
      </c>
      <c r="P15" s="337">
        <v>0</v>
      </c>
      <c r="Q15" s="337">
        <v>0.18645001423877999</v>
      </c>
      <c r="R15" s="337">
        <v>9.9752011134351004E-2</v>
      </c>
      <c r="S15" s="337">
        <v>0.35896527985739801</v>
      </c>
      <c r="T15" s="337">
        <v>0</v>
      </c>
      <c r="U15" s="337">
        <v>0</v>
      </c>
      <c r="V15" s="337">
        <v>2.9891932631270599</v>
      </c>
      <c r="W15" s="337">
        <v>0.33832905690612203</v>
      </c>
      <c r="X15" s="337">
        <v>0.104632679256092</v>
      </c>
      <c r="Y15" s="337">
        <v>0</v>
      </c>
      <c r="Z15" s="337">
        <v>0.18133717915792799</v>
      </c>
      <c r="AA15" s="337">
        <v>9.5839907189942203E-2</v>
      </c>
      <c r="AB15" s="337">
        <v>0.33712792069820602</v>
      </c>
      <c r="AC15" s="337">
        <v>0</v>
      </c>
      <c r="AD15" s="337">
        <v>0</v>
      </c>
      <c r="AE15" s="337">
        <f t="shared" si="0"/>
        <v>3.0203516417702252</v>
      </c>
      <c r="AF15" s="337">
        <f t="shared" si="1"/>
        <v>0.34058380006014555</v>
      </c>
      <c r="AG15" s="337">
        <f t="shared" si="2"/>
        <v>0.10613140306222249</v>
      </c>
      <c r="AH15" s="337">
        <f t="shared" si="3"/>
        <v>0</v>
      </c>
      <c r="AI15" s="337">
        <f t="shared" si="4"/>
        <v>0.18389359669835398</v>
      </c>
      <c r="AJ15" s="337">
        <f t="shared" si="5"/>
        <v>9.7795959162146603E-2</v>
      </c>
      <c r="AK15" s="337">
        <f t="shared" si="6"/>
        <v>0.34804660027780199</v>
      </c>
      <c r="AL15" s="337">
        <f t="shared" si="7"/>
        <v>0</v>
      </c>
      <c r="AM15" s="337">
        <f t="shared" si="8"/>
        <v>0</v>
      </c>
      <c r="AN15" s="335">
        <v>3.4422518412373098</v>
      </c>
      <c r="AO15" s="335">
        <v>0.45702607603835477</v>
      </c>
      <c r="AP15" s="335">
        <v>0.10170224620694235</v>
      </c>
      <c r="AQ15" s="335">
        <v>0</v>
      </c>
      <c r="AR15" s="337">
        <v>0.20140097652298705</v>
      </c>
      <c r="AS15" s="337">
        <v>0.10330326996405785</v>
      </c>
      <c r="AT15" s="337">
        <v>0.30146920020239937</v>
      </c>
      <c r="AU15" s="337">
        <v>0</v>
      </c>
      <c r="AV15" s="337">
        <v>0</v>
      </c>
      <c r="AW15" s="335">
        <v>4.1774804865924153</v>
      </c>
      <c r="AX15" s="335">
        <v>0.85814447835577878</v>
      </c>
      <c r="AY15" s="335">
        <v>9.508651164047055E-2</v>
      </c>
      <c r="AZ15" s="335">
        <v>0</v>
      </c>
      <c r="BA15" s="337">
        <v>0.16303140037537867</v>
      </c>
      <c r="BB15" s="337">
        <v>8.6981762721044006E-2</v>
      </c>
      <c r="BC15" s="337">
        <v>0.32848855794450421</v>
      </c>
      <c r="BD15" s="337">
        <v>0</v>
      </c>
      <c r="BE15" s="337">
        <v>0</v>
      </c>
      <c r="BF15" s="335">
        <v>4.223840565735733</v>
      </c>
      <c r="BG15" s="335">
        <v>0.88559409085808372</v>
      </c>
      <c r="BH15" s="335">
        <v>9.5002043997670718E-2</v>
      </c>
      <c r="BI15" s="335">
        <v>0</v>
      </c>
      <c r="BJ15" s="337">
        <v>0.16079329290188202</v>
      </c>
      <c r="BK15" s="337">
        <v>8.6012329640260746E-2</v>
      </c>
      <c r="BL15" s="337">
        <v>0.33199344718882118</v>
      </c>
      <c r="BM15" s="337">
        <v>0</v>
      </c>
      <c r="BN15" s="337">
        <v>0</v>
      </c>
      <c r="BO15" s="335">
        <f t="shared" ref="BO15:BO16" si="20">BF15</f>
        <v>4.223840565735733</v>
      </c>
      <c r="BP15" s="335">
        <f t="shared" ref="BP15:BP18" si="21">BG15</f>
        <v>0.88559409085808372</v>
      </c>
      <c r="BQ15" s="335">
        <f t="shared" ref="BQ15:BQ18" si="22">BH15</f>
        <v>9.5002043997670718E-2</v>
      </c>
      <c r="BR15" s="335">
        <f t="shared" ref="BR15:BR16" si="23">BI15</f>
        <v>0</v>
      </c>
      <c r="BS15" s="335">
        <f t="shared" ref="BS15:BS16" si="24">BJ15</f>
        <v>0.16079329290188202</v>
      </c>
      <c r="BT15" s="335">
        <f t="shared" ref="BT15:BT18" si="25">BK15</f>
        <v>8.6012329640260746E-2</v>
      </c>
      <c r="BU15" s="335">
        <f t="shared" ref="BU15:BU18" si="26">BL15</f>
        <v>0.33199344718882118</v>
      </c>
      <c r="BV15" s="335">
        <f t="shared" ref="BV15:BV18" si="27">BM15</f>
        <v>0</v>
      </c>
      <c r="BW15" s="335">
        <f t="shared" ref="BW15:BW18" si="28">BN15</f>
        <v>0</v>
      </c>
    </row>
    <row r="16" spans="2:78" ht="28.8" x14ac:dyDescent="0.3">
      <c r="B16" s="338" t="s">
        <v>806</v>
      </c>
      <c r="C16" s="318" t="s">
        <v>797</v>
      </c>
      <c r="D16" s="335">
        <v>0.18963368024999999</v>
      </c>
      <c r="E16" s="335">
        <v>0.14169883867499999</v>
      </c>
      <c r="F16" s="335">
        <v>0</v>
      </c>
      <c r="G16" s="335">
        <v>0</v>
      </c>
      <c r="H16" s="337">
        <v>7.5070661818359304E-4</v>
      </c>
      <c r="I16" s="337">
        <v>3.7981702022522499E-4</v>
      </c>
      <c r="J16" s="337">
        <v>1.6966296685092801E-2</v>
      </c>
      <c r="K16" s="337">
        <v>0</v>
      </c>
      <c r="L16" s="337">
        <v>0</v>
      </c>
      <c r="M16" s="337">
        <v>0.18109604723759901</v>
      </c>
      <c r="N16" s="337">
        <v>0.164003284384488</v>
      </c>
      <c r="O16" s="337">
        <v>0</v>
      </c>
      <c r="P16" s="337">
        <v>0</v>
      </c>
      <c r="Q16" s="337">
        <v>8.6992497828080597E-4</v>
      </c>
      <c r="R16" s="337">
        <v>4.4013211225280301E-4</v>
      </c>
      <c r="S16" s="337">
        <v>1.9048544117524002E-2</v>
      </c>
      <c r="T16" s="337">
        <v>0</v>
      </c>
      <c r="U16" s="337">
        <v>0</v>
      </c>
      <c r="V16" s="337">
        <v>0.20966498823504101</v>
      </c>
      <c r="W16" s="337">
        <v>0.160918688385846</v>
      </c>
      <c r="X16" s="337">
        <v>0</v>
      </c>
      <c r="Y16" s="337">
        <v>0</v>
      </c>
      <c r="Z16" s="337">
        <v>8.5959369444576301E-4</v>
      </c>
      <c r="AA16" s="337">
        <v>4.3490507559423099E-4</v>
      </c>
      <c r="AB16" s="337">
        <v>1.71650404406599E-2</v>
      </c>
      <c r="AC16" s="337">
        <v>0</v>
      </c>
      <c r="AD16" s="337">
        <v>0</v>
      </c>
      <c r="AE16" s="337">
        <f t="shared" si="0"/>
        <v>0.19538051773632001</v>
      </c>
      <c r="AF16" s="337">
        <f t="shared" si="1"/>
        <v>0.16246098638516698</v>
      </c>
      <c r="AG16" s="337">
        <f t="shared" si="2"/>
        <v>0</v>
      </c>
      <c r="AH16" s="337">
        <f t="shared" si="3"/>
        <v>0</v>
      </c>
      <c r="AI16" s="337">
        <f t="shared" si="4"/>
        <v>8.6475933636328455E-4</v>
      </c>
      <c r="AJ16" s="337">
        <f t="shared" si="5"/>
        <v>4.37518593923517E-4</v>
      </c>
      <c r="AK16" s="337">
        <f t="shared" si="6"/>
        <v>1.8106792279091951E-2</v>
      </c>
      <c r="AL16" s="337">
        <f t="shared" si="7"/>
        <v>0</v>
      </c>
      <c r="AM16" s="337">
        <f t="shared" si="8"/>
        <v>0</v>
      </c>
      <c r="AN16" s="335">
        <v>0.25389171201151628</v>
      </c>
      <c r="AO16" s="335">
        <v>0.20556937405851539</v>
      </c>
      <c r="AP16" s="335">
        <v>0</v>
      </c>
      <c r="AQ16" s="335">
        <v>0</v>
      </c>
      <c r="AR16" s="337">
        <v>1.1127111635658917E-3</v>
      </c>
      <c r="AS16" s="337">
        <v>5.6296798734277518E-4</v>
      </c>
      <c r="AT16" s="337">
        <v>1.6437244594897021E-2</v>
      </c>
      <c r="AU16" s="337">
        <v>0</v>
      </c>
      <c r="AV16" s="337">
        <v>0</v>
      </c>
      <c r="AW16" s="335">
        <v>0.32889409371358358</v>
      </c>
      <c r="AX16" s="335">
        <v>0.28645710460104423</v>
      </c>
      <c r="AY16" s="335">
        <v>0</v>
      </c>
      <c r="AZ16" s="335">
        <v>0</v>
      </c>
      <c r="BA16" s="337">
        <v>1.1541744175833019E-3</v>
      </c>
      <c r="BB16" s="337">
        <v>5.839460134130632E-4</v>
      </c>
      <c r="BC16" s="337">
        <v>2.2692966261482581E-2</v>
      </c>
      <c r="BD16" s="337">
        <v>0</v>
      </c>
      <c r="BE16" s="337">
        <v>0</v>
      </c>
      <c r="BF16" s="335">
        <v>0.33240083509733154</v>
      </c>
      <c r="BG16" s="335">
        <v>0.2841059282316214</v>
      </c>
      <c r="BH16" s="335">
        <v>0</v>
      </c>
      <c r="BI16" s="335">
        <v>0</v>
      </c>
      <c r="BJ16" s="337">
        <v>1.1495732699463098E-3</v>
      </c>
      <c r="BK16" s="337">
        <v>5.8161809675450968E-4</v>
      </c>
      <c r="BL16" s="337">
        <v>2.2564001314935803E-2</v>
      </c>
      <c r="BM16" s="337">
        <v>0</v>
      </c>
      <c r="BN16" s="337">
        <v>0</v>
      </c>
      <c r="BO16" s="335">
        <f t="shared" si="20"/>
        <v>0.33240083509733154</v>
      </c>
      <c r="BP16" s="335">
        <f t="shared" si="21"/>
        <v>0.2841059282316214</v>
      </c>
      <c r="BQ16" s="335">
        <f t="shared" si="22"/>
        <v>0</v>
      </c>
      <c r="BR16" s="335">
        <f t="shared" si="23"/>
        <v>0</v>
      </c>
      <c r="BS16" s="335">
        <f t="shared" si="24"/>
        <v>1.1495732699463098E-3</v>
      </c>
      <c r="BT16" s="335">
        <f t="shared" si="25"/>
        <v>5.8161809675450968E-4</v>
      </c>
      <c r="BU16" s="335">
        <f t="shared" si="26"/>
        <v>2.2564001314935803E-2</v>
      </c>
      <c r="BV16" s="335">
        <f t="shared" si="27"/>
        <v>0</v>
      </c>
      <c r="BW16" s="335">
        <f t="shared" si="28"/>
        <v>0</v>
      </c>
    </row>
    <row r="17" spans="2:78" x14ac:dyDescent="0.3">
      <c r="B17" s="339" t="s">
        <v>807</v>
      </c>
      <c r="C17" s="318" t="s">
        <v>797</v>
      </c>
      <c r="D17" s="340">
        <v>5.8579592548119797</v>
      </c>
      <c r="E17" s="341">
        <v>0.33786776018916098</v>
      </c>
      <c r="F17" s="340">
        <v>1.0751321085718999</v>
      </c>
      <c r="G17" s="340">
        <v>13.304506527272199</v>
      </c>
      <c r="H17" s="340">
        <v>0.18352956758981201</v>
      </c>
      <c r="I17" s="340">
        <v>0.34633279205505202</v>
      </c>
      <c r="J17" s="340">
        <v>0.71500585526861804</v>
      </c>
      <c r="K17" s="340">
        <v>0</v>
      </c>
      <c r="L17" s="340">
        <v>0</v>
      </c>
      <c r="M17" s="340">
        <v>5.4927839785423602</v>
      </c>
      <c r="N17" s="340">
        <v>0.33480282823831498</v>
      </c>
      <c r="O17" s="340">
        <v>1.06765224225401</v>
      </c>
      <c r="P17" s="340">
        <v>12.7762720653313</v>
      </c>
      <c r="Q17" s="340">
        <v>0.18000450238280299</v>
      </c>
      <c r="R17" s="340">
        <v>0.33199562558784101</v>
      </c>
      <c r="S17" s="340">
        <v>0.68654381309800105</v>
      </c>
      <c r="T17" s="340">
        <v>0</v>
      </c>
      <c r="U17" s="340">
        <v>0</v>
      </c>
      <c r="V17" s="340">
        <v>5.37872148234589</v>
      </c>
      <c r="W17" s="340">
        <v>0.34587006591041602</v>
      </c>
      <c r="X17" s="340">
        <v>1.1077877998266801</v>
      </c>
      <c r="Y17" s="340">
        <v>12.1532697038724</v>
      </c>
      <c r="Z17" s="340">
        <v>0.183202462521659</v>
      </c>
      <c r="AA17" s="340">
        <v>0.305967245955723</v>
      </c>
      <c r="AB17" s="340">
        <v>0.62762716726124901</v>
      </c>
      <c r="AC17" s="340">
        <v>0</v>
      </c>
      <c r="AD17" s="340">
        <v>0</v>
      </c>
      <c r="AE17" s="340">
        <f t="shared" si="0"/>
        <v>5.4357527304441255</v>
      </c>
      <c r="AF17" s="340">
        <f t="shared" si="1"/>
        <v>0.3403364470743655</v>
      </c>
      <c r="AG17" s="340">
        <f t="shared" si="2"/>
        <v>1.087720021040345</v>
      </c>
      <c r="AH17" s="340">
        <f t="shared" si="3"/>
        <v>12.464770884601851</v>
      </c>
      <c r="AI17" s="340">
        <f t="shared" si="4"/>
        <v>0.18160348245223101</v>
      </c>
      <c r="AJ17" s="340">
        <f t="shared" si="5"/>
        <v>0.31898143577178201</v>
      </c>
      <c r="AK17" s="340">
        <f t="shared" si="6"/>
        <v>0.65708549017962503</v>
      </c>
      <c r="AL17" s="340">
        <f t="shared" si="7"/>
        <v>0</v>
      </c>
      <c r="AM17" s="340">
        <f t="shared" si="8"/>
        <v>0</v>
      </c>
      <c r="AN17" s="340">
        <v>4.4859756763964205</v>
      </c>
      <c r="AO17" s="341">
        <v>0.36812479468707338</v>
      </c>
      <c r="AP17" s="340">
        <v>1.2035012465480377</v>
      </c>
      <c r="AQ17" s="340">
        <v>10.075713530607043</v>
      </c>
      <c r="AR17" s="340">
        <v>0.19128173495165904</v>
      </c>
      <c r="AS17" s="340">
        <v>0.24032351990551445</v>
      </c>
      <c r="AT17" s="340">
        <v>0.48316065155598953</v>
      </c>
      <c r="AU17" s="340">
        <v>0</v>
      </c>
      <c r="AV17" s="340">
        <v>0</v>
      </c>
      <c r="AW17" s="340">
        <v>3.6406741808255219</v>
      </c>
      <c r="AX17" s="341">
        <v>0.36853847253432614</v>
      </c>
      <c r="AY17" s="340">
        <v>1.1792619892802558</v>
      </c>
      <c r="AZ17" s="340">
        <v>7.8175511063032781</v>
      </c>
      <c r="BA17" s="340">
        <v>0.12979141496141225</v>
      </c>
      <c r="BB17" s="340">
        <v>0.18756832746397253</v>
      </c>
      <c r="BC17" s="340">
        <v>0.41031772831426239</v>
      </c>
      <c r="BD17" s="340">
        <v>0</v>
      </c>
      <c r="BE17" s="340">
        <v>0</v>
      </c>
      <c r="BF17" s="340">
        <v>3.5975632675232778</v>
      </c>
      <c r="BG17" s="341">
        <v>0.36818116206172874</v>
      </c>
      <c r="BH17" s="340">
        <v>1.1759558037553812</v>
      </c>
      <c r="BI17" s="340">
        <v>6.8647070268815646</v>
      </c>
      <c r="BJ17" s="340">
        <v>0.12637753472973134</v>
      </c>
      <c r="BK17" s="340">
        <v>0.18467813794292212</v>
      </c>
      <c r="BL17" s="340">
        <v>0.40605159223837545</v>
      </c>
      <c r="BM17" s="340">
        <v>0</v>
      </c>
      <c r="BN17" s="340">
        <v>0</v>
      </c>
      <c r="BO17" s="340">
        <f>BF17</f>
        <v>3.5975632675232778</v>
      </c>
      <c r="BP17" s="340">
        <f t="shared" si="21"/>
        <v>0.36818116206172874</v>
      </c>
      <c r="BQ17" s="340">
        <f t="shared" si="22"/>
        <v>1.1759558037553812</v>
      </c>
      <c r="BR17" s="342">
        <f>AZ17+(AZ17-AQ17)*1/19</f>
        <v>7.6987004523925533</v>
      </c>
      <c r="BS17" s="340">
        <f>BJ17</f>
        <v>0.12637753472973134</v>
      </c>
      <c r="BT17" s="340">
        <f t="shared" si="25"/>
        <v>0.18467813794292212</v>
      </c>
      <c r="BU17" s="340">
        <f t="shared" si="26"/>
        <v>0.40605159223837545</v>
      </c>
      <c r="BV17" s="340">
        <f t="shared" si="27"/>
        <v>0</v>
      </c>
      <c r="BW17" s="340">
        <f t="shared" si="28"/>
        <v>0</v>
      </c>
      <c r="BY17" s="70">
        <f>SUM(AW17:BE17)</f>
        <v>13.733703219683031</v>
      </c>
      <c r="BZ17" s="70">
        <f>SUM(BO17:BW17)</f>
        <v>13.55750795064397</v>
      </c>
    </row>
    <row r="18" spans="2:78" x14ac:dyDescent="0.3">
      <c r="B18" s="343" t="s">
        <v>808</v>
      </c>
      <c r="C18" s="318" t="s">
        <v>797</v>
      </c>
      <c r="D18" s="344">
        <v>4.54911010836123</v>
      </c>
      <c r="E18" s="344">
        <v>0.16123727018916101</v>
      </c>
      <c r="F18" s="344">
        <v>1.0751321085718999</v>
      </c>
      <c r="G18" s="344">
        <v>8.4159742006043494</v>
      </c>
      <c r="H18" s="344">
        <v>0.18352956758981201</v>
      </c>
      <c r="I18" s="345">
        <v>0.30968679597871002</v>
      </c>
      <c r="J18" s="345">
        <v>0.63639326859890799</v>
      </c>
      <c r="K18" s="345">
        <v>0</v>
      </c>
      <c r="L18" s="345">
        <v>0</v>
      </c>
      <c r="M18" s="345">
        <v>4.2029820525844199</v>
      </c>
      <c r="N18" s="345">
        <v>0.1581286840534</v>
      </c>
      <c r="O18" s="345">
        <v>1.06765224225401</v>
      </c>
      <c r="P18" s="345">
        <v>7.9059549900027202</v>
      </c>
      <c r="Q18" s="345">
        <v>0.18000450238280299</v>
      </c>
      <c r="R18" s="345">
        <v>0.29853418468123899</v>
      </c>
      <c r="S18" s="345">
        <v>0.61468728845240295</v>
      </c>
      <c r="T18" s="345">
        <v>0</v>
      </c>
      <c r="U18" s="345">
        <v>0</v>
      </c>
      <c r="V18" s="345">
        <v>4.1064238965074296</v>
      </c>
      <c r="W18" s="345">
        <v>0.16919592172550099</v>
      </c>
      <c r="X18" s="345">
        <v>1.1077877998266801</v>
      </c>
      <c r="Y18" s="345">
        <v>7.4490803716026104</v>
      </c>
      <c r="Z18" s="345">
        <v>0.183202462521659</v>
      </c>
      <c r="AA18" s="345">
        <v>0.277596316997829</v>
      </c>
      <c r="AB18" s="345">
        <v>0.56671573519779495</v>
      </c>
      <c r="AC18" s="345">
        <v>0</v>
      </c>
      <c r="AD18" s="345">
        <v>0</v>
      </c>
      <c r="AE18" s="345">
        <f t="shared" si="0"/>
        <v>4.1547029745459252</v>
      </c>
      <c r="AF18" s="345">
        <f t="shared" si="1"/>
        <v>0.16366230288945049</v>
      </c>
      <c r="AG18" s="345">
        <f t="shared" si="2"/>
        <v>1.087720021040345</v>
      </c>
      <c r="AH18" s="345">
        <f t="shared" si="3"/>
        <v>7.6775176808026657</v>
      </c>
      <c r="AI18" s="345">
        <f t="shared" si="4"/>
        <v>0.18160348245223101</v>
      </c>
      <c r="AJ18" s="345">
        <f t="shared" si="5"/>
        <v>0.28806525083953399</v>
      </c>
      <c r="AK18" s="345">
        <f t="shared" si="6"/>
        <v>0.59070151182509889</v>
      </c>
      <c r="AL18" s="345">
        <f t="shared" si="7"/>
        <v>0</v>
      </c>
      <c r="AM18" s="345">
        <f t="shared" si="8"/>
        <v>0</v>
      </c>
      <c r="AN18" s="345">
        <v>3.2772944411932463</v>
      </c>
      <c r="AO18" s="344">
        <v>0.19135461129534442</v>
      </c>
      <c r="AP18" s="344">
        <v>1.2035012465480377</v>
      </c>
      <c r="AQ18" s="344">
        <v>5.7182884431703096</v>
      </c>
      <c r="AR18" s="344">
        <v>0.19128173495165904</v>
      </c>
      <c r="AS18" s="345">
        <v>0.2246631864456142</v>
      </c>
      <c r="AT18" s="345">
        <v>0.44952875206886872</v>
      </c>
      <c r="AU18" s="345">
        <v>0</v>
      </c>
      <c r="AV18" s="345">
        <v>0</v>
      </c>
      <c r="AW18" s="345">
        <v>2.4773188063296412</v>
      </c>
      <c r="AX18" s="344">
        <v>0.19150294068638479</v>
      </c>
      <c r="AY18" s="344">
        <v>1.1792619892802558</v>
      </c>
      <c r="AZ18" s="344">
        <v>3.6816854976853532</v>
      </c>
      <c r="BA18" s="344">
        <v>0.12979141496141225</v>
      </c>
      <c r="BB18" s="345">
        <v>0.17678901910184028</v>
      </c>
      <c r="BC18" s="345">
        <v>0.38716599632580473</v>
      </c>
      <c r="BD18" s="345">
        <v>0</v>
      </c>
      <c r="BE18" s="345">
        <v>0</v>
      </c>
      <c r="BF18" s="345">
        <v>2.4364855257895925</v>
      </c>
      <c r="BG18" s="344">
        <v>0.19112979490869478</v>
      </c>
      <c r="BH18" s="344">
        <v>1.1759558037553812</v>
      </c>
      <c r="BI18" s="344">
        <v>3.1885621104369841</v>
      </c>
      <c r="BJ18" s="344">
        <v>0.12637753472973134</v>
      </c>
      <c r="BK18" s="345">
        <v>0.17415572563856713</v>
      </c>
      <c r="BL18" s="345">
        <v>0.38345144801300535</v>
      </c>
      <c r="BM18" s="345">
        <v>0</v>
      </c>
      <c r="BN18" s="345">
        <v>0</v>
      </c>
      <c r="BO18" s="345">
        <f>BF18</f>
        <v>2.4364855257895925</v>
      </c>
      <c r="BP18" s="345">
        <f t="shared" si="21"/>
        <v>0.19112979490869478</v>
      </c>
      <c r="BQ18" s="345">
        <f t="shared" si="22"/>
        <v>1.1759558037553812</v>
      </c>
      <c r="BR18" s="346">
        <f>$BR$17*AZ18/$AZ$17</f>
        <v>3.625712633172741</v>
      </c>
      <c r="BS18" s="344">
        <f>BJ18</f>
        <v>0.12637753472973134</v>
      </c>
      <c r="BT18" s="344">
        <f t="shared" si="25"/>
        <v>0.17415572563856713</v>
      </c>
      <c r="BU18" s="344">
        <f t="shared" si="26"/>
        <v>0.38345144801300535</v>
      </c>
      <c r="BV18" s="344">
        <f t="shared" si="27"/>
        <v>0</v>
      </c>
      <c r="BW18" s="344">
        <f t="shared" si="28"/>
        <v>0</v>
      </c>
      <c r="BX18" s="70"/>
    </row>
    <row r="19" spans="2:78" x14ac:dyDescent="0.3">
      <c r="B19" s="347" t="s">
        <v>809</v>
      </c>
      <c r="C19" s="318" t="s">
        <v>797</v>
      </c>
      <c r="D19" s="344">
        <v>0.74507999999999996</v>
      </c>
      <c r="E19" s="344">
        <v>7.5999999999999998E-2</v>
      </c>
      <c r="F19" s="344">
        <v>0</v>
      </c>
      <c r="G19" s="344">
        <v>1.1216235006494</v>
      </c>
      <c r="H19" s="344">
        <v>0</v>
      </c>
      <c r="I19" s="345">
        <v>0</v>
      </c>
      <c r="J19" s="345">
        <v>0</v>
      </c>
      <c r="K19" s="345">
        <v>0</v>
      </c>
      <c r="L19" s="345">
        <v>0</v>
      </c>
      <c r="M19" s="345">
        <v>0.74528552029003903</v>
      </c>
      <c r="N19" s="345">
        <v>7.6039535137296305E-2</v>
      </c>
      <c r="O19" s="345">
        <v>0</v>
      </c>
      <c r="P19" s="345">
        <v>1.14021563448088</v>
      </c>
      <c r="Q19" s="345">
        <v>0</v>
      </c>
      <c r="R19" s="345">
        <v>0</v>
      </c>
      <c r="S19" s="345">
        <v>0</v>
      </c>
      <c r="T19" s="345">
        <v>0</v>
      </c>
      <c r="U19" s="345">
        <v>0</v>
      </c>
      <c r="V19" s="345">
        <v>0.74528552029003903</v>
      </c>
      <c r="W19" s="345">
        <v>7.6039535137296305E-2</v>
      </c>
      <c r="X19" s="345">
        <v>0</v>
      </c>
      <c r="Y19" s="345">
        <v>1.11980393777863</v>
      </c>
      <c r="Z19" s="345">
        <v>0</v>
      </c>
      <c r="AA19" s="345">
        <v>0</v>
      </c>
      <c r="AB19" s="345">
        <v>0</v>
      </c>
      <c r="AC19" s="345">
        <v>0</v>
      </c>
      <c r="AD19" s="345">
        <v>0</v>
      </c>
      <c r="AE19" s="345">
        <f t="shared" si="0"/>
        <v>0.74528552029003903</v>
      </c>
      <c r="AF19" s="345">
        <f t="shared" si="1"/>
        <v>7.6039535137296305E-2</v>
      </c>
      <c r="AG19" s="345">
        <f t="shared" si="2"/>
        <v>0</v>
      </c>
      <c r="AH19" s="345">
        <f t="shared" si="3"/>
        <v>1.1300097861297549</v>
      </c>
      <c r="AI19" s="345">
        <f t="shared" si="4"/>
        <v>0</v>
      </c>
      <c r="AJ19" s="345">
        <f t="shared" si="5"/>
        <v>0</v>
      </c>
      <c r="AK19" s="345">
        <f t="shared" si="6"/>
        <v>0</v>
      </c>
      <c r="AL19" s="345">
        <f t="shared" si="7"/>
        <v>0</v>
      </c>
      <c r="AM19" s="345">
        <f t="shared" si="8"/>
        <v>0</v>
      </c>
      <c r="AN19" s="345">
        <v>0.74573766492812621</v>
      </c>
      <c r="AO19" s="344">
        <v>7.6126512439347968E-2</v>
      </c>
      <c r="AP19" s="344">
        <v>0</v>
      </c>
      <c r="AQ19" s="344">
        <v>1.1108894583539279</v>
      </c>
      <c r="AR19" s="344">
        <v>0</v>
      </c>
      <c r="AS19" s="345">
        <v>0</v>
      </c>
      <c r="AT19" s="345">
        <v>0</v>
      </c>
      <c r="AU19" s="345">
        <v>0</v>
      </c>
      <c r="AV19" s="345">
        <v>0</v>
      </c>
      <c r="AW19" s="345">
        <v>0.7469986081923421</v>
      </c>
      <c r="AX19" s="344">
        <v>7.6369075181274657E-2</v>
      </c>
      <c r="AY19" s="344">
        <v>0</v>
      </c>
      <c r="AZ19" s="344">
        <v>1.124244721151086</v>
      </c>
      <c r="BA19" s="344">
        <v>0</v>
      </c>
      <c r="BB19" s="345">
        <v>0</v>
      </c>
      <c r="BC19" s="345">
        <v>0</v>
      </c>
      <c r="BD19" s="345">
        <v>0</v>
      </c>
      <c r="BE19" s="345">
        <v>0</v>
      </c>
      <c r="BF19" s="345">
        <v>0.74707399554764031</v>
      </c>
      <c r="BG19" s="344">
        <v>7.6383577153033969E-2</v>
      </c>
      <c r="BH19" s="344">
        <v>0</v>
      </c>
      <c r="BI19" s="344">
        <v>1.0027655076488973</v>
      </c>
      <c r="BJ19" s="344">
        <v>0</v>
      </c>
      <c r="BK19" s="345">
        <v>0</v>
      </c>
      <c r="BL19" s="345">
        <v>0</v>
      </c>
      <c r="BM19" s="345">
        <v>0</v>
      </c>
      <c r="BN19" s="345">
        <v>0</v>
      </c>
      <c r="BO19" s="345">
        <f t="shared" ref="BO19:BO21" si="29">BF19</f>
        <v>0.74707399554764031</v>
      </c>
      <c r="BP19" s="345">
        <f t="shared" ref="BP19:BP23" si="30">BG19</f>
        <v>7.6383577153033969E-2</v>
      </c>
      <c r="BQ19" s="345">
        <f t="shared" ref="BQ19:BQ23" si="31">BH19</f>
        <v>0</v>
      </c>
      <c r="BR19" s="346">
        <f t="shared" ref="BR19:BR21" si="32">$BR$17*AZ19/$AZ$17</f>
        <v>1.1071527676163337</v>
      </c>
      <c r="BS19" s="344">
        <f t="shared" ref="BS19:BS23" si="33">BJ19</f>
        <v>0</v>
      </c>
      <c r="BT19" s="344">
        <f t="shared" ref="BT19:BT23" si="34">BK19</f>
        <v>0</v>
      </c>
      <c r="BU19" s="344">
        <f t="shared" ref="BU19:BU23" si="35">BL19</f>
        <v>0</v>
      </c>
      <c r="BV19" s="344">
        <f t="shared" ref="BV19:BV23" si="36">BM19</f>
        <v>0</v>
      </c>
      <c r="BW19" s="344">
        <f t="shared" ref="BW19:BW23" si="37">BN19</f>
        <v>0</v>
      </c>
      <c r="BX19" s="70"/>
    </row>
    <row r="20" spans="2:78" x14ac:dyDescent="0.3">
      <c r="B20" s="347" t="s">
        <v>810</v>
      </c>
      <c r="C20" s="318" t="s">
        <v>797</v>
      </c>
      <c r="D20" s="344">
        <v>5.7976023913043503E-2</v>
      </c>
      <c r="E20" s="344">
        <v>7.7700000000000005E-5</v>
      </c>
      <c r="F20" s="344">
        <v>0</v>
      </c>
      <c r="G20" s="344">
        <v>4.39419140499656E-2</v>
      </c>
      <c r="H20" s="344">
        <v>0</v>
      </c>
      <c r="I20" s="345">
        <v>0</v>
      </c>
      <c r="J20" s="345">
        <v>0</v>
      </c>
      <c r="K20" s="345">
        <v>0</v>
      </c>
      <c r="L20" s="345">
        <v>0</v>
      </c>
      <c r="M20" s="345">
        <v>6.0155906521739098E-2</v>
      </c>
      <c r="N20" s="345">
        <v>8.1819047619047605E-5</v>
      </c>
      <c r="O20" s="345">
        <v>0</v>
      </c>
      <c r="P20" s="345">
        <v>4.5808935135306802E-2</v>
      </c>
      <c r="Q20" s="345">
        <v>0</v>
      </c>
      <c r="R20" s="345">
        <v>0</v>
      </c>
      <c r="S20" s="345">
        <v>0</v>
      </c>
      <c r="T20" s="345">
        <v>0</v>
      </c>
      <c r="U20" s="345">
        <v>0</v>
      </c>
      <c r="V20" s="345">
        <v>6.0155906521739098E-2</v>
      </c>
      <c r="W20" s="345">
        <v>8.1819047619047605E-5</v>
      </c>
      <c r="X20" s="345">
        <v>0</v>
      </c>
      <c r="Y20" s="345">
        <v>4.4988881399891399E-2</v>
      </c>
      <c r="Z20" s="345">
        <v>0</v>
      </c>
      <c r="AA20" s="345">
        <v>0</v>
      </c>
      <c r="AB20" s="345">
        <v>0</v>
      </c>
      <c r="AC20" s="345">
        <v>0</v>
      </c>
      <c r="AD20" s="345">
        <v>0</v>
      </c>
      <c r="AE20" s="345">
        <f t="shared" si="0"/>
        <v>6.0155906521739098E-2</v>
      </c>
      <c r="AF20" s="345">
        <f t="shared" si="1"/>
        <v>8.1819047619047605E-5</v>
      </c>
      <c r="AG20" s="345">
        <f t="shared" si="2"/>
        <v>0</v>
      </c>
      <c r="AH20" s="345">
        <f t="shared" si="3"/>
        <v>4.5398908267599097E-2</v>
      </c>
      <c r="AI20" s="345">
        <f t="shared" si="4"/>
        <v>0</v>
      </c>
      <c r="AJ20" s="345">
        <f t="shared" si="5"/>
        <v>0</v>
      </c>
      <c r="AK20" s="345">
        <f t="shared" si="6"/>
        <v>0</v>
      </c>
      <c r="AL20" s="345">
        <f t="shared" si="7"/>
        <v>0</v>
      </c>
      <c r="AM20" s="345">
        <f t="shared" si="8"/>
        <v>0</v>
      </c>
      <c r="AN20" s="345">
        <v>6.4951648260869549E-2</v>
      </c>
      <c r="AO20" s="344">
        <v>9.0880952380952378E-5</v>
      </c>
      <c r="AP20" s="344">
        <v>0</v>
      </c>
      <c r="AQ20" s="344">
        <v>4.7067251008841231E-2</v>
      </c>
      <c r="AR20" s="344">
        <v>0</v>
      </c>
      <c r="AS20" s="345">
        <v>0</v>
      </c>
      <c r="AT20" s="345">
        <v>0</v>
      </c>
      <c r="AU20" s="345">
        <v>0</v>
      </c>
      <c r="AV20" s="345">
        <v>0</v>
      </c>
      <c r="AW20" s="345">
        <v>7.8497583043478258E-2</v>
      </c>
      <c r="AX20" s="344">
        <v>1.1366666666666666E-4</v>
      </c>
      <c r="AY20" s="344">
        <v>0</v>
      </c>
      <c r="AZ20" s="344">
        <v>5.5060097929658797E-2</v>
      </c>
      <c r="BA20" s="344">
        <v>0</v>
      </c>
      <c r="BB20" s="345">
        <v>0</v>
      </c>
      <c r="BC20" s="345">
        <v>0</v>
      </c>
      <c r="BD20" s="345">
        <v>0</v>
      </c>
      <c r="BE20" s="345">
        <v>0</v>
      </c>
      <c r="BF20" s="345">
        <v>7.9309443913043481E-2</v>
      </c>
      <c r="BG20" s="344">
        <v>1.15E-4</v>
      </c>
      <c r="BH20" s="344">
        <v>0</v>
      </c>
      <c r="BI20" s="344">
        <v>4.9511373746761476E-2</v>
      </c>
      <c r="BJ20" s="344">
        <v>0</v>
      </c>
      <c r="BK20" s="345">
        <v>0</v>
      </c>
      <c r="BL20" s="345">
        <v>0</v>
      </c>
      <c r="BM20" s="345">
        <v>0</v>
      </c>
      <c r="BN20" s="345">
        <v>0</v>
      </c>
      <c r="BO20" s="345">
        <f t="shared" si="29"/>
        <v>7.9309443913043481E-2</v>
      </c>
      <c r="BP20" s="345">
        <f t="shared" si="30"/>
        <v>1.15E-4</v>
      </c>
      <c r="BQ20" s="345">
        <f t="shared" si="31"/>
        <v>0</v>
      </c>
      <c r="BR20" s="346">
        <f t="shared" si="32"/>
        <v>5.4223016271433097E-2</v>
      </c>
      <c r="BS20" s="344">
        <f t="shared" si="33"/>
        <v>0</v>
      </c>
      <c r="BT20" s="344">
        <f t="shared" si="34"/>
        <v>0</v>
      </c>
      <c r="BU20" s="344">
        <f t="shared" si="35"/>
        <v>0</v>
      </c>
      <c r="BV20" s="344">
        <f t="shared" si="36"/>
        <v>0</v>
      </c>
      <c r="BW20" s="344">
        <f t="shared" si="37"/>
        <v>0</v>
      </c>
      <c r="BX20" s="70"/>
    </row>
    <row r="21" spans="2:78" x14ac:dyDescent="0.3">
      <c r="B21" s="347" t="s">
        <v>811</v>
      </c>
      <c r="C21" s="318" t="s">
        <v>797</v>
      </c>
      <c r="D21" s="344">
        <v>0.50579312253770703</v>
      </c>
      <c r="E21" s="344">
        <v>0.10055279</v>
      </c>
      <c r="F21" s="344">
        <v>0</v>
      </c>
      <c r="G21" s="344">
        <v>3.7229669119684998</v>
      </c>
      <c r="H21" s="344">
        <v>0</v>
      </c>
      <c r="I21" s="345">
        <v>3.6645996076342002E-2</v>
      </c>
      <c r="J21" s="345">
        <v>7.86125866697098E-2</v>
      </c>
      <c r="K21" s="345">
        <v>0</v>
      </c>
      <c r="L21" s="345">
        <v>0</v>
      </c>
      <c r="M21" s="345">
        <v>0.48436049914616303</v>
      </c>
      <c r="N21" s="345">
        <v>0.10055279</v>
      </c>
      <c r="O21" s="345">
        <v>0</v>
      </c>
      <c r="P21" s="345">
        <v>3.6842925057123801</v>
      </c>
      <c r="Q21" s="345">
        <v>0</v>
      </c>
      <c r="R21" s="345">
        <v>3.3461440906601601E-2</v>
      </c>
      <c r="S21" s="345">
        <v>7.1856524645598302E-2</v>
      </c>
      <c r="T21" s="345">
        <v>0</v>
      </c>
      <c r="U21" s="345">
        <v>0</v>
      </c>
      <c r="V21" s="345">
        <v>0.46685615902667799</v>
      </c>
      <c r="W21" s="345">
        <v>0.10055279</v>
      </c>
      <c r="X21" s="345">
        <v>0</v>
      </c>
      <c r="Y21" s="345">
        <v>3.5393965130912699</v>
      </c>
      <c r="Z21" s="345">
        <v>0</v>
      </c>
      <c r="AA21" s="345">
        <v>2.8370928957894E-2</v>
      </c>
      <c r="AB21" s="345">
        <v>6.0911432063454E-2</v>
      </c>
      <c r="AC21" s="345">
        <v>0</v>
      </c>
      <c r="AD21" s="345">
        <v>0</v>
      </c>
      <c r="AE21" s="345">
        <f t="shared" si="0"/>
        <v>0.47560832908642048</v>
      </c>
      <c r="AF21" s="345">
        <f t="shared" si="1"/>
        <v>0.10055279</v>
      </c>
      <c r="AG21" s="345">
        <f t="shared" si="2"/>
        <v>0</v>
      </c>
      <c r="AH21" s="345">
        <f t="shared" si="3"/>
        <v>3.6118445094018252</v>
      </c>
      <c r="AI21" s="345">
        <f t="shared" si="4"/>
        <v>0</v>
      </c>
      <c r="AJ21" s="345">
        <f t="shared" si="5"/>
        <v>3.0916184932247799E-2</v>
      </c>
      <c r="AK21" s="345">
        <f t="shared" si="6"/>
        <v>6.6383978354526155E-2</v>
      </c>
      <c r="AL21" s="345">
        <f t="shared" si="7"/>
        <v>0</v>
      </c>
      <c r="AM21" s="345">
        <f t="shared" si="8"/>
        <v>0</v>
      </c>
      <c r="AN21" s="345">
        <v>0.39799192201417799</v>
      </c>
      <c r="AO21" s="344">
        <v>0.10055279</v>
      </c>
      <c r="AP21" s="344">
        <v>0</v>
      </c>
      <c r="AQ21" s="344">
        <v>3.1994683780739632</v>
      </c>
      <c r="AR21" s="344">
        <v>0</v>
      </c>
      <c r="AS21" s="345">
        <v>1.5660333459900248E-2</v>
      </c>
      <c r="AT21" s="345">
        <v>3.3631899487120837E-2</v>
      </c>
      <c r="AU21" s="345">
        <v>0</v>
      </c>
      <c r="AV21" s="345">
        <v>0</v>
      </c>
      <c r="AW21" s="345">
        <v>0.33785918326006026</v>
      </c>
      <c r="AX21" s="344">
        <v>0.10055279</v>
      </c>
      <c r="AY21" s="344">
        <v>0</v>
      </c>
      <c r="AZ21" s="344">
        <v>2.9565607895371802</v>
      </c>
      <c r="BA21" s="344">
        <v>0</v>
      </c>
      <c r="BB21" s="345">
        <v>1.0779308362132246E-2</v>
      </c>
      <c r="BC21" s="345">
        <v>2.315173198845763E-2</v>
      </c>
      <c r="BD21" s="345">
        <v>0</v>
      </c>
      <c r="BE21" s="345">
        <v>0</v>
      </c>
      <c r="BF21" s="345">
        <v>0.33469430227300145</v>
      </c>
      <c r="BG21" s="344">
        <v>0.10055279</v>
      </c>
      <c r="BH21" s="344">
        <v>0</v>
      </c>
      <c r="BI21" s="344">
        <v>2.6238680350489214</v>
      </c>
      <c r="BJ21" s="344">
        <v>0</v>
      </c>
      <c r="BK21" s="345">
        <v>1.0522412304354987E-2</v>
      </c>
      <c r="BL21" s="345">
        <v>2.26001442253701E-2</v>
      </c>
      <c r="BM21" s="345">
        <v>0</v>
      </c>
      <c r="BN21" s="345">
        <v>0</v>
      </c>
      <c r="BO21" s="345">
        <f t="shared" si="29"/>
        <v>0.33469430227300145</v>
      </c>
      <c r="BP21" s="345">
        <f t="shared" si="30"/>
        <v>0.10055279</v>
      </c>
      <c r="BQ21" s="345">
        <f t="shared" si="31"/>
        <v>0</v>
      </c>
      <c r="BR21" s="346">
        <f t="shared" si="32"/>
        <v>2.9116120353320456</v>
      </c>
      <c r="BS21" s="344">
        <f t="shared" si="33"/>
        <v>0</v>
      </c>
      <c r="BT21" s="344">
        <f t="shared" si="34"/>
        <v>1.0522412304354987E-2</v>
      </c>
      <c r="BU21" s="344">
        <f t="shared" si="35"/>
        <v>2.26001442253701E-2</v>
      </c>
      <c r="BV21" s="344">
        <f t="shared" si="36"/>
        <v>0</v>
      </c>
      <c r="BW21" s="344">
        <f t="shared" si="37"/>
        <v>0</v>
      </c>
    </row>
    <row r="22" spans="2:78" x14ac:dyDescent="0.3">
      <c r="B22" s="339" t="s">
        <v>812</v>
      </c>
      <c r="C22" s="318" t="s">
        <v>797</v>
      </c>
      <c r="D22" s="340">
        <v>1.71499915586572E-2</v>
      </c>
      <c r="E22" s="340">
        <v>8.2271462011564199E-4</v>
      </c>
      <c r="F22" s="340">
        <v>1.3591720000992E-3</v>
      </c>
      <c r="G22" s="340">
        <v>3.0402678894089E-3</v>
      </c>
      <c r="H22" s="340">
        <v>0</v>
      </c>
      <c r="I22" s="340">
        <v>3.0046340433633301E-6</v>
      </c>
      <c r="J22" s="340">
        <v>1.3748762325047E-5</v>
      </c>
      <c r="K22" s="340">
        <v>0</v>
      </c>
      <c r="L22" s="340">
        <v>0</v>
      </c>
      <c r="M22" s="340">
        <v>3.2547017774454401E-2</v>
      </c>
      <c r="N22" s="340">
        <v>1.22365418701103E-2</v>
      </c>
      <c r="O22" s="340">
        <v>1.13545127334061E-2</v>
      </c>
      <c r="P22" s="340">
        <v>3.76685171844567E-3</v>
      </c>
      <c r="Q22" s="340">
        <v>0</v>
      </c>
      <c r="R22" s="340">
        <v>2.95406058339408E-6</v>
      </c>
      <c r="S22" s="340">
        <v>1.3715168076038999E-5</v>
      </c>
      <c r="T22" s="340">
        <v>0</v>
      </c>
      <c r="U22" s="340">
        <v>0</v>
      </c>
      <c r="V22" s="340">
        <v>3.3607604441121097E-2</v>
      </c>
      <c r="W22" s="340">
        <v>1.2243048536777001E-2</v>
      </c>
      <c r="X22" s="340">
        <v>1.13867858000728E-2</v>
      </c>
      <c r="Y22" s="340">
        <v>3.8242036011498699E-3</v>
      </c>
      <c r="Z22" s="340">
        <v>0</v>
      </c>
      <c r="AA22" s="340">
        <v>2.67212581110272E-6</v>
      </c>
      <c r="AB22" s="340">
        <v>1.29847646042445E-5</v>
      </c>
      <c r="AC22" s="340">
        <v>0</v>
      </c>
      <c r="AD22" s="340">
        <v>0</v>
      </c>
      <c r="AE22" s="340">
        <f t="shared" si="0"/>
        <v>3.3077311107787749E-2</v>
      </c>
      <c r="AF22" s="340">
        <f t="shared" si="1"/>
        <v>1.223979520344365E-2</v>
      </c>
      <c r="AG22" s="340">
        <f t="shared" si="2"/>
        <v>1.137064926673945E-2</v>
      </c>
      <c r="AH22" s="340">
        <f t="shared" si="3"/>
        <v>3.7955276597977702E-3</v>
      </c>
      <c r="AI22" s="340">
        <f t="shared" si="4"/>
        <v>0</v>
      </c>
      <c r="AJ22" s="340">
        <f t="shared" si="5"/>
        <v>2.8130931972484E-6</v>
      </c>
      <c r="AK22" s="340">
        <f t="shared" si="6"/>
        <v>1.334996634014175E-5</v>
      </c>
      <c r="AL22" s="340">
        <f t="shared" si="7"/>
        <v>0</v>
      </c>
      <c r="AM22" s="340">
        <f t="shared" si="8"/>
        <v>0</v>
      </c>
      <c r="AN22" s="340">
        <v>0.10546174155539714</v>
      </c>
      <c r="AO22" s="340">
        <v>6.4117364620095638E-2</v>
      </c>
      <c r="AP22" s="340">
        <v>4.9940599999999995E-2</v>
      </c>
      <c r="AQ22" s="340">
        <v>6.3428138232627714E-3</v>
      </c>
      <c r="AR22" s="340">
        <v>0</v>
      </c>
      <c r="AS22" s="340">
        <v>2.0014482128533171E-6</v>
      </c>
      <c r="AT22" s="340">
        <v>1.1254575570509154E-5</v>
      </c>
      <c r="AU22" s="340">
        <v>0</v>
      </c>
      <c r="AV22" s="340">
        <v>0</v>
      </c>
      <c r="AW22" s="340">
        <v>0.23771716274271057</v>
      </c>
      <c r="AX22" s="340">
        <v>0.18063794330524335</v>
      </c>
      <c r="AY22" s="340">
        <v>0.159028378</v>
      </c>
      <c r="AZ22" s="340">
        <v>1.0570609757226682E-2</v>
      </c>
      <c r="BA22" s="340">
        <v>0</v>
      </c>
      <c r="BB22" s="340">
        <v>1.0251099059747839E-6</v>
      </c>
      <c r="BC22" s="340">
        <v>5.9795881641585596E-6</v>
      </c>
      <c r="BD22" s="340">
        <v>0</v>
      </c>
      <c r="BE22" s="340">
        <v>0</v>
      </c>
      <c r="BF22" s="340">
        <v>0.24544544650521063</v>
      </c>
      <c r="BG22" s="340">
        <v>0.18803300824274335</v>
      </c>
      <c r="BH22" s="340">
        <v>0.16632084000000003</v>
      </c>
      <c r="BI22" s="340">
        <v>9.6559691581694172E-3</v>
      </c>
      <c r="BJ22" s="340">
        <v>0</v>
      </c>
      <c r="BK22" s="340">
        <v>1.0251099059747839E-6</v>
      </c>
      <c r="BL22" s="340">
        <v>5.9795881641585596E-6</v>
      </c>
      <c r="BM22" s="340">
        <v>0</v>
      </c>
      <c r="BN22" s="340">
        <v>0</v>
      </c>
      <c r="BO22" s="340">
        <f>BF22</f>
        <v>0.24544544650521063</v>
      </c>
      <c r="BP22" s="340">
        <f t="shared" si="30"/>
        <v>0.18803300824274335</v>
      </c>
      <c r="BQ22" s="340">
        <f t="shared" si="31"/>
        <v>0.16632084000000003</v>
      </c>
      <c r="BR22" s="340">
        <f t="shared" ref="BR22:BR23" si="38">BI22</f>
        <v>9.6559691581694172E-3</v>
      </c>
      <c r="BS22" s="340">
        <f t="shared" si="33"/>
        <v>0</v>
      </c>
      <c r="BT22" s="340">
        <f t="shared" si="34"/>
        <v>1.0251099059747839E-6</v>
      </c>
      <c r="BU22" s="340">
        <f t="shared" si="35"/>
        <v>5.9795881641585596E-6</v>
      </c>
      <c r="BV22" s="340">
        <f t="shared" si="36"/>
        <v>0</v>
      </c>
      <c r="BW22" s="340">
        <f t="shared" si="37"/>
        <v>0</v>
      </c>
      <c r="BY22" s="70">
        <f>SUM(AW22:BE22)</f>
        <v>0.58796109850325073</v>
      </c>
      <c r="BZ22" s="70">
        <f>SUM(BO22:BW22)</f>
        <v>0.60946226860419361</v>
      </c>
    </row>
    <row r="23" spans="2:78" x14ac:dyDescent="0.3">
      <c r="B23" s="347" t="s">
        <v>813</v>
      </c>
      <c r="C23" s="318" t="s">
        <v>797</v>
      </c>
      <c r="D23" s="344">
        <v>1.618400000326E-2</v>
      </c>
      <c r="E23" s="344">
        <v>2.3120000001999999E-4</v>
      </c>
      <c r="F23" s="344">
        <v>7.8839200009920001E-4</v>
      </c>
      <c r="G23" s="344">
        <v>1.8338086641478499E-3</v>
      </c>
      <c r="H23" s="345">
        <v>0</v>
      </c>
      <c r="I23" s="345">
        <v>0</v>
      </c>
      <c r="J23" s="345">
        <v>0</v>
      </c>
      <c r="K23" s="345">
        <v>0</v>
      </c>
      <c r="L23" s="345">
        <v>0</v>
      </c>
      <c r="M23" s="345">
        <v>2.0578133335723999E-2</v>
      </c>
      <c r="N23" s="345">
        <v>2.6917333334799899E-4</v>
      </c>
      <c r="O23" s="345">
        <v>9.4681440007274504E-4</v>
      </c>
      <c r="P23" s="345">
        <v>2.3833428665956599E-3</v>
      </c>
      <c r="Q23" s="345">
        <v>0</v>
      </c>
      <c r="R23" s="345">
        <v>0</v>
      </c>
      <c r="S23" s="345">
        <v>0</v>
      </c>
      <c r="T23" s="345">
        <v>0</v>
      </c>
      <c r="U23" s="345">
        <v>0</v>
      </c>
      <c r="V23" s="345">
        <v>2.1638720002390598E-2</v>
      </c>
      <c r="W23" s="345">
        <v>2.7568000001466599E-4</v>
      </c>
      <c r="X23" s="345">
        <v>9.7908746673941102E-4</v>
      </c>
      <c r="Y23" s="345">
        <v>2.4654617865293598E-3</v>
      </c>
      <c r="Z23" s="345">
        <v>0</v>
      </c>
      <c r="AA23" s="345">
        <v>0</v>
      </c>
      <c r="AB23" s="345">
        <v>0</v>
      </c>
      <c r="AC23" s="345">
        <v>0</v>
      </c>
      <c r="AD23" s="345">
        <v>0</v>
      </c>
      <c r="AE23" s="345">
        <f t="shared" si="0"/>
        <v>2.1108426669057299E-2</v>
      </c>
      <c r="AF23" s="345">
        <f t="shared" si="1"/>
        <v>2.7242666668133252E-4</v>
      </c>
      <c r="AG23" s="345">
        <f t="shared" si="2"/>
        <v>9.6295093340607808E-4</v>
      </c>
      <c r="AH23" s="345">
        <f t="shared" si="3"/>
        <v>2.4244023265625097E-3</v>
      </c>
      <c r="AI23" s="345">
        <f t="shared" si="4"/>
        <v>0</v>
      </c>
      <c r="AJ23" s="345">
        <f t="shared" si="5"/>
        <v>0</v>
      </c>
      <c r="AK23" s="345">
        <f t="shared" si="6"/>
        <v>0</v>
      </c>
      <c r="AL23" s="345">
        <f t="shared" si="7"/>
        <v>0</v>
      </c>
      <c r="AM23" s="345">
        <f t="shared" si="8"/>
        <v>0</v>
      </c>
      <c r="AN23" s="344">
        <v>3.6639200000000004E-2</v>
      </c>
      <c r="AO23" s="344">
        <v>3.9800000000000002E-4</v>
      </c>
      <c r="AP23" s="344">
        <v>1.5035000000000005E-3</v>
      </c>
      <c r="AQ23" s="344">
        <v>4.1749899966134884E-3</v>
      </c>
      <c r="AR23" s="345">
        <v>0</v>
      </c>
      <c r="AS23" s="345">
        <v>0</v>
      </c>
      <c r="AT23" s="345">
        <v>0</v>
      </c>
      <c r="AU23" s="345">
        <v>0</v>
      </c>
      <c r="AV23" s="345">
        <v>0</v>
      </c>
      <c r="AW23" s="344">
        <v>6.4310610000000004E-2</v>
      </c>
      <c r="AX23" s="344">
        <v>5.2245000000000004E-4</v>
      </c>
      <c r="AY23" s="344">
        <v>2.243873E-3</v>
      </c>
      <c r="AZ23" s="344">
        <v>7.4917838776294493E-3</v>
      </c>
      <c r="BA23" s="345">
        <v>0</v>
      </c>
      <c r="BB23" s="345">
        <v>0</v>
      </c>
      <c r="BC23" s="345">
        <v>0</v>
      </c>
      <c r="BD23" s="345">
        <v>0</v>
      </c>
      <c r="BE23" s="345">
        <v>0</v>
      </c>
      <c r="BF23" s="344">
        <v>6.5767000000000006E-2</v>
      </c>
      <c r="BG23" s="344">
        <v>5.2899999999999996E-4</v>
      </c>
      <c r="BH23" s="344">
        <v>2.2828400000000004E-3</v>
      </c>
      <c r="BI23" s="344">
        <v>6.8349473039867213E-3</v>
      </c>
      <c r="BJ23" s="345">
        <v>0</v>
      </c>
      <c r="BK23" s="345">
        <v>0</v>
      </c>
      <c r="BL23" s="345">
        <v>0</v>
      </c>
      <c r="BM23" s="345">
        <v>0</v>
      </c>
      <c r="BN23" s="345">
        <v>0</v>
      </c>
      <c r="BO23" s="344">
        <f>BF23</f>
        <v>6.5767000000000006E-2</v>
      </c>
      <c r="BP23" s="344">
        <f t="shared" si="30"/>
        <v>5.2899999999999996E-4</v>
      </c>
      <c r="BQ23" s="344">
        <f t="shared" si="31"/>
        <v>2.2828400000000004E-3</v>
      </c>
      <c r="BR23" s="344">
        <f t="shared" si="38"/>
        <v>6.8349473039867213E-3</v>
      </c>
      <c r="BS23" s="344">
        <f t="shared" si="33"/>
        <v>0</v>
      </c>
      <c r="BT23" s="344">
        <f t="shared" si="34"/>
        <v>0</v>
      </c>
      <c r="BU23" s="344">
        <f t="shared" si="35"/>
        <v>0</v>
      </c>
      <c r="BV23" s="344">
        <f t="shared" si="36"/>
        <v>0</v>
      </c>
      <c r="BW23" s="344">
        <f t="shared" si="37"/>
        <v>0</v>
      </c>
    </row>
    <row r="24" spans="2:78" x14ac:dyDescent="0.3">
      <c r="B24" s="348" t="s">
        <v>814</v>
      </c>
      <c r="C24" s="318" t="s">
        <v>797</v>
      </c>
      <c r="D24" s="344">
        <v>5.1208500000000001E-4</v>
      </c>
      <c r="E24" s="344">
        <v>5.9147500000000005E-4</v>
      </c>
      <c r="F24" s="344">
        <v>5.7078000000000001E-4</v>
      </c>
      <c r="G24" s="344">
        <v>6.96870883948354E-6</v>
      </c>
      <c r="H24" s="345">
        <v>0</v>
      </c>
      <c r="I24" s="345">
        <v>0</v>
      </c>
      <c r="J24" s="345">
        <v>0</v>
      </c>
      <c r="K24" s="345">
        <v>0</v>
      </c>
      <c r="L24" s="345">
        <v>0</v>
      </c>
      <c r="M24" s="345">
        <v>1.15149778833333E-2</v>
      </c>
      <c r="N24" s="345">
        <v>1.19673289166667E-2</v>
      </c>
      <c r="O24" s="345">
        <v>1.04076983333333E-2</v>
      </c>
      <c r="P24" s="345">
        <v>1.6476945804193101E-4</v>
      </c>
      <c r="Q24" s="345">
        <v>0</v>
      </c>
      <c r="R24" s="345">
        <v>0</v>
      </c>
      <c r="S24" s="345">
        <v>0</v>
      </c>
      <c r="T24" s="345">
        <v>0</v>
      </c>
      <c r="U24" s="345">
        <v>0</v>
      </c>
      <c r="V24" s="345">
        <v>1.15149778833333E-2</v>
      </c>
      <c r="W24" s="345">
        <v>1.19673289166667E-2</v>
      </c>
      <c r="X24" s="345">
        <v>1.04076983333333E-2</v>
      </c>
      <c r="Y24" s="345">
        <v>1.61819819305502E-4</v>
      </c>
      <c r="Z24" s="345">
        <v>0</v>
      </c>
      <c r="AA24" s="345">
        <v>0</v>
      </c>
      <c r="AB24" s="345">
        <v>0</v>
      </c>
      <c r="AC24" s="345">
        <v>0</v>
      </c>
      <c r="AD24" s="345">
        <v>0</v>
      </c>
      <c r="AE24" s="345">
        <f t="shared" si="0"/>
        <v>1.15149778833333E-2</v>
      </c>
      <c r="AF24" s="345">
        <f t="shared" si="1"/>
        <v>1.19673289166667E-2</v>
      </c>
      <c r="AG24" s="345">
        <f t="shared" si="2"/>
        <v>1.04076983333333E-2</v>
      </c>
      <c r="AH24" s="345">
        <f t="shared" si="3"/>
        <v>1.6329463867371651E-4</v>
      </c>
      <c r="AI24" s="345">
        <f t="shared" si="4"/>
        <v>0</v>
      </c>
      <c r="AJ24" s="345">
        <f t="shared" si="5"/>
        <v>0</v>
      </c>
      <c r="AK24" s="345">
        <f t="shared" si="6"/>
        <v>0</v>
      </c>
      <c r="AL24" s="345">
        <f t="shared" si="7"/>
        <v>0</v>
      </c>
      <c r="AM24" s="345">
        <f t="shared" si="8"/>
        <v>0</v>
      </c>
      <c r="AN24" s="344">
        <v>6.8368634999999997E-2</v>
      </c>
      <c r="AO24" s="344">
        <v>6.3719325000000007E-2</v>
      </c>
      <c r="AP24" s="344">
        <v>4.8437099999999997E-2</v>
      </c>
      <c r="AQ24" s="344">
        <v>9.8178686861146846E-4</v>
      </c>
      <c r="AR24" s="345">
        <v>0</v>
      </c>
      <c r="AS24" s="345">
        <v>0</v>
      </c>
      <c r="AT24" s="345">
        <v>0</v>
      </c>
      <c r="AU24" s="345">
        <v>0</v>
      </c>
      <c r="AV24" s="345">
        <v>0</v>
      </c>
      <c r="AW24" s="344">
        <v>0.17316330623749998</v>
      </c>
      <c r="AX24" s="344">
        <v>0.1801154850625</v>
      </c>
      <c r="AY24" s="344">
        <v>0.15678450499999999</v>
      </c>
      <c r="AZ24" s="344">
        <v>2.4319572751244616E-3</v>
      </c>
      <c r="BA24" s="345">
        <v>0</v>
      </c>
      <c r="BB24" s="345">
        <v>0</v>
      </c>
      <c r="BC24" s="345">
        <v>0</v>
      </c>
      <c r="BD24" s="345">
        <v>0</v>
      </c>
      <c r="BE24" s="345">
        <v>0</v>
      </c>
      <c r="BF24" s="344">
        <v>0.17943520000000002</v>
      </c>
      <c r="BG24" s="344">
        <v>0.187504</v>
      </c>
      <c r="BH24" s="344">
        <v>0.16403800000000002</v>
      </c>
      <c r="BI24" s="344">
        <v>2.244159574959677E-3</v>
      </c>
      <c r="BJ24" s="345">
        <v>0</v>
      </c>
      <c r="BK24" s="345">
        <v>0</v>
      </c>
      <c r="BL24" s="345">
        <v>0</v>
      </c>
      <c r="BM24" s="345">
        <v>0</v>
      </c>
      <c r="BN24" s="345">
        <v>0</v>
      </c>
      <c r="BO24" s="344">
        <f t="shared" ref="BO24:BO25" si="39">BF24</f>
        <v>0.17943520000000002</v>
      </c>
      <c r="BP24" s="344">
        <f t="shared" ref="BP24:BP27" si="40">BG24</f>
        <v>0.187504</v>
      </c>
      <c r="BQ24" s="344">
        <f t="shared" ref="BQ24:BQ27" si="41">BH24</f>
        <v>0.16403800000000002</v>
      </c>
      <c r="BR24" s="344">
        <f t="shared" ref="BR24:BR27" si="42">BI24</f>
        <v>2.244159574959677E-3</v>
      </c>
      <c r="BS24" s="344">
        <f t="shared" ref="BS24:BS27" si="43">BJ24</f>
        <v>0</v>
      </c>
      <c r="BT24" s="344">
        <f t="shared" ref="BT24:BT27" si="44">BK24</f>
        <v>0</v>
      </c>
      <c r="BU24" s="344">
        <f t="shared" ref="BU24:BU27" si="45">BL24</f>
        <v>0</v>
      </c>
      <c r="BV24" s="344">
        <f t="shared" ref="BV24:BV27" si="46">BM24</f>
        <v>0</v>
      </c>
      <c r="BW24" s="344">
        <f t="shared" ref="BW24:BW27" si="47">BN24</f>
        <v>0</v>
      </c>
    </row>
    <row r="25" spans="2:78" x14ac:dyDescent="0.3">
      <c r="B25" s="348" t="s">
        <v>815</v>
      </c>
      <c r="C25" s="318" t="s">
        <v>797</v>
      </c>
      <c r="D25" s="344">
        <v>4.5390655539714799E-4</v>
      </c>
      <c r="E25" s="344">
        <v>3.9620095641651102E-8</v>
      </c>
      <c r="F25" s="344">
        <v>0</v>
      </c>
      <c r="G25" s="344">
        <v>1.1994905164215701E-3</v>
      </c>
      <c r="H25" s="345">
        <v>0</v>
      </c>
      <c r="I25" s="345">
        <v>3.0046340433633301E-6</v>
      </c>
      <c r="J25" s="345">
        <v>1.3748762325047E-5</v>
      </c>
      <c r="K25" s="345">
        <v>0</v>
      </c>
      <c r="L25" s="345">
        <v>0</v>
      </c>
      <c r="M25" s="345">
        <v>4.5390655539714799E-4</v>
      </c>
      <c r="N25" s="345">
        <v>3.9620095641651102E-8</v>
      </c>
      <c r="O25" s="345">
        <v>0</v>
      </c>
      <c r="P25" s="345">
        <v>1.21873939380808E-3</v>
      </c>
      <c r="Q25" s="345">
        <v>0</v>
      </c>
      <c r="R25" s="345">
        <v>2.95406058339408E-6</v>
      </c>
      <c r="S25" s="345">
        <v>1.3715168076038999E-5</v>
      </c>
      <c r="T25" s="345">
        <v>0</v>
      </c>
      <c r="U25" s="345">
        <v>0</v>
      </c>
      <c r="V25" s="345">
        <v>4.5390655539714799E-4</v>
      </c>
      <c r="W25" s="345">
        <v>3.9620095641651102E-8</v>
      </c>
      <c r="X25" s="345">
        <v>0</v>
      </c>
      <c r="Y25" s="345">
        <v>1.19692199531501E-3</v>
      </c>
      <c r="Z25" s="345">
        <v>0</v>
      </c>
      <c r="AA25" s="345">
        <v>2.67212581110272E-6</v>
      </c>
      <c r="AB25" s="345">
        <v>1.29847646042445E-5</v>
      </c>
      <c r="AC25" s="345">
        <v>0</v>
      </c>
      <c r="AD25" s="345">
        <v>0</v>
      </c>
      <c r="AE25" s="345">
        <f t="shared" si="0"/>
        <v>4.5390655539714799E-4</v>
      </c>
      <c r="AF25" s="345">
        <f t="shared" si="1"/>
        <v>3.9620095641651102E-8</v>
      </c>
      <c r="AG25" s="345">
        <f t="shared" si="2"/>
        <v>0</v>
      </c>
      <c r="AH25" s="345">
        <f t="shared" si="3"/>
        <v>1.207830694561545E-3</v>
      </c>
      <c r="AI25" s="345">
        <f t="shared" si="4"/>
        <v>0</v>
      </c>
      <c r="AJ25" s="345">
        <f t="shared" si="5"/>
        <v>2.8130931972484E-6</v>
      </c>
      <c r="AK25" s="345">
        <f t="shared" si="6"/>
        <v>1.334996634014175E-5</v>
      </c>
      <c r="AL25" s="345">
        <f t="shared" si="7"/>
        <v>0</v>
      </c>
      <c r="AM25" s="345">
        <f t="shared" si="8"/>
        <v>0</v>
      </c>
      <c r="AN25" s="344">
        <v>4.5390655539714756E-4</v>
      </c>
      <c r="AO25" s="344">
        <v>3.9620095641651082E-8</v>
      </c>
      <c r="AP25" s="344">
        <v>0</v>
      </c>
      <c r="AQ25" s="344">
        <v>1.1860369580378141E-3</v>
      </c>
      <c r="AR25" s="345">
        <v>0</v>
      </c>
      <c r="AS25" s="345">
        <v>2.0014482128533171E-6</v>
      </c>
      <c r="AT25" s="345">
        <v>1.1254575570509154E-5</v>
      </c>
      <c r="AU25" s="345">
        <v>0</v>
      </c>
      <c r="AV25" s="345">
        <v>0</v>
      </c>
      <c r="AW25" s="344">
        <v>2.4324650521059221E-4</v>
      </c>
      <c r="AX25" s="344">
        <v>8.2427433628318591E-9</v>
      </c>
      <c r="AY25" s="344">
        <v>0</v>
      </c>
      <c r="AZ25" s="344">
        <v>6.4686860447277206E-4</v>
      </c>
      <c r="BA25" s="345">
        <v>0</v>
      </c>
      <c r="BB25" s="345">
        <v>1.0251099059747839E-6</v>
      </c>
      <c r="BC25" s="345">
        <v>5.9795881641585596E-6</v>
      </c>
      <c r="BD25" s="345">
        <v>0</v>
      </c>
      <c r="BE25" s="345">
        <v>0</v>
      </c>
      <c r="BF25" s="344">
        <v>2.4324650521059221E-4</v>
      </c>
      <c r="BG25" s="344">
        <v>8.2427433628318591E-9</v>
      </c>
      <c r="BH25" s="344">
        <v>0</v>
      </c>
      <c r="BI25" s="344">
        <v>5.7686227922301931E-4</v>
      </c>
      <c r="BJ25" s="345">
        <v>0</v>
      </c>
      <c r="BK25" s="345">
        <v>1.0251099059747839E-6</v>
      </c>
      <c r="BL25" s="345">
        <v>5.9795881641585596E-6</v>
      </c>
      <c r="BM25" s="345">
        <v>0</v>
      </c>
      <c r="BN25" s="345">
        <v>0</v>
      </c>
      <c r="BO25" s="344">
        <f t="shared" si="39"/>
        <v>2.4324650521059221E-4</v>
      </c>
      <c r="BP25" s="344">
        <f t="shared" si="40"/>
        <v>8.2427433628318591E-9</v>
      </c>
      <c r="BQ25" s="344">
        <f t="shared" si="41"/>
        <v>0</v>
      </c>
      <c r="BR25" s="344">
        <f t="shared" si="42"/>
        <v>5.7686227922301931E-4</v>
      </c>
      <c r="BS25" s="344">
        <f t="shared" si="43"/>
        <v>0</v>
      </c>
      <c r="BT25" s="344">
        <f t="shared" si="44"/>
        <v>1.0251099059747839E-6</v>
      </c>
      <c r="BU25" s="344">
        <f t="shared" si="45"/>
        <v>5.9795881641585596E-6</v>
      </c>
      <c r="BV25" s="344">
        <f t="shared" si="46"/>
        <v>0</v>
      </c>
      <c r="BW25" s="344">
        <f t="shared" si="47"/>
        <v>0</v>
      </c>
    </row>
    <row r="26" spans="2:78" x14ac:dyDescent="0.3">
      <c r="B26" s="349" t="s">
        <v>816</v>
      </c>
      <c r="C26" s="318" t="s">
        <v>797</v>
      </c>
      <c r="D26" s="350">
        <v>0</v>
      </c>
      <c r="E26" s="350">
        <v>0</v>
      </c>
      <c r="F26" s="350">
        <v>0</v>
      </c>
      <c r="G26" s="350">
        <v>0</v>
      </c>
      <c r="H26" s="350">
        <v>1.2422142857142899</v>
      </c>
      <c r="I26" s="350">
        <v>0.25816612540944101</v>
      </c>
      <c r="J26" s="350">
        <v>0.23583999999999999</v>
      </c>
      <c r="K26" s="350">
        <v>0</v>
      </c>
      <c r="L26" s="350">
        <v>0</v>
      </c>
      <c r="M26" s="350">
        <v>0</v>
      </c>
      <c r="N26" s="350">
        <v>0</v>
      </c>
      <c r="O26" s="350">
        <v>0</v>
      </c>
      <c r="P26" s="350">
        <v>0</v>
      </c>
      <c r="Q26" s="350">
        <v>1.2077769026335301</v>
      </c>
      <c r="R26" s="350">
        <v>0.26028434824082203</v>
      </c>
      <c r="S26" s="350">
        <v>0.23808143360739101</v>
      </c>
      <c r="T26" s="350">
        <v>0</v>
      </c>
      <c r="U26" s="350">
        <v>0</v>
      </c>
      <c r="V26" s="350">
        <v>0</v>
      </c>
      <c r="W26" s="350">
        <v>0</v>
      </c>
      <c r="X26" s="350">
        <v>0</v>
      </c>
      <c r="Y26" s="350">
        <v>0</v>
      </c>
      <c r="Z26" s="350">
        <v>1.1495481080760901</v>
      </c>
      <c r="AA26" s="350">
        <v>0.25996006615321698</v>
      </c>
      <c r="AB26" s="350">
        <v>0.23788140253361501</v>
      </c>
      <c r="AC26" s="350">
        <v>0</v>
      </c>
      <c r="AD26" s="350">
        <v>0</v>
      </c>
      <c r="AE26" s="350">
        <f t="shared" si="0"/>
        <v>0</v>
      </c>
      <c r="AF26" s="350">
        <f t="shared" si="1"/>
        <v>0</v>
      </c>
      <c r="AG26" s="350">
        <f t="shared" si="2"/>
        <v>0</v>
      </c>
      <c r="AH26" s="350">
        <f t="shared" si="3"/>
        <v>0</v>
      </c>
      <c r="AI26" s="350">
        <f t="shared" si="4"/>
        <v>1.1786625053548101</v>
      </c>
      <c r="AJ26" s="350">
        <f t="shared" si="5"/>
        <v>0.26012220719701951</v>
      </c>
      <c r="AK26" s="350">
        <f t="shared" si="6"/>
        <v>0.23798141807050299</v>
      </c>
      <c r="AL26" s="350">
        <f t="shared" si="7"/>
        <v>0</v>
      </c>
      <c r="AM26" s="350">
        <f t="shared" si="8"/>
        <v>0</v>
      </c>
      <c r="AN26" s="350">
        <v>0</v>
      </c>
      <c r="AO26" s="350">
        <v>0</v>
      </c>
      <c r="AP26" s="350">
        <v>0</v>
      </c>
      <c r="AQ26" s="350">
        <v>0</v>
      </c>
      <c r="AR26" s="350">
        <v>0.96383509852685711</v>
      </c>
      <c r="AS26" s="350">
        <v>0.26379931439510096</v>
      </c>
      <c r="AT26" s="350">
        <v>0.24230869816968756</v>
      </c>
      <c r="AU26" s="350">
        <v>0</v>
      </c>
      <c r="AV26" s="350">
        <v>0</v>
      </c>
      <c r="AW26" s="350">
        <v>0</v>
      </c>
      <c r="AX26" s="350">
        <v>0</v>
      </c>
      <c r="AY26" s="350">
        <v>0</v>
      </c>
      <c r="AZ26" s="350">
        <v>0</v>
      </c>
      <c r="BA26" s="350">
        <v>0.61871705708170288</v>
      </c>
      <c r="BB26" s="350">
        <v>0.2650479830833557</v>
      </c>
      <c r="BC26" s="350">
        <v>0.24632615806935426</v>
      </c>
      <c r="BD26" s="350">
        <v>0</v>
      </c>
      <c r="BE26" s="350">
        <v>0</v>
      </c>
      <c r="BF26" s="350">
        <v>0</v>
      </c>
      <c r="BG26" s="350">
        <v>0</v>
      </c>
      <c r="BH26" s="350">
        <v>0</v>
      </c>
      <c r="BI26" s="350">
        <v>0</v>
      </c>
      <c r="BJ26" s="350">
        <v>0.5998304305424571</v>
      </c>
      <c r="BK26" s="350">
        <v>0.26509375069942365</v>
      </c>
      <c r="BL26" s="350">
        <v>0.24652555127578307</v>
      </c>
      <c r="BM26" s="350">
        <v>0</v>
      </c>
      <c r="BN26" s="350">
        <v>0</v>
      </c>
      <c r="BO26" s="350">
        <f>BF26</f>
        <v>0</v>
      </c>
      <c r="BP26" s="350">
        <f t="shared" si="40"/>
        <v>0</v>
      </c>
      <c r="BQ26" s="350">
        <f t="shared" si="41"/>
        <v>0</v>
      </c>
      <c r="BR26" s="350">
        <f t="shared" si="42"/>
        <v>0</v>
      </c>
      <c r="BS26" s="350">
        <f t="shared" si="43"/>
        <v>0.5998304305424571</v>
      </c>
      <c r="BT26" s="350">
        <f t="shared" si="44"/>
        <v>0.26509375069942365</v>
      </c>
      <c r="BU26" s="350">
        <f t="shared" si="45"/>
        <v>0.24652555127578307</v>
      </c>
      <c r="BV26" s="350">
        <f t="shared" si="46"/>
        <v>0</v>
      </c>
      <c r="BW26" s="350">
        <f t="shared" si="47"/>
        <v>0</v>
      </c>
      <c r="BY26" s="70">
        <f>SUM(AW26:BE26)</f>
        <v>1.1300911982344128</v>
      </c>
      <c r="BZ26" s="70">
        <f>SUM(BO26:BW26)</f>
        <v>1.1114497325176638</v>
      </c>
    </row>
    <row r="27" spans="2:78" x14ac:dyDescent="0.3">
      <c r="B27" s="352" t="s">
        <v>817</v>
      </c>
      <c r="C27" s="318" t="s">
        <v>797</v>
      </c>
      <c r="D27" s="353">
        <v>0</v>
      </c>
      <c r="E27" s="353">
        <v>0</v>
      </c>
      <c r="F27" s="353">
        <v>0</v>
      </c>
      <c r="G27" s="353">
        <v>0</v>
      </c>
      <c r="H27" s="354">
        <v>1.2422142857142899</v>
      </c>
      <c r="I27" s="354">
        <v>0</v>
      </c>
      <c r="J27" s="354">
        <v>0</v>
      </c>
      <c r="K27" s="354">
        <v>0</v>
      </c>
      <c r="L27" s="354">
        <v>0</v>
      </c>
      <c r="M27" s="354">
        <v>0</v>
      </c>
      <c r="N27" s="354">
        <v>0</v>
      </c>
      <c r="O27" s="354">
        <v>0</v>
      </c>
      <c r="P27" s="354">
        <v>0</v>
      </c>
      <c r="Q27" s="354">
        <v>1.2077769026335301</v>
      </c>
      <c r="R27" s="354">
        <v>0</v>
      </c>
      <c r="S27" s="354">
        <v>0</v>
      </c>
      <c r="T27" s="354">
        <v>0</v>
      </c>
      <c r="U27" s="354">
        <v>0</v>
      </c>
      <c r="V27" s="354">
        <v>0</v>
      </c>
      <c r="W27" s="354">
        <v>0</v>
      </c>
      <c r="X27" s="354">
        <v>0</v>
      </c>
      <c r="Y27" s="354">
        <v>0</v>
      </c>
      <c r="Z27" s="354">
        <v>1.1495481080760901</v>
      </c>
      <c r="AA27" s="354">
        <v>0</v>
      </c>
      <c r="AB27" s="354">
        <v>0</v>
      </c>
      <c r="AC27" s="354">
        <v>0</v>
      </c>
      <c r="AD27" s="354">
        <v>0</v>
      </c>
      <c r="AE27" s="354">
        <f t="shared" si="0"/>
        <v>0</v>
      </c>
      <c r="AF27" s="354">
        <f t="shared" si="1"/>
        <v>0</v>
      </c>
      <c r="AG27" s="354">
        <f t="shared" si="2"/>
        <v>0</v>
      </c>
      <c r="AH27" s="354">
        <f t="shared" si="3"/>
        <v>0</v>
      </c>
      <c r="AI27" s="354">
        <f t="shared" si="4"/>
        <v>1.1786625053548101</v>
      </c>
      <c r="AJ27" s="354">
        <f t="shared" si="5"/>
        <v>0</v>
      </c>
      <c r="AK27" s="354">
        <f t="shared" si="6"/>
        <v>0</v>
      </c>
      <c r="AL27" s="354">
        <f t="shared" si="7"/>
        <v>0</v>
      </c>
      <c r="AM27" s="354">
        <f t="shared" si="8"/>
        <v>0</v>
      </c>
      <c r="AN27" s="353">
        <v>0</v>
      </c>
      <c r="AO27" s="353">
        <v>0</v>
      </c>
      <c r="AP27" s="353">
        <v>0</v>
      </c>
      <c r="AQ27" s="353">
        <v>0</v>
      </c>
      <c r="AR27" s="354">
        <v>0.96383509852685711</v>
      </c>
      <c r="AS27" s="354">
        <v>0</v>
      </c>
      <c r="AT27" s="354">
        <v>0</v>
      </c>
      <c r="AU27" s="354">
        <v>0</v>
      </c>
      <c r="AV27" s="354">
        <v>0</v>
      </c>
      <c r="AW27" s="353">
        <v>0</v>
      </c>
      <c r="AX27" s="353">
        <v>0</v>
      </c>
      <c r="AY27" s="353">
        <v>0</v>
      </c>
      <c r="AZ27" s="353">
        <v>0</v>
      </c>
      <c r="BA27" s="354">
        <v>0.61871705708170288</v>
      </c>
      <c r="BB27" s="354">
        <v>0</v>
      </c>
      <c r="BC27" s="354">
        <v>0</v>
      </c>
      <c r="BD27" s="354">
        <v>0</v>
      </c>
      <c r="BE27" s="354">
        <v>0</v>
      </c>
      <c r="BF27" s="353">
        <v>0</v>
      </c>
      <c r="BG27" s="353">
        <v>0</v>
      </c>
      <c r="BH27" s="353">
        <v>0</v>
      </c>
      <c r="BI27" s="353">
        <v>0</v>
      </c>
      <c r="BJ27" s="354">
        <v>0.5998304305424571</v>
      </c>
      <c r="BK27" s="354">
        <v>0</v>
      </c>
      <c r="BL27" s="354">
        <v>0</v>
      </c>
      <c r="BM27" s="354">
        <v>0</v>
      </c>
      <c r="BN27" s="354">
        <v>0</v>
      </c>
      <c r="BO27" s="353">
        <f>BF27</f>
        <v>0</v>
      </c>
      <c r="BP27" s="353">
        <f t="shared" si="40"/>
        <v>0</v>
      </c>
      <c r="BQ27" s="353">
        <f t="shared" si="41"/>
        <v>0</v>
      </c>
      <c r="BR27" s="353">
        <f t="shared" si="42"/>
        <v>0</v>
      </c>
      <c r="BS27" s="353">
        <f t="shared" si="43"/>
        <v>0.5998304305424571</v>
      </c>
      <c r="BT27" s="353">
        <f t="shared" si="44"/>
        <v>0</v>
      </c>
      <c r="BU27" s="353">
        <f t="shared" si="45"/>
        <v>0</v>
      </c>
      <c r="BV27" s="353">
        <f t="shared" si="46"/>
        <v>0</v>
      </c>
      <c r="BW27" s="353">
        <f t="shared" si="47"/>
        <v>0</v>
      </c>
    </row>
    <row r="28" spans="2:78" x14ac:dyDescent="0.3">
      <c r="B28" s="352" t="s">
        <v>818</v>
      </c>
      <c r="C28" s="318" t="s">
        <v>797</v>
      </c>
      <c r="D28" s="353">
        <v>0</v>
      </c>
      <c r="E28" s="353">
        <v>0</v>
      </c>
      <c r="F28" s="353">
        <v>0</v>
      </c>
      <c r="G28" s="353">
        <v>0</v>
      </c>
      <c r="H28" s="354">
        <v>0</v>
      </c>
      <c r="I28" s="354">
        <v>0</v>
      </c>
      <c r="J28" s="354">
        <v>0</v>
      </c>
      <c r="K28" s="354">
        <v>0</v>
      </c>
      <c r="L28" s="354">
        <v>0</v>
      </c>
      <c r="M28" s="354">
        <v>0</v>
      </c>
      <c r="N28" s="354">
        <v>0</v>
      </c>
      <c r="O28" s="354">
        <v>0</v>
      </c>
      <c r="P28" s="354">
        <v>0</v>
      </c>
      <c r="Q28" s="354">
        <v>0</v>
      </c>
      <c r="R28" s="354">
        <v>0</v>
      </c>
      <c r="S28" s="354">
        <v>0</v>
      </c>
      <c r="T28" s="354">
        <v>0</v>
      </c>
      <c r="U28" s="354">
        <v>0</v>
      </c>
      <c r="V28" s="354">
        <v>0</v>
      </c>
      <c r="W28" s="354">
        <v>0</v>
      </c>
      <c r="X28" s="354">
        <v>0</v>
      </c>
      <c r="Y28" s="354">
        <v>0</v>
      </c>
      <c r="Z28" s="354">
        <v>0</v>
      </c>
      <c r="AA28" s="354">
        <v>0</v>
      </c>
      <c r="AB28" s="354">
        <v>0</v>
      </c>
      <c r="AC28" s="354">
        <v>0</v>
      </c>
      <c r="AD28" s="354">
        <v>0</v>
      </c>
      <c r="AE28" s="354">
        <f t="shared" si="0"/>
        <v>0</v>
      </c>
      <c r="AF28" s="354">
        <f t="shared" si="1"/>
        <v>0</v>
      </c>
      <c r="AG28" s="354">
        <f t="shared" si="2"/>
        <v>0</v>
      </c>
      <c r="AH28" s="354">
        <f t="shared" si="3"/>
        <v>0</v>
      </c>
      <c r="AI28" s="354">
        <f t="shared" si="4"/>
        <v>0</v>
      </c>
      <c r="AJ28" s="354">
        <f t="shared" si="5"/>
        <v>0</v>
      </c>
      <c r="AK28" s="354">
        <f t="shared" si="6"/>
        <v>0</v>
      </c>
      <c r="AL28" s="354">
        <f t="shared" si="7"/>
        <v>0</v>
      </c>
      <c r="AM28" s="354">
        <f t="shared" si="8"/>
        <v>0</v>
      </c>
      <c r="AN28" s="353">
        <v>0</v>
      </c>
      <c r="AO28" s="353">
        <v>0</v>
      </c>
      <c r="AP28" s="353">
        <v>0</v>
      </c>
      <c r="AQ28" s="353">
        <v>0</v>
      </c>
      <c r="AR28" s="354">
        <v>0</v>
      </c>
      <c r="AS28" s="354">
        <v>0</v>
      </c>
      <c r="AT28" s="354">
        <v>0</v>
      </c>
      <c r="AU28" s="354">
        <v>0</v>
      </c>
      <c r="AV28" s="354">
        <v>0</v>
      </c>
      <c r="AW28" s="353">
        <v>0</v>
      </c>
      <c r="AX28" s="353">
        <v>0</v>
      </c>
      <c r="AY28" s="353">
        <v>0</v>
      </c>
      <c r="AZ28" s="353">
        <v>0</v>
      </c>
      <c r="BA28" s="354">
        <v>0</v>
      </c>
      <c r="BB28" s="354">
        <v>0</v>
      </c>
      <c r="BC28" s="354">
        <v>0</v>
      </c>
      <c r="BD28" s="354">
        <v>0</v>
      </c>
      <c r="BE28" s="354">
        <v>0</v>
      </c>
      <c r="BF28" s="353">
        <v>0</v>
      </c>
      <c r="BG28" s="353">
        <v>0</v>
      </c>
      <c r="BH28" s="353">
        <v>0</v>
      </c>
      <c r="BI28" s="353">
        <v>0</v>
      </c>
      <c r="BJ28" s="354">
        <v>0</v>
      </c>
      <c r="BK28" s="354">
        <v>0</v>
      </c>
      <c r="BL28" s="354">
        <v>0</v>
      </c>
      <c r="BM28" s="354">
        <v>0</v>
      </c>
      <c r="BN28" s="354">
        <v>0</v>
      </c>
      <c r="BO28" s="353">
        <f t="shared" ref="BO28:BO32" si="48">BF28</f>
        <v>0</v>
      </c>
      <c r="BP28" s="353">
        <f t="shared" ref="BP28:BP34" si="49">BG28</f>
        <v>0</v>
      </c>
      <c r="BQ28" s="353">
        <f t="shared" ref="BQ28:BQ34" si="50">BH28</f>
        <v>0</v>
      </c>
      <c r="BR28" s="353">
        <f t="shared" ref="BR28:BR34" si="51">BI28</f>
        <v>0</v>
      </c>
      <c r="BS28" s="353">
        <f t="shared" ref="BS28:BS34" si="52">BJ28</f>
        <v>0</v>
      </c>
      <c r="BT28" s="353">
        <f t="shared" ref="BT28:BT34" si="53">BK28</f>
        <v>0</v>
      </c>
      <c r="BU28" s="353">
        <f t="shared" ref="BU28:BU34" si="54">BL28</f>
        <v>0</v>
      </c>
      <c r="BV28" s="353">
        <f t="shared" ref="BV28:BV34" si="55">BM28</f>
        <v>0</v>
      </c>
      <c r="BW28" s="353">
        <f t="shared" ref="BW28:BW34" si="56">BN28</f>
        <v>0</v>
      </c>
    </row>
    <row r="29" spans="2:78" x14ac:dyDescent="0.3">
      <c r="B29" s="356" t="s">
        <v>819</v>
      </c>
      <c r="C29" s="318" t="s">
        <v>797</v>
      </c>
      <c r="D29" s="353">
        <v>0</v>
      </c>
      <c r="E29" s="353">
        <v>0</v>
      </c>
      <c r="F29" s="353">
        <v>0</v>
      </c>
      <c r="G29" s="353">
        <v>0</v>
      </c>
      <c r="H29" s="354">
        <v>0</v>
      </c>
      <c r="I29" s="354">
        <v>2.9869846476024298E-2</v>
      </c>
      <c r="J29" s="354">
        <v>1.8425E-2</v>
      </c>
      <c r="K29" s="354">
        <v>0</v>
      </c>
      <c r="L29" s="354">
        <v>0</v>
      </c>
      <c r="M29" s="354">
        <v>0</v>
      </c>
      <c r="N29" s="354">
        <v>0</v>
      </c>
      <c r="O29" s="354">
        <v>0</v>
      </c>
      <c r="P29" s="354">
        <v>0</v>
      </c>
      <c r="Q29" s="354">
        <v>0</v>
      </c>
      <c r="R29" s="354">
        <v>2.9262424051644899E-2</v>
      </c>
      <c r="S29" s="354">
        <v>1.8050315845591199E-2</v>
      </c>
      <c r="T29" s="354">
        <v>0</v>
      </c>
      <c r="U29" s="354">
        <v>0</v>
      </c>
      <c r="V29" s="354">
        <v>0</v>
      </c>
      <c r="W29" s="354">
        <v>0</v>
      </c>
      <c r="X29" s="354">
        <v>0</v>
      </c>
      <c r="Y29" s="354">
        <v>0</v>
      </c>
      <c r="Z29" s="354">
        <v>0</v>
      </c>
      <c r="AA29" s="354">
        <v>2.89381419640398E-2</v>
      </c>
      <c r="AB29" s="354">
        <v>1.7850284771815099E-2</v>
      </c>
      <c r="AC29" s="354">
        <v>0</v>
      </c>
      <c r="AD29" s="354">
        <v>0</v>
      </c>
      <c r="AE29" s="354">
        <f t="shared" si="0"/>
        <v>0</v>
      </c>
      <c r="AF29" s="354">
        <f t="shared" si="1"/>
        <v>0</v>
      </c>
      <c r="AG29" s="354">
        <f t="shared" si="2"/>
        <v>0</v>
      </c>
      <c r="AH29" s="354">
        <f t="shared" si="3"/>
        <v>0</v>
      </c>
      <c r="AI29" s="354">
        <f t="shared" si="4"/>
        <v>0</v>
      </c>
      <c r="AJ29" s="354">
        <f t="shared" si="5"/>
        <v>2.9100283007842349E-2</v>
      </c>
      <c r="AK29" s="354">
        <f t="shared" si="6"/>
        <v>1.7950300308703149E-2</v>
      </c>
      <c r="AL29" s="354">
        <f t="shared" si="7"/>
        <v>0</v>
      </c>
      <c r="AM29" s="354">
        <f t="shared" si="8"/>
        <v>0</v>
      </c>
      <c r="AN29" s="353">
        <v>0</v>
      </c>
      <c r="AO29" s="353">
        <v>0</v>
      </c>
      <c r="AP29" s="353">
        <v>0</v>
      </c>
      <c r="AQ29" s="353">
        <v>0</v>
      </c>
      <c r="AR29" s="354">
        <v>0</v>
      </c>
      <c r="AS29" s="354">
        <v>2.6778595750150319E-2</v>
      </c>
      <c r="AT29" s="354">
        <v>1.6518184219411872E-2</v>
      </c>
      <c r="AU29" s="354">
        <v>0</v>
      </c>
      <c r="AV29" s="354">
        <v>0</v>
      </c>
      <c r="AW29" s="353">
        <v>0</v>
      </c>
      <c r="AX29" s="353">
        <v>0</v>
      </c>
      <c r="AY29" s="353">
        <v>0</v>
      </c>
      <c r="AZ29" s="353">
        <v>0</v>
      </c>
      <c r="BA29" s="354">
        <v>0</v>
      </c>
      <c r="BB29" s="354">
        <v>1.860227945093185E-2</v>
      </c>
      <c r="BC29" s="354">
        <v>1.1474682307407677E-2</v>
      </c>
      <c r="BD29" s="354">
        <v>0</v>
      </c>
      <c r="BE29" s="354">
        <v>0</v>
      </c>
      <c r="BF29" s="353">
        <v>0</v>
      </c>
      <c r="BG29" s="353">
        <v>0</v>
      </c>
      <c r="BH29" s="353">
        <v>0</v>
      </c>
      <c r="BI29" s="353">
        <v>0</v>
      </c>
      <c r="BJ29" s="354">
        <v>0</v>
      </c>
      <c r="BK29" s="354">
        <v>1.8151750196900612E-2</v>
      </c>
      <c r="BL29" s="354">
        <v>1.1196776576884804E-2</v>
      </c>
      <c r="BM29" s="354">
        <v>0</v>
      </c>
      <c r="BN29" s="354">
        <v>0</v>
      </c>
      <c r="BO29" s="353">
        <f t="shared" si="48"/>
        <v>0</v>
      </c>
      <c r="BP29" s="353">
        <f t="shared" si="49"/>
        <v>0</v>
      </c>
      <c r="BQ29" s="353">
        <f t="shared" si="50"/>
        <v>0</v>
      </c>
      <c r="BR29" s="353">
        <f t="shared" si="51"/>
        <v>0</v>
      </c>
      <c r="BS29" s="353">
        <f t="shared" si="52"/>
        <v>0</v>
      </c>
      <c r="BT29" s="353">
        <f t="shared" si="53"/>
        <v>1.8151750196900612E-2</v>
      </c>
      <c r="BU29" s="353">
        <f t="shared" si="54"/>
        <v>1.1196776576884804E-2</v>
      </c>
      <c r="BV29" s="353">
        <f t="shared" si="55"/>
        <v>0</v>
      </c>
      <c r="BW29" s="353">
        <f t="shared" si="56"/>
        <v>0</v>
      </c>
    </row>
    <row r="30" spans="2:78" x14ac:dyDescent="0.3">
      <c r="B30" s="356" t="s">
        <v>820</v>
      </c>
      <c r="C30" s="318" t="s">
        <v>797</v>
      </c>
      <c r="D30" s="353">
        <v>0</v>
      </c>
      <c r="E30" s="353">
        <v>0</v>
      </c>
      <c r="F30" s="353">
        <v>0</v>
      </c>
      <c r="G30" s="353">
        <v>0</v>
      </c>
      <c r="H30" s="354">
        <v>0</v>
      </c>
      <c r="I30" s="354">
        <v>0.168556585981368</v>
      </c>
      <c r="J30" s="354">
        <v>8.1070000000000003E-2</v>
      </c>
      <c r="K30" s="354">
        <v>0</v>
      </c>
      <c r="L30" s="354">
        <v>0</v>
      </c>
      <c r="M30" s="354">
        <v>0</v>
      </c>
      <c r="N30" s="354">
        <v>0</v>
      </c>
      <c r="O30" s="354">
        <v>0</v>
      </c>
      <c r="P30" s="354">
        <v>0</v>
      </c>
      <c r="Q30" s="354">
        <v>0</v>
      </c>
      <c r="R30" s="354">
        <v>0.17056653922803799</v>
      </c>
      <c r="S30" s="354">
        <v>8.2036719329053806E-2</v>
      </c>
      <c r="T30" s="354">
        <v>0</v>
      </c>
      <c r="U30" s="354">
        <v>0</v>
      </c>
      <c r="V30" s="354">
        <v>0</v>
      </c>
      <c r="W30" s="354">
        <v>0</v>
      </c>
      <c r="X30" s="354">
        <v>0</v>
      </c>
      <c r="Y30" s="354">
        <v>0</v>
      </c>
      <c r="Z30" s="354">
        <v>0</v>
      </c>
      <c r="AA30" s="354">
        <v>0.17056653922803799</v>
      </c>
      <c r="AB30" s="354">
        <v>8.2036719329053806E-2</v>
      </c>
      <c r="AC30" s="354">
        <v>0</v>
      </c>
      <c r="AD30" s="354">
        <v>0</v>
      </c>
      <c r="AE30" s="354">
        <f t="shared" si="0"/>
        <v>0</v>
      </c>
      <c r="AF30" s="354">
        <f t="shared" si="1"/>
        <v>0</v>
      </c>
      <c r="AG30" s="354">
        <f t="shared" si="2"/>
        <v>0</v>
      </c>
      <c r="AH30" s="354">
        <f t="shared" si="3"/>
        <v>0</v>
      </c>
      <c r="AI30" s="354">
        <f t="shared" si="4"/>
        <v>0</v>
      </c>
      <c r="AJ30" s="354">
        <f t="shared" si="5"/>
        <v>0.17056653922803799</v>
      </c>
      <c r="AK30" s="354">
        <f t="shared" si="6"/>
        <v>8.2036719329053806E-2</v>
      </c>
      <c r="AL30" s="354">
        <f t="shared" si="7"/>
        <v>0</v>
      </c>
      <c r="AM30" s="354">
        <f t="shared" si="8"/>
        <v>0</v>
      </c>
      <c r="AN30" s="353">
        <v>0</v>
      </c>
      <c r="AO30" s="353">
        <v>0</v>
      </c>
      <c r="AP30" s="353">
        <v>0</v>
      </c>
      <c r="AQ30" s="353">
        <v>0</v>
      </c>
      <c r="AR30" s="354">
        <v>0</v>
      </c>
      <c r="AS30" s="354">
        <v>0.17498998798454954</v>
      </c>
      <c r="AT30" s="354">
        <v>8.4164248126593871E-2</v>
      </c>
      <c r="AU30" s="354">
        <v>0</v>
      </c>
      <c r="AV30" s="354">
        <v>0</v>
      </c>
      <c r="AW30" s="353">
        <v>0</v>
      </c>
      <c r="AX30" s="353">
        <v>0</v>
      </c>
      <c r="AY30" s="353">
        <v>0</v>
      </c>
      <c r="AZ30" s="353">
        <v>0</v>
      </c>
      <c r="BA30" s="354">
        <v>0</v>
      </c>
      <c r="BB30" s="354">
        <v>0.18193841566923463</v>
      </c>
      <c r="BC30" s="354">
        <v>8.7506206135043854E-2</v>
      </c>
      <c r="BD30" s="354">
        <v>0</v>
      </c>
      <c r="BE30" s="354">
        <v>0</v>
      </c>
      <c r="BF30" s="353">
        <v>0</v>
      </c>
      <c r="BG30" s="353">
        <v>0</v>
      </c>
      <c r="BH30" s="353">
        <v>0</v>
      </c>
      <c r="BI30" s="353">
        <v>0</v>
      </c>
      <c r="BJ30" s="354">
        <v>0</v>
      </c>
      <c r="BK30" s="354">
        <v>0.18230428247662331</v>
      </c>
      <c r="BL30" s="354">
        <v>8.7682175658289174E-2</v>
      </c>
      <c r="BM30" s="354">
        <v>0</v>
      </c>
      <c r="BN30" s="354">
        <v>0</v>
      </c>
      <c r="BO30" s="353">
        <f t="shared" si="48"/>
        <v>0</v>
      </c>
      <c r="BP30" s="353">
        <f t="shared" si="49"/>
        <v>0</v>
      </c>
      <c r="BQ30" s="353">
        <f t="shared" si="50"/>
        <v>0</v>
      </c>
      <c r="BR30" s="353">
        <f t="shared" si="51"/>
        <v>0</v>
      </c>
      <c r="BS30" s="353">
        <f t="shared" si="52"/>
        <v>0</v>
      </c>
      <c r="BT30" s="353">
        <f t="shared" si="53"/>
        <v>0.18230428247662331</v>
      </c>
      <c r="BU30" s="353">
        <f t="shared" si="54"/>
        <v>8.7682175658289174E-2</v>
      </c>
      <c r="BV30" s="353">
        <f t="shared" si="55"/>
        <v>0</v>
      </c>
      <c r="BW30" s="353">
        <f t="shared" si="56"/>
        <v>0</v>
      </c>
    </row>
    <row r="31" spans="2:78" x14ac:dyDescent="0.3">
      <c r="B31" s="356" t="s">
        <v>821</v>
      </c>
      <c r="C31" s="318" t="s">
        <v>797</v>
      </c>
      <c r="D31" s="353">
        <v>0</v>
      </c>
      <c r="E31" s="353">
        <v>0</v>
      </c>
      <c r="F31" s="353">
        <v>0</v>
      </c>
      <c r="G31" s="353">
        <v>0</v>
      </c>
      <c r="H31" s="354">
        <v>0</v>
      </c>
      <c r="I31" s="354">
        <v>2.9869846476024298E-2</v>
      </c>
      <c r="J31" s="354">
        <v>9.9495E-2</v>
      </c>
      <c r="K31" s="354">
        <v>0</v>
      </c>
      <c r="L31" s="354">
        <v>0</v>
      </c>
      <c r="M31" s="354">
        <v>0</v>
      </c>
      <c r="N31" s="354">
        <v>0</v>
      </c>
      <c r="O31" s="354">
        <v>0</v>
      </c>
      <c r="P31" s="354">
        <v>0</v>
      </c>
      <c r="Q31" s="354">
        <v>0</v>
      </c>
      <c r="R31" s="354">
        <v>3.0235303055622199E-2</v>
      </c>
      <c r="S31" s="354">
        <v>0.10071231802057599</v>
      </c>
      <c r="T31" s="354">
        <v>0</v>
      </c>
      <c r="U31" s="354">
        <v>0</v>
      </c>
      <c r="V31" s="354">
        <v>0</v>
      </c>
      <c r="W31" s="354">
        <v>0</v>
      </c>
      <c r="X31" s="354">
        <v>0</v>
      </c>
      <c r="Y31" s="354">
        <v>0</v>
      </c>
      <c r="Z31" s="354">
        <v>0</v>
      </c>
      <c r="AA31" s="354">
        <v>3.0235303055622199E-2</v>
      </c>
      <c r="AB31" s="354">
        <v>0.10071231802057599</v>
      </c>
      <c r="AC31" s="354">
        <v>0</v>
      </c>
      <c r="AD31" s="354">
        <v>0</v>
      </c>
      <c r="AE31" s="354">
        <f t="shared" si="0"/>
        <v>0</v>
      </c>
      <c r="AF31" s="354">
        <f t="shared" si="1"/>
        <v>0</v>
      </c>
      <c r="AG31" s="354">
        <f t="shared" si="2"/>
        <v>0</v>
      </c>
      <c r="AH31" s="354">
        <f t="shared" si="3"/>
        <v>0</v>
      </c>
      <c r="AI31" s="354">
        <f t="shared" si="4"/>
        <v>0</v>
      </c>
      <c r="AJ31" s="354">
        <f t="shared" si="5"/>
        <v>3.0235303055622199E-2</v>
      </c>
      <c r="AK31" s="354">
        <f t="shared" si="6"/>
        <v>0.10071231802057599</v>
      </c>
      <c r="AL31" s="354">
        <f t="shared" si="7"/>
        <v>0</v>
      </c>
      <c r="AM31" s="354">
        <f t="shared" si="8"/>
        <v>0</v>
      </c>
      <c r="AN31" s="353">
        <v>0</v>
      </c>
      <c r="AO31" s="353">
        <v>0</v>
      </c>
      <c r="AP31" s="353">
        <v>0</v>
      </c>
      <c r="AQ31" s="353">
        <v>0</v>
      </c>
      <c r="AR31" s="354">
        <v>0</v>
      </c>
      <c r="AS31" s="354">
        <v>3.1040344676992595E-2</v>
      </c>
      <c r="AT31" s="354">
        <v>0.10339387234937147</v>
      </c>
      <c r="AU31" s="354">
        <v>0</v>
      </c>
      <c r="AV31" s="354">
        <v>0</v>
      </c>
      <c r="AW31" s="353">
        <v>0</v>
      </c>
      <c r="AX31" s="353">
        <v>0</v>
      </c>
      <c r="AY31" s="353">
        <v>0</v>
      </c>
      <c r="AZ31" s="353">
        <v>0</v>
      </c>
      <c r="BA31" s="354">
        <v>0</v>
      </c>
      <c r="BB31" s="354">
        <v>3.2310432137927454E-2</v>
      </c>
      <c r="BC31" s="354">
        <v>0.10762447166052447</v>
      </c>
      <c r="BD31" s="354">
        <v>0</v>
      </c>
      <c r="BE31" s="354">
        <v>0</v>
      </c>
      <c r="BF31" s="353">
        <v>0</v>
      </c>
      <c r="BG31" s="353">
        <v>0</v>
      </c>
      <c r="BH31" s="353">
        <v>0</v>
      </c>
      <c r="BI31" s="353">
        <v>0</v>
      </c>
      <c r="BJ31" s="354">
        <v>0</v>
      </c>
      <c r="BK31" s="354">
        <v>3.2377385853551016E-2</v>
      </c>
      <c r="BL31" s="354">
        <v>0.10784749121776636</v>
      </c>
      <c r="BM31" s="354">
        <v>0</v>
      </c>
      <c r="BN31" s="354">
        <v>0</v>
      </c>
      <c r="BO31" s="353">
        <f t="shared" si="48"/>
        <v>0</v>
      </c>
      <c r="BP31" s="353">
        <f t="shared" si="49"/>
        <v>0</v>
      </c>
      <c r="BQ31" s="353">
        <f t="shared" si="50"/>
        <v>0</v>
      </c>
      <c r="BR31" s="353">
        <f t="shared" si="51"/>
        <v>0</v>
      </c>
      <c r="BS31" s="353">
        <f t="shared" si="52"/>
        <v>0</v>
      </c>
      <c r="BT31" s="353">
        <f t="shared" si="53"/>
        <v>3.2377385853551016E-2</v>
      </c>
      <c r="BU31" s="353">
        <f t="shared" si="54"/>
        <v>0.10784749121776636</v>
      </c>
      <c r="BV31" s="353">
        <f t="shared" si="55"/>
        <v>0</v>
      </c>
      <c r="BW31" s="353">
        <f t="shared" si="56"/>
        <v>0</v>
      </c>
    </row>
    <row r="32" spans="2:78" x14ac:dyDescent="0.3">
      <c r="B32" s="357" t="s">
        <v>822</v>
      </c>
      <c r="C32" s="318" t="s">
        <v>797</v>
      </c>
      <c r="D32" s="353">
        <v>0</v>
      </c>
      <c r="E32" s="353">
        <v>0</v>
      </c>
      <c r="F32" s="353">
        <v>0</v>
      </c>
      <c r="G32" s="353">
        <v>0</v>
      </c>
      <c r="H32" s="354">
        <v>0</v>
      </c>
      <c r="I32" s="354">
        <v>2.9869846476024298E-2</v>
      </c>
      <c r="J32" s="354">
        <v>3.6850000000000001E-2</v>
      </c>
      <c r="K32" s="354">
        <v>0</v>
      </c>
      <c r="L32" s="354">
        <v>0</v>
      </c>
      <c r="M32" s="354">
        <v>0</v>
      </c>
      <c r="N32" s="354">
        <v>0</v>
      </c>
      <c r="O32" s="354">
        <v>0</v>
      </c>
      <c r="P32" s="354">
        <v>0</v>
      </c>
      <c r="Q32" s="354">
        <v>0</v>
      </c>
      <c r="R32" s="354">
        <v>3.02200819055174E-2</v>
      </c>
      <c r="S32" s="354">
        <v>3.7282080412170203E-2</v>
      </c>
      <c r="T32" s="354">
        <v>0</v>
      </c>
      <c r="U32" s="354">
        <v>0</v>
      </c>
      <c r="V32" s="354">
        <v>0</v>
      </c>
      <c r="W32" s="354">
        <v>0</v>
      </c>
      <c r="X32" s="354">
        <v>0</v>
      </c>
      <c r="Y32" s="354">
        <v>0</v>
      </c>
      <c r="Z32" s="354">
        <v>0</v>
      </c>
      <c r="AA32" s="354">
        <v>3.02200819055174E-2</v>
      </c>
      <c r="AB32" s="354">
        <v>3.7282080412170203E-2</v>
      </c>
      <c r="AC32" s="354">
        <v>0</v>
      </c>
      <c r="AD32" s="354">
        <v>0</v>
      </c>
      <c r="AE32" s="354">
        <f t="shared" si="0"/>
        <v>0</v>
      </c>
      <c r="AF32" s="354">
        <f t="shared" si="1"/>
        <v>0</v>
      </c>
      <c r="AG32" s="354">
        <f t="shared" si="2"/>
        <v>0</v>
      </c>
      <c r="AH32" s="354">
        <f t="shared" si="3"/>
        <v>0</v>
      </c>
      <c r="AI32" s="354">
        <f t="shared" si="4"/>
        <v>0</v>
      </c>
      <c r="AJ32" s="354">
        <f t="shared" si="5"/>
        <v>3.02200819055174E-2</v>
      </c>
      <c r="AK32" s="354">
        <f t="shared" si="6"/>
        <v>3.7282080412170203E-2</v>
      </c>
      <c r="AL32" s="354">
        <f t="shared" si="7"/>
        <v>0</v>
      </c>
      <c r="AM32" s="354">
        <f t="shared" si="8"/>
        <v>0</v>
      </c>
      <c r="AN32" s="353">
        <v>0</v>
      </c>
      <c r="AO32" s="353">
        <v>0</v>
      </c>
      <c r="AP32" s="353">
        <v>0</v>
      </c>
      <c r="AQ32" s="353">
        <v>0</v>
      </c>
      <c r="AR32" s="354">
        <v>0</v>
      </c>
      <c r="AS32" s="354">
        <v>3.0990385983408489E-2</v>
      </c>
      <c r="AT32" s="354">
        <v>3.8232393474310351E-2</v>
      </c>
      <c r="AU32" s="354">
        <v>0</v>
      </c>
      <c r="AV32" s="354">
        <v>0</v>
      </c>
      <c r="AW32" s="353">
        <v>0</v>
      </c>
      <c r="AX32" s="353">
        <v>0</v>
      </c>
      <c r="AY32" s="353">
        <v>0</v>
      </c>
      <c r="AZ32" s="353">
        <v>0</v>
      </c>
      <c r="BA32" s="354">
        <v>0</v>
      </c>
      <c r="BB32" s="354">
        <v>3.2196855825261772E-2</v>
      </c>
      <c r="BC32" s="354">
        <v>3.9720797966378271E-2</v>
      </c>
      <c r="BD32" s="354">
        <v>0</v>
      </c>
      <c r="BE32" s="354">
        <v>0</v>
      </c>
      <c r="BF32" s="353">
        <v>0</v>
      </c>
      <c r="BG32" s="353">
        <v>0</v>
      </c>
      <c r="BH32" s="353">
        <v>0</v>
      </c>
      <c r="BI32" s="353">
        <v>0</v>
      </c>
      <c r="BJ32" s="354">
        <v>0</v>
      </c>
      <c r="BK32" s="354">
        <v>3.2260332172348694E-2</v>
      </c>
      <c r="BL32" s="354">
        <v>3.9799107822842732E-2</v>
      </c>
      <c r="BM32" s="354">
        <v>0</v>
      </c>
      <c r="BN32" s="354">
        <v>0</v>
      </c>
      <c r="BO32" s="353">
        <f t="shared" si="48"/>
        <v>0</v>
      </c>
      <c r="BP32" s="353">
        <f t="shared" si="49"/>
        <v>0</v>
      </c>
      <c r="BQ32" s="353">
        <f t="shared" si="50"/>
        <v>0</v>
      </c>
      <c r="BR32" s="353">
        <f t="shared" si="51"/>
        <v>0</v>
      </c>
      <c r="BS32" s="353">
        <f t="shared" si="52"/>
        <v>0</v>
      </c>
      <c r="BT32" s="353">
        <f t="shared" si="53"/>
        <v>3.2260332172348694E-2</v>
      </c>
      <c r="BU32" s="353">
        <f t="shared" si="54"/>
        <v>3.9799107822842732E-2</v>
      </c>
      <c r="BV32" s="353">
        <f t="shared" si="55"/>
        <v>0</v>
      </c>
      <c r="BW32" s="353">
        <f t="shared" si="56"/>
        <v>0</v>
      </c>
    </row>
    <row r="33" spans="2:78" x14ac:dyDescent="0.3">
      <c r="B33" s="358" t="s">
        <v>823</v>
      </c>
      <c r="C33" s="318" t="s">
        <v>797</v>
      </c>
      <c r="D33" s="359">
        <v>0</v>
      </c>
      <c r="E33" s="359">
        <v>0</v>
      </c>
      <c r="F33" s="359">
        <v>0</v>
      </c>
      <c r="G33" s="359">
        <v>0</v>
      </c>
      <c r="H33" s="359">
        <v>0</v>
      </c>
      <c r="I33" s="359">
        <v>0</v>
      </c>
      <c r="J33" s="359">
        <v>0</v>
      </c>
      <c r="K33" s="359">
        <v>3.6230000000000002</v>
      </c>
      <c r="L33" s="359">
        <v>0</v>
      </c>
      <c r="M33" s="359">
        <v>0</v>
      </c>
      <c r="N33" s="359">
        <v>0</v>
      </c>
      <c r="O33" s="359">
        <v>0</v>
      </c>
      <c r="P33" s="359">
        <v>0</v>
      </c>
      <c r="Q33" s="359">
        <v>0</v>
      </c>
      <c r="R33" s="359">
        <v>0</v>
      </c>
      <c r="S33" s="359">
        <v>0</v>
      </c>
      <c r="T33" s="359">
        <v>3.6921828790653701</v>
      </c>
      <c r="U33" s="359">
        <v>0</v>
      </c>
      <c r="V33" s="359">
        <v>0</v>
      </c>
      <c r="W33" s="359">
        <v>0</v>
      </c>
      <c r="X33" s="359">
        <v>0</v>
      </c>
      <c r="Y33" s="359">
        <v>0</v>
      </c>
      <c r="Z33" s="359">
        <v>0</v>
      </c>
      <c r="AA33" s="359">
        <v>0</v>
      </c>
      <c r="AB33" s="359">
        <v>0</v>
      </c>
      <c r="AC33" s="359">
        <v>3.6459518340009001</v>
      </c>
      <c r="AD33" s="359">
        <v>0</v>
      </c>
      <c r="AE33" s="359">
        <f t="shared" si="0"/>
        <v>0</v>
      </c>
      <c r="AF33" s="359">
        <f t="shared" si="1"/>
        <v>0</v>
      </c>
      <c r="AG33" s="359">
        <f t="shared" si="2"/>
        <v>0</v>
      </c>
      <c r="AH33" s="359">
        <f t="shared" si="3"/>
        <v>0</v>
      </c>
      <c r="AI33" s="359">
        <f t="shared" si="4"/>
        <v>0</v>
      </c>
      <c r="AJ33" s="359">
        <f t="shared" si="5"/>
        <v>0</v>
      </c>
      <c r="AK33" s="359">
        <f t="shared" si="6"/>
        <v>0</v>
      </c>
      <c r="AL33" s="359">
        <f t="shared" si="7"/>
        <v>3.6690673565331351</v>
      </c>
      <c r="AM33" s="359">
        <f t="shared" si="8"/>
        <v>0</v>
      </c>
      <c r="AN33" s="359">
        <v>0</v>
      </c>
      <c r="AO33" s="359">
        <v>0</v>
      </c>
      <c r="AP33" s="359">
        <v>0</v>
      </c>
      <c r="AQ33" s="359">
        <v>0</v>
      </c>
      <c r="AR33" s="359">
        <v>0</v>
      </c>
      <c r="AS33" s="359">
        <v>0</v>
      </c>
      <c r="AT33" s="359">
        <v>0</v>
      </c>
      <c r="AU33" s="359">
        <v>3.694849349736224</v>
      </c>
      <c r="AV33" s="359">
        <v>0</v>
      </c>
      <c r="AW33" s="359">
        <v>0</v>
      </c>
      <c r="AX33" s="359">
        <v>0</v>
      </c>
      <c r="AY33" s="359">
        <v>0</v>
      </c>
      <c r="AZ33" s="359">
        <v>0</v>
      </c>
      <c r="BA33" s="359">
        <v>0</v>
      </c>
      <c r="BB33" s="359">
        <v>0</v>
      </c>
      <c r="BC33" s="359">
        <v>0</v>
      </c>
      <c r="BD33" s="359">
        <v>3.7147136477291451</v>
      </c>
      <c r="BE33" s="359">
        <v>0</v>
      </c>
      <c r="BF33" s="359">
        <v>0</v>
      </c>
      <c r="BG33" s="359">
        <v>0</v>
      </c>
      <c r="BH33" s="359">
        <v>0</v>
      </c>
      <c r="BI33" s="359">
        <v>0</v>
      </c>
      <c r="BJ33" s="359">
        <v>0</v>
      </c>
      <c r="BK33" s="359">
        <v>0</v>
      </c>
      <c r="BL33" s="359">
        <v>0</v>
      </c>
      <c r="BM33" s="359">
        <v>3.7155034999218923</v>
      </c>
      <c r="BN33" s="359">
        <v>0</v>
      </c>
      <c r="BO33" s="359">
        <f>BF33</f>
        <v>0</v>
      </c>
      <c r="BP33" s="359">
        <f t="shared" si="49"/>
        <v>0</v>
      </c>
      <c r="BQ33" s="359">
        <f t="shared" si="50"/>
        <v>0</v>
      </c>
      <c r="BR33" s="359">
        <f t="shared" si="51"/>
        <v>0</v>
      </c>
      <c r="BS33" s="359">
        <f t="shared" si="52"/>
        <v>0</v>
      </c>
      <c r="BT33" s="359">
        <f t="shared" si="53"/>
        <v>0</v>
      </c>
      <c r="BU33" s="359">
        <f t="shared" si="54"/>
        <v>0</v>
      </c>
      <c r="BV33" s="359">
        <f t="shared" si="55"/>
        <v>3.7155034999218923</v>
      </c>
      <c r="BW33" s="359">
        <f t="shared" si="56"/>
        <v>0</v>
      </c>
      <c r="BY33" s="70">
        <f>SUM(AW33:BE33)</f>
        <v>3.7147136477291451</v>
      </c>
      <c r="BZ33" s="70">
        <f>SUM(BO33:BW33)</f>
        <v>3.7155034999218923</v>
      </c>
    </row>
    <row r="34" spans="2:78" x14ac:dyDescent="0.3">
      <c r="B34" s="360" t="s">
        <v>824</v>
      </c>
      <c r="C34" s="318" t="s">
        <v>797</v>
      </c>
      <c r="D34" s="361">
        <v>0</v>
      </c>
      <c r="E34" s="361">
        <v>0</v>
      </c>
      <c r="F34" s="361">
        <v>0</v>
      </c>
      <c r="G34" s="361">
        <v>0</v>
      </c>
      <c r="H34" s="362">
        <v>0</v>
      </c>
      <c r="I34" s="362">
        <v>0</v>
      </c>
      <c r="J34" s="362">
        <v>0</v>
      </c>
      <c r="K34" s="362">
        <v>0.77600000000000002</v>
      </c>
      <c r="L34" s="362">
        <v>0</v>
      </c>
      <c r="M34" s="362">
        <v>0</v>
      </c>
      <c r="N34" s="362">
        <v>0</v>
      </c>
      <c r="O34" s="362">
        <v>0</v>
      </c>
      <c r="P34" s="362">
        <v>0</v>
      </c>
      <c r="Q34" s="362">
        <v>0</v>
      </c>
      <c r="R34" s="362">
        <v>0</v>
      </c>
      <c r="S34" s="362">
        <v>0</v>
      </c>
      <c r="T34" s="362">
        <v>0.75200732882263099</v>
      </c>
      <c r="U34" s="362">
        <v>0</v>
      </c>
      <c r="V34" s="362">
        <v>0</v>
      </c>
      <c r="W34" s="362">
        <v>0</v>
      </c>
      <c r="X34" s="362">
        <v>0</v>
      </c>
      <c r="Y34" s="362">
        <v>0</v>
      </c>
      <c r="Z34" s="362">
        <v>0</v>
      </c>
      <c r="AA34" s="362">
        <v>0</v>
      </c>
      <c r="AB34" s="362">
        <v>0</v>
      </c>
      <c r="AC34" s="362">
        <v>0.772610269338319</v>
      </c>
      <c r="AD34" s="362">
        <v>0</v>
      </c>
      <c r="AE34" s="362">
        <f t="shared" si="0"/>
        <v>0</v>
      </c>
      <c r="AF34" s="362">
        <f t="shared" si="1"/>
        <v>0</v>
      </c>
      <c r="AG34" s="362">
        <f t="shared" si="2"/>
        <v>0</v>
      </c>
      <c r="AH34" s="362">
        <f t="shared" si="3"/>
        <v>0</v>
      </c>
      <c r="AI34" s="362">
        <f t="shared" si="4"/>
        <v>0</v>
      </c>
      <c r="AJ34" s="362">
        <f t="shared" si="5"/>
        <v>0</v>
      </c>
      <c r="AK34" s="362">
        <f t="shared" si="6"/>
        <v>0</v>
      </c>
      <c r="AL34" s="362">
        <f t="shared" si="7"/>
        <v>0.762308799080475</v>
      </c>
      <c r="AM34" s="362">
        <f t="shared" si="8"/>
        <v>0</v>
      </c>
      <c r="AN34" s="361">
        <v>0</v>
      </c>
      <c r="AO34" s="361">
        <v>0</v>
      </c>
      <c r="AP34" s="361">
        <v>0</v>
      </c>
      <c r="AQ34" s="361">
        <v>0</v>
      </c>
      <c r="AR34" s="362">
        <v>0</v>
      </c>
      <c r="AS34" s="362">
        <v>0</v>
      </c>
      <c r="AT34" s="362">
        <v>0</v>
      </c>
      <c r="AU34" s="362">
        <v>0.76415388598807588</v>
      </c>
      <c r="AV34" s="362">
        <v>0</v>
      </c>
      <c r="AW34" s="361">
        <v>0</v>
      </c>
      <c r="AX34" s="361">
        <v>0</v>
      </c>
      <c r="AY34" s="361">
        <v>0</v>
      </c>
      <c r="AZ34" s="361">
        <v>0</v>
      </c>
      <c r="BA34" s="362">
        <v>0</v>
      </c>
      <c r="BB34" s="362">
        <v>0</v>
      </c>
      <c r="BC34" s="362">
        <v>0</v>
      </c>
      <c r="BD34" s="362">
        <v>0.71373310044140237</v>
      </c>
      <c r="BE34" s="362">
        <v>0</v>
      </c>
      <c r="BF34" s="361">
        <v>0</v>
      </c>
      <c r="BG34" s="361">
        <v>0</v>
      </c>
      <c r="BH34" s="361">
        <v>0</v>
      </c>
      <c r="BI34" s="361">
        <v>0</v>
      </c>
      <c r="BJ34" s="362">
        <v>0</v>
      </c>
      <c r="BK34" s="362">
        <v>0</v>
      </c>
      <c r="BL34" s="362">
        <v>0</v>
      </c>
      <c r="BM34" s="362">
        <v>0.710917250019512</v>
      </c>
      <c r="BN34" s="362">
        <v>0</v>
      </c>
      <c r="BO34" s="361">
        <f>BF34</f>
        <v>0</v>
      </c>
      <c r="BP34" s="361">
        <f t="shared" si="49"/>
        <v>0</v>
      </c>
      <c r="BQ34" s="361">
        <f t="shared" si="50"/>
        <v>0</v>
      </c>
      <c r="BR34" s="361">
        <f t="shared" si="51"/>
        <v>0</v>
      </c>
      <c r="BS34" s="361">
        <f t="shared" si="52"/>
        <v>0</v>
      </c>
      <c r="BT34" s="361">
        <f t="shared" si="53"/>
        <v>0</v>
      </c>
      <c r="BU34" s="361">
        <f t="shared" si="54"/>
        <v>0</v>
      </c>
      <c r="BV34" s="361">
        <f t="shared" si="55"/>
        <v>0.710917250019512</v>
      </c>
      <c r="BW34" s="361">
        <f t="shared" si="56"/>
        <v>0</v>
      </c>
    </row>
    <row r="35" spans="2:78" x14ac:dyDescent="0.3">
      <c r="B35" s="360" t="s">
        <v>825</v>
      </c>
      <c r="C35" s="318" t="s">
        <v>797</v>
      </c>
      <c r="D35" s="361">
        <v>0</v>
      </c>
      <c r="E35" s="361">
        <v>0</v>
      </c>
      <c r="F35" s="361">
        <v>0</v>
      </c>
      <c r="G35" s="361">
        <v>0</v>
      </c>
      <c r="H35" s="362">
        <v>0</v>
      </c>
      <c r="I35" s="362">
        <v>0</v>
      </c>
      <c r="J35" s="362">
        <v>0</v>
      </c>
      <c r="K35" s="362">
        <v>2.4489999999999998</v>
      </c>
      <c r="L35" s="362">
        <v>0</v>
      </c>
      <c r="M35" s="362">
        <v>0</v>
      </c>
      <c r="N35" s="362">
        <v>0</v>
      </c>
      <c r="O35" s="362">
        <v>0</v>
      </c>
      <c r="P35" s="362">
        <v>0</v>
      </c>
      <c r="Q35" s="362">
        <v>0</v>
      </c>
      <c r="R35" s="362">
        <v>0</v>
      </c>
      <c r="S35" s="362">
        <v>0</v>
      </c>
      <c r="T35" s="362">
        <v>2.55435005452241</v>
      </c>
      <c r="U35" s="362">
        <v>0</v>
      </c>
      <c r="V35" s="362">
        <v>0</v>
      </c>
      <c r="W35" s="362">
        <v>0</v>
      </c>
      <c r="X35" s="362">
        <v>0</v>
      </c>
      <c r="Y35" s="362">
        <v>0</v>
      </c>
      <c r="Z35" s="362">
        <v>0</v>
      </c>
      <c r="AA35" s="362">
        <v>0</v>
      </c>
      <c r="AB35" s="362">
        <v>0</v>
      </c>
      <c r="AC35" s="362">
        <v>2.4769455074156701</v>
      </c>
      <c r="AD35" s="362">
        <v>0</v>
      </c>
      <c r="AE35" s="362">
        <f t="shared" si="0"/>
        <v>0</v>
      </c>
      <c r="AF35" s="362">
        <f t="shared" si="1"/>
        <v>0</v>
      </c>
      <c r="AG35" s="362">
        <f t="shared" si="2"/>
        <v>0</v>
      </c>
      <c r="AH35" s="362">
        <f t="shared" si="3"/>
        <v>0</v>
      </c>
      <c r="AI35" s="362">
        <f t="shared" si="4"/>
        <v>0</v>
      </c>
      <c r="AJ35" s="362">
        <f t="shared" si="5"/>
        <v>0</v>
      </c>
      <c r="AK35" s="362">
        <f t="shared" si="6"/>
        <v>0</v>
      </c>
      <c r="AL35" s="362">
        <f t="shared" si="7"/>
        <v>2.5156477809690401</v>
      </c>
      <c r="AM35" s="362">
        <f t="shared" si="8"/>
        <v>0</v>
      </c>
      <c r="AN35" s="361">
        <v>0</v>
      </c>
      <c r="AO35" s="361">
        <v>0</v>
      </c>
      <c r="AP35" s="361">
        <v>0</v>
      </c>
      <c r="AQ35" s="361">
        <v>0</v>
      </c>
      <c r="AR35" s="362">
        <v>0</v>
      </c>
      <c r="AS35" s="362">
        <v>0</v>
      </c>
      <c r="AT35" s="362">
        <v>0</v>
      </c>
      <c r="AU35" s="362">
        <v>2.5383448067301591</v>
      </c>
      <c r="AV35" s="362">
        <v>0</v>
      </c>
      <c r="AW35" s="361">
        <v>0</v>
      </c>
      <c r="AX35" s="361">
        <v>0</v>
      </c>
      <c r="AY35" s="361">
        <v>0</v>
      </c>
      <c r="AZ35" s="361">
        <v>0</v>
      </c>
      <c r="BA35" s="362">
        <v>0</v>
      </c>
      <c r="BB35" s="362">
        <v>0</v>
      </c>
      <c r="BC35" s="362">
        <v>0</v>
      </c>
      <c r="BD35" s="362">
        <v>2.6340440250138886</v>
      </c>
      <c r="BE35" s="362">
        <v>0</v>
      </c>
      <c r="BF35" s="361">
        <v>0</v>
      </c>
      <c r="BG35" s="361">
        <v>0</v>
      </c>
      <c r="BH35" s="361">
        <v>0</v>
      </c>
      <c r="BI35" s="361">
        <v>0</v>
      </c>
      <c r="BJ35" s="362">
        <v>0</v>
      </c>
      <c r="BK35" s="362">
        <v>0</v>
      </c>
      <c r="BL35" s="362">
        <v>0</v>
      </c>
      <c r="BM35" s="362">
        <v>2.639072487714285</v>
      </c>
      <c r="BN35" s="362">
        <v>0</v>
      </c>
      <c r="BO35" s="361">
        <f t="shared" ref="BO35:BO36" si="57">BF35</f>
        <v>0</v>
      </c>
      <c r="BP35" s="361">
        <f t="shared" ref="BP35:BP40" si="58">BG35</f>
        <v>0</v>
      </c>
      <c r="BQ35" s="361">
        <f t="shared" ref="BQ35:BQ40" si="59">BH35</f>
        <v>0</v>
      </c>
      <c r="BR35" s="361">
        <f t="shared" ref="BR35:BR40" si="60">BI35</f>
        <v>0</v>
      </c>
      <c r="BS35" s="361">
        <f t="shared" ref="BS35:BS40" si="61">BJ35</f>
        <v>0</v>
      </c>
      <c r="BT35" s="361">
        <f t="shared" ref="BT35:BT40" si="62">BK35</f>
        <v>0</v>
      </c>
      <c r="BU35" s="361">
        <f t="shared" ref="BU35:BU40" si="63">BL35</f>
        <v>0</v>
      </c>
      <c r="BV35" s="361">
        <f t="shared" ref="BV35:BV38" si="64">BM35</f>
        <v>2.639072487714285</v>
      </c>
      <c r="BW35" s="361">
        <f t="shared" ref="BW35:BW38" si="65">BN35</f>
        <v>0</v>
      </c>
    </row>
    <row r="36" spans="2:78" x14ac:dyDescent="0.3">
      <c r="B36" s="360" t="s">
        <v>826</v>
      </c>
      <c r="C36" s="318" t="s">
        <v>797</v>
      </c>
      <c r="D36" s="361">
        <v>0</v>
      </c>
      <c r="E36" s="361">
        <v>0</v>
      </c>
      <c r="F36" s="361">
        <v>0</v>
      </c>
      <c r="G36" s="361">
        <v>0</v>
      </c>
      <c r="H36" s="362">
        <v>0</v>
      </c>
      <c r="I36" s="362">
        <v>0</v>
      </c>
      <c r="J36" s="362">
        <v>0</v>
      </c>
      <c r="K36" s="362">
        <v>0.39800000000000002</v>
      </c>
      <c r="L36" s="362">
        <v>0</v>
      </c>
      <c r="M36" s="362">
        <v>0</v>
      </c>
      <c r="N36" s="362">
        <v>0</v>
      </c>
      <c r="O36" s="362">
        <v>0</v>
      </c>
      <c r="P36" s="362">
        <v>0</v>
      </c>
      <c r="Q36" s="362">
        <v>0</v>
      </c>
      <c r="R36" s="362">
        <v>0</v>
      </c>
      <c r="S36" s="362">
        <v>0</v>
      </c>
      <c r="T36" s="362">
        <v>0.38582549572032299</v>
      </c>
      <c r="U36" s="362">
        <v>0</v>
      </c>
      <c r="V36" s="362">
        <v>0</v>
      </c>
      <c r="W36" s="362">
        <v>0</v>
      </c>
      <c r="X36" s="362">
        <v>0</v>
      </c>
      <c r="Y36" s="362">
        <v>0</v>
      </c>
      <c r="Z36" s="362">
        <v>0</v>
      </c>
      <c r="AA36" s="362">
        <v>0</v>
      </c>
      <c r="AB36" s="362">
        <v>0</v>
      </c>
      <c r="AC36" s="362">
        <v>0.39639605724690802</v>
      </c>
      <c r="AD36" s="362">
        <v>0</v>
      </c>
      <c r="AE36" s="362">
        <f t="shared" si="0"/>
        <v>0</v>
      </c>
      <c r="AF36" s="362">
        <f t="shared" si="1"/>
        <v>0</v>
      </c>
      <c r="AG36" s="362">
        <f t="shared" si="2"/>
        <v>0</v>
      </c>
      <c r="AH36" s="362">
        <f t="shared" si="3"/>
        <v>0</v>
      </c>
      <c r="AI36" s="362">
        <f t="shared" si="4"/>
        <v>0</v>
      </c>
      <c r="AJ36" s="362">
        <f t="shared" si="5"/>
        <v>0</v>
      </c>
      <c r="AK36" s="362">
        <f t="shared" si="6"/>
        <v>0</v>
      </c>
      <c r="AL36" s="362">
        <f t="shared" si="7"/>
        <v>0.39111077648361547</v>
      </c>
      <c r="AM36" s="362">
        <f t="shared" si="8"/>
        <v>0</v>
      </c>
      <c r="AN36" s="361">
        <v>0</v>
      </c>
      <c r="AO36" s="361">
        <v>0</v>
      </c>
      <c r="AP36" s="361">
        <v>0</v>
      </c>
      <c r="AQ36" s="361">
        <v>0</v>
      </c>
      <c r="AR36" s="362">
        <v>0</v>
      </c>
      <c r="AS36" s="362">
        <v>0</v>
      </c>
      <c r="AT36" s="362">
        <v>0</v>
      </c>
      <c r="AU36" s="362">
        <v>0.39235065701798938</v>
      </c>
      <c r="AV36" s="362">
        <v>0</v>
      </c>
      <c r="AW36" s="361">
        <v>0</v>
      </c>
      <c r="AX36" s="361">
        <v>0</v>
      </c>
      <c r="AY36" s="361">
        <v>0</v>
      </c>
      <c r="AZ36" s="361">
        <v>0</v>
      </c>
      <c r="BA36" s="362">
        <v>0</v>
      </c>
      <c r="BB36" s="362">
        <v>0</v>
      </c>
      <c r="BC36" s="362">
        <v>0</v>
      </c>
      <c r="BD36" s="362">
        <v>0.36693652227385415</v>
      </c>
      <c r="BE36" s="362">
        <v>0</v>
      </c>
      <c r="BF36" s="361">
        <v>0</v>
      </c>
      <c r="BG36" s="361">
        <v>0</v>
      </c>
      <c r="BH36" s="361">
        <v>0</v>
      </c>
      <c r="BI36" s="361">
        <v>0</v>
      </c>
      <c r="BJ36" s="362">
        <v>0</v>
      </c>
      <c r="BK36" s="362">
        <v>0</v>
      </c>
      <c r="BL36" s="362">
        <v>0</v>
      </c>
      <c r="BM36" s="362">
        <v>0.36551376218809517</v>
      </c>
      <c r="BN36" s="362">
        <v>0</v>
      </c>
      <c r="BO36" s="361">
        <f t="shared" si="57"/>
        <v>0</v>
      </c>
      <c r="BP36" s="361">
        <f t="shared" si="58"/>
        <v>0</v>
      </c>
      <c r="BQ36" s="361">
        <f t="shared" si="59"/>
        <v>0</v>
      </c>
      <c r="BR36" s="361">
        <f t="shared" si="60"/>
        <v>0</v>
      </c>
      <c r="BS36" s="361">
        <f t="shared" si="61"/>
        <v>0</v>
      </c>
      <c r="BT36" s="361">
        <f t="shared" si="62"/>
        <v>0</v>
      </c>
      <c r="BU36" s="361">
        <f t="shared" si="63"/>
        <v>0</v>
      </c>
      <c r="BV36" s="361">
        <f t="shared" si="64"/>
        <v>0.36551376218809517</v>
      </c>
      <c r="BW36" s="361">
        <f t="shared" si="65"/>
        <v>0</v>
      </c>
    </row>
    <row r="37" spans="2:78" x14ac:dyDescent="0.3">
      <c r="B37" s="358" t="s">
        <v>827</v>
      </c>
      <c r="C37" s="318" t="s">
        <v>797</v>
      </c>
      <c r="D37" s="359">
        <v>0</v>
      </c>
      <c r="E37" s="359">
        <v>0</v>
      </c>
      <c r="F37" s="359">
        <v>0</v>
      </c>
      <c r="G37" s="359">
        <v>0</v>
      </c>
      <c r="H37" s="359">
        <v>0</v>
      </c>
      <c r="I37" s="359">
        <v>0</v>
      </c>
      <c r="J37" s="359">
        <v>0</v>
      </c>
      <c r="K37" s="359">
        <v>0</v>
      </c>
      <c r="L37" s="359">
        <v>1.9139999999999999</v>
      </c>
      <c r="M37" s="359">
        <v>0</v>
      </c>
      <c r="N37" s="359">
        <v>0</v>
      </c>
      <c r="O37" s="359">
        <v>0</v>
      </c>
      <c r="P37" s="359">
        <v>0</v>
      </c>
      <c r="Q37" s="359">
        <v>0</v>
      </c>
      <c r="R37" s="359">
        <v>0</v>
      </c>
      <c r="S37" s="359">
        <v>0</v>
      </c>
      <c r="T37" s="359">
        <v>0</v>
      </c>
      <c r="U37" s="359">
        <v>1.9366091249999999</v>
      </c>
      <c r="V37" s="359">
        <v>0</v>
      </c>
      <c r="W37" s="359">
        <v>0</v>
      </c>
      <c r="X37" s="359">
        <v>0</v>
      </c>
      <c r="Y37" s="359">
        <v>0</v>
      </c>
      <c r="Z37" s="359">
        <v>0</v>
      </c>
      <c r="AA37" s="359">
        <v>0</v>
      </c>
      <c r="AB37" s="359">
        <v>0</v>
      </c>
      <c r="AC37" s="359">
        <v>0</v>
      </c>
      <c r="AD37" s="359">
        <v>1.8896547011718801</v>
      </c>
      <c r="AE37" s="359">
        <f t="shared" si="0"/>
        <v>0</v>
      </c>
      <c r="AF37" s="359">
        <f t="shared" si="1"/>
        <v>0</v>
      </c>
      <c r="AG37" s="359">
        <f t="shared" si="2"/>
        <v>0</v>
      </c>
      <c r="AH37" s="359">
        <f t="shared" si="3"/>
        <v>0</v>
      </c>
      <c r="AI37" s="359">
        <f t="shared" si="4"/>
        <v>0</v>
      </c>
      <c r="AJ37" s="359">
        <f t="shared" si="5"/>
        <v>0</v>
      </c>
      <c r="AK37" s="359">
        <f t="shared" si="6"/>
        <v>0</v>
      </c>
      <c r="AL37" s="359">
        <f t="shared" si="7"/>
        <v>0</v>
      </c>
      <c r="AM37" s="359">
        <f t="shared" si="8"/>
        <v>1.9131319130859401</v>
      </c>
      <c r="AN37" s="359">
        <v>0</v>
      </c>
      <c r="AO37" s="359">
        <v>0</v>
      </c>
      <c r="AP37" s="359">
        <v>0</v>
      </c>
      <c r="AQ37" s="359">
        <v>0</v>
      </c>
      <c r="AR37" s="359">
        <v>0</v>
      </c>
      <c r="AS37" s="359">
        <v>0</v>
      </c>
      <c r="AT37" s="359">
        <v>0</v>
      </c>
      <c r="AU37" s="359">
        <v>0</v>
      </c>
      <c r="AV37" s="359">
        <v>1.8322359000000001</v>
      </c>
      <c r="AW37" s="359">
        <v>0</v>
      </c>
      <c r="AX37" s="359">
        <v>0</v>
      </c>
      <c r="AY37" s="359">
        <v>0</v>
      </c>
      <c r="AZ37" s="359">
        <v>0</v>
      </c>
      <c r="BA37" s="359">
        <v>0</v>
      </c>
      <c r="BB37" s="359">
        <v>0</v>
      </c>
      <c r="BC37" s="359">
        <v>0</v>
      </c>
      <c r="BD37" s="359">
        <v>0</v>
      </c>
      <c r="BE37" s="359">
        <v>1.4477174126249999</v>
      </c>
      <c r="BF37" s="359">
        <v>0</v>
      </c>
      <c r="BG37" s="359">
        <v>0</v>
      </c>
      <c r="BH37" s="359">
        <v>0</v>
      </c>
      <c r="BI37" s="359">
        <v>0</v>
      </c>
      <c r="BJ37" s="359">
        <v>0</v>
      </c>
      <c r="BK37" s="359">
        <v>0</v>
      </c>
      <c r="BL37" s="359">
        <v>0</v>
      </c>
      <c r="BM37" s="359">
        <v>0</v>
      </c>
      <c r="BN37" s="359">
        <v>1.4265240000000001</v>
      </c>
      <c r="BO37" s="359">
        <f>BF37</f>
        <v>0</v>
      </c>
      <c r="BP37" s="359">
        <f t="shared" si="58"/>
        <v>0</v>
      </c>
      <c r="BQ37" s="359">
        <f t="shared" si="59"/>
        <v>0</v>
      </c>
      <c r="BR37" s="359">
        <f t="shared" si="60"/>
        <v>0</v>
      </c>
      <c r="BS37" s="359">
        <f t="shared" si="61"/>
        <v>0</v>
      </c>
      <c r="BT37" s="359">
        <f t="shared" si="62"/>
        <v>0</v>
      </c>
      <c r="BU37" s="359">
        <f t="shared" si="63"/>
        <v>0</v>
      </c>
      <c r="BV37" s="359">
        <f t="shared" si="64"/>
        <v>0</v>
      </c>
      <c r="BW37" s="359">
        <f t="shared" si="65"/>
        <v>1.4265240000000001</v>
      </c>
      <c r="BY37" s="70">
        <f>SUM(AW37:BE37)</f>
        <v>1.4477174126249999</v>
      </c>
      <c r="BZ37" s="70">
        <f>SUM(BO37:BW37)</f>
        <v>1.4265240000000001</v>
      </c>
    </row>
    <row r="38" spans="2:78" x14ac:dyDescent="0.3">
      <c r="B38" s="360" t="s">
        <v>828</v>
      </c>
      <c r="C38" s="318" t="s">
        <v>797</v>
      </c>
      <c r="D38" s="361">
        <v>0</v>
      </c>
      <c r="E38" s="361">
        <v>0</v>
      </c>
      <c r="F38" s="361">
        <v>0</v>
      </c>
      <c r="G38" s="361">
        <v>0</v>
      </c>
      <c r="H38" s="362">
        <v>0</v>
      </c>
      <c r="I38" s="362">
        <v>0</v>
      </c>
      <c r="J38" s="362">
        <v>0</v>
      </c>
      <c r="K38" s="362">
        <v>0</v>
      </c>
      <c r="L38" s="362">
        <v>1.9139999999999999</v>
      </c>
      <c r="M38" s="362">
        <v>0</v>
      </c>
      <c r="N38" s="362">
        <v>0</v>
      </c>
      <c r="O38" s="362">
        <v>0</v>
      </c>
      <c r="P38" s="362">
        <v>0</v>
      </c>
      <c r="Q38" s="362">
        <v>0</v>
      </c>
      <c r="R38" s="362">
        <v>0</v>
      </c>
      <c r="S38" s="362">
        <v>0</v>
      </c>
      <c r="T38" s="362">
        <v>0</v>
      </c>
      <c r="U38" s="362">
        <v>1.9366091249999999</v>
      </c>
      <c r="V38" s="362">
        <v>0</v>
      </c>
      <c r="W38" s="362">
        <v>0</v>
      </c>
      <c r="X38" s="362">
        <v>0</v>
      </c>
      <c r="Y38" s="362">
        <v>0</v>
      </c>
      <c r="Z38" s="362">
        <v>0</v>
      </c>
      <c r="AA38" s="362">
        <v>0</v>
      </c>
      <c r="AB38" s="362">
        <v>0</v>
      </c>
      <c r="AC38" s="362">
        <v>0</v>
      </c>
      <c r="AD38" s="362">
        <v>1.8896547011718801</v>
      </c>
      <c r="AE38" s="362">
        <f t="shared" si="0"/>
        <v>0</v>
      </c>
      <c r="AF38" s="362">
        <f t="shared" si="1"/>
        <v>0</v>
      </c>
      <c r="AG38" s="362">
        <f t="shared" si="2"/>
        <v>0</v>
      </c>
      <c r="AH38" s="362">
        <f t="shared" si="3"/>
        <v>0</v>
      </c>
      <c r="AI38" s="362">
        <f t="shared" si="4"/>
        <v>0</v>
      </c>
      <c r="AJ38" s="362">
        <f t="shared" si="5"/>
        <v>0</v>
      </c>
      <c r="AK38" s="362">
        <f t="shared" si="6"/>
        <v>0</v>
      </c>
      <c r="AL38" s="362">
        <f t="shared" si="7"/>
        <v>0</v>
      </c>
      <c r="AM38" s="362">
        <f t="shared" si="8"/>
        <v>1.9131319130859401</v>
      </c>
      <c r="AN38" s="361">
        <v>0</v>
      </c>
      <c r="AO38" s="361">
        <v>0</v>
      </c>
      <c r="AP38" s="361">
        <v>0</v>
      </c>
      <c r="AQ38" s="361">
        <v>0</v>
      </c>
      <c r="AR38" s="362">
        <v>0</v>
      </c>
      <c r="AS38" s="362">
        <v>0</v>
      </c>
      <c r="AT38" s="362">
        <v>0</v>
      </c>
      <c r="AU38" s="362">
        <v>0</v>
      </c>
      <c r="AV38" s="362">
        <v>1.8322359000000001</v>
      </c>
      <c r="AW38" s="361">
        <v>0</v>
      </c>
      <c r="AX38" s="361">
        <v>0</v>
      </c>
      <c r="AY38" s="361">
        <v>0</v>
      </c>
      <c r="AZ38" s="361">
        <v>0</v>
      </c>
      <c r="BA38" s="362">
        <v>0</v>
      </c>
      <c r="BB38" s="362">
        <v>0</v>
      </c>
      <c r="BC38" s="362">
        <v>0</v>
      </c>
      <c r="BD38" s="362">
        <v>0</v>
      </c>
      <c r="BE38" s="362">
        <v>1.4477174126249999</v>
      </c>
      <c r="BF38" s="361">
        <v>0</v>
      </c>
      <c r="BG38" s="361">
        <v>0</v>
      </c>
      <c r="BH38" s="361">
        <v>0</v>
      </c>
      <c r="BI38" s="361">
        <v>0</v>
      </c>
      <c r="BJ38" s="362">
        <v>0</v>
      </c>
      <c r="BK38" s="362">
        <v>0</v>
      </c>
      <c r="BL38" s="362">
        <v>0</v>
      </c>
      <c r="BM38" s="362">
        <v>0</v>
      </c>
      <c r="BN38" s="362">
        <v>1.4265240000000001</v>
      </c>
      <c r="BO38" s="361">
        <f>BF38</f>
        <v>0</v>
      </c>
      <c r="BP38" s="361">
        <f t="shared" si="58"/>
        <v>0</v>
      </c>
      <c r="BQ38" s="361">
        <f t="shared" si="59"/>
        <v>0</v>
      </c>
      <c r="BR38" s="361">
        <f t="shared" si="60"/>
        <v>0</v>
      </c>
      <c r="BS38" s="361">
        <f t="shared" si="61"/>
        <v>0</v>
      </c>
      <c r="BT38" s="361">
        <f t="shared" si="62"/>
        <v>0</v>
      </c>
      <c r="BU38" s="361">
        <f t="shared" si="63"/>
        <v>0</v>
      </c>
      <c r="BV38" s="361">
        <f t="shared" si="64"/>
        <v>0</v>
      </c>
      <c r="BW38" s="361">
        <f t="shared" si="65"/>
        <v>1.4265240000000001</v>
      </c>
    </row>
    <row r="39" spans="2:78" x14ac:dyDescent="0.3">
      <c r="B39" s="363" t="s">
        <v>829</v>
      </c>
      <c r="C39" s="318" t="s">
        <v>797</v>
      </c>
      <c r="D39" s="364">
        <v>0</v>
      </c>
      <c r="E39" s="364">
        <v>0</v>
      </c>
      <c r="F39" s="364">
        <v>0</v>
      </c>
      <c r="G39" s="364">
        <v>0</v>
      </c>
      <c r="H39" s="364">
        <v>6.7536176344524607E-2</v>
      </c>
      <c r="I39" s="364">
        <v>0.148793856446338</v>
      </c>
      <c r="J39" s="364">
        <v>0.369198282681999</v>
      </c>
      <c r="K39" s="364">
        <v>1.073</v>
      </c>
      <c r="L39" s="364">
        <v>1.8457692307692299</v>
      </c>
      <c r="M39" s="364">
        <v>0</v>
      </c>
      <c r="N39" s="364">
        <v>0</v>
      </c>
      <c r="O39" s="364">
        <v>0</v>
      </c>
      <c r="P39" s="364">
        <v>0</v>
      </c>
      <c r="Q39" s="364">
        <v>6.4915413810266998E-2</v>
      </c>
      <c r="R39" s="364">
        <v>0.14785185090393299</v>
      </c>
      <c r="S39" s="364">
        <v>0.38927923905289402</v>
      </c>
      <c r="T39" s="364">
        <v>1.13594553057574</v>
      </c>
      <c r="U39" s="364">
        <v>1.8614164798424</v>
      </c>
      <c r="V39" s="364">
        <v>0</v>
      </c>
      <c r="W39" s="364">
        <v>0</v>
      </c>
      <c r="X39" s="364">
        <v>0</v>
      </c>
      <c r="Y39" s="364">
        <v>0</v>
      </c>
      <c r="Z39" s="364">
        <v>6.1163422227653703E-2</v>
      </c>
      <c r="AA39" s="364">
        <v>0.14710218818950099</v>
      </c>
      <c r="AB39" s="364">
        <v>0.37063447231998098</v>
      </c>
      <c r="AC39" s="364">
        <v>1.1530759340485099</v>
      </c>
      <c r="AD39" s="364">
        <v>1.8553641059065999</v>
      </c>
      <c r="AE39" s="364">
        <f t="shared" si="0"/>
        <v>0</v>
      </c>
      <c r="AF39" s="364">
        <f t="shared" si="1"/>
        <v>0</v>
      </c>
      <c r="AG39" s="364">
        <f t="shared" si="2"/>
        <v>0</v>
      </c>
      <c r="AH39" s="364">
        <f t="shared" si="3"/>
        <v>0</v>
      </c>
      <c r="AI39" s="364">
        <f t="shared" si="4"/>
        <v>6.3039418018960347E-2</v>
      </c>
      <c r="AJ39" s="364">
        <f t="shared" si="5"/>
        <v>0.14747701954671699</v>
      </c>
      <c r="AK39" s="364">
        <f t="shared" si="6"/>
        <v>0.3799568556864375</v>
      </c>
      <c r="AL39" s="364">
        <f t="shared" si="7"/>
        <v>1.1445107323121251</v>
      </c>
      <c r="AM39" s="364">
        <f t="shared" si="8"/>
        <v>1.8583902928745</v>
      </c>
      <c r="AN39" s="364">
        <v>0</v>
      </c>
      <c r="AO39" s="364">
        <v>0</v>
      </c>
      <c r="AP39" s="364">
        <v>0</v>
      </c>
      <c r="AQ39" s="364">
        <v>0</v>
      </c>
      <c r="AR39" s="364">
        <v>4.8134627922915285E-2</v>
      </c>
      <c r="AS39" s="364">
        <v>0.13998506403534408</v>
      </c>
      <c r="AT39" s="364">
        <v>0.30785072259514246</v>
      </c>
      <c r="AU39" s="364">
        <v>1.2380343026391734</v>
      </c>
      <c r="AV39" s="364">
        <v>1.8758402492120061</v>
      </c>
      <c r="AW39" s="364">
        <v>0</v>
      </c>
      <c r="AX39" s="364">
        <v>0</v>
      </c>
      <c r="AY39" s="364">
        <v>0</v>
      </c>
      <c r="AZ39" s="364">
        <v>0</v>
      </c>
      <c r="BA39" s="364">
        <v>2.9131840107073814E-2</v>
      </c>
      <c r="BB39" s="364">
        <v>0.13104314536591652</v>
      </c>
      <c r="BC39" s="364">
        <v>0.23885389822712694</v>
      </c>
      <c r="BD39" s="364">
        <v>1.6420244994192028</v>
      </c>
      <c r="BE39" s="364">
        <v>1.8652050944051772</v>
      </c>
      <c r="BF39" s="364">
        <v>0</v>
      </c>
      <c r="BG39" s="364">
        <v>0</v>
      </c>
      <c r="BH39" s="364">
        <v>0</v>
      </c>
      <c r="BI39" s="364">
        <v>0</v>
      </c>
      <c r="BJ39" s="364">
        <v>2.8100203428186026E-2</v>
      </c>
      <c r="BK39" s="364">
        <v>0.13703270115485763</v>
      </c>
      <c r="BL39" s="364">
        <v>0.23787121677970685</v>
      </c>
      <c r="BM39" s="364">
        <v>1.4157960352399106</v>
      </c>
      <c r="BN39" s="364">
        <v>1.864499347698932</v>
      </c>
      <c r="BO39" s="364">
        <f>BF39</f>
        <v>0</v>
      </c>
      <c r="BP39" s="364">
        <f t="shared" si="58"/>
        <v>0</v>
      </c>
      <c r="BQ39" s="364">
        <f t="shared" si="59"/>
        <v>0</v>
      </c>
      <c r="BR39" s="364">
        <f t="shared" si="60"/>
        <v>0</v>
      </c>
      <c r="BS39" s="364">
        <f t="shared" si="61"/>
        <v>2.8100203428186026E-2</v>
      </c>
      <c r="BT39" s="364">
        <f t="shared" si="62"/>
        <v>0.13703270115485763</v>
      </c>
      <c r="BU39" s="364">
        <f t="shared" si="63"/>
        <v>0.23787121677970685</v>
      </c>
      <c r="BV39" s="365">
        <f>BD39</f>
        <v>1.6420244994192028</v>
      </c>
      <c r="BW39" s="364">
        <f>BN39</f>
        <v>1.864499347698932</v>
      </c>
      <c r="BY39" s="70">
        <f>SUM(AW39:BE39)</f>
        <v>3.9062584775244975</v>
      </c>
      <c r="BZ39" s="70">
        <f>SUM(BO39:BW39)</f>
        <v>3.9095279684808855</v>
      </c>
    </row>
    <row r="40" spans="2:78" x14ac:dyDescent="0.3">
      <c r="B40" s="366" t="s">
        <v>124</v>
      </c>
      <c r="C40" s="318" t="s">
        <v>797</v>
      </c>
      <c r="D40" s="367">
        <v>0</v>
      </c>
      <c r="E40" s="367">
        <v>0</v>
      </c>
      <c r="F40" s="367">
        <v>0</v>
      </c>
      <c r="G40" s="367">
        <v>0</v>
      </c>
      <c r="H40" s="368">
        <v>0</v>
      </c>
      <c r="I40" s="368">
        <v>0</v>
      </c>
      <c r="J40" s="368">
        <v>0</v>
      </c>
      <c r="K40" s="368">
        <v>0</v>
      </c>
      <c r="L40" s="368">
        <v>0</v>
      </c>
      <c r="M40" s="368">
        <v>0</v>
      </c>
      <c r="N40" s="368">
        <v>0</v>
      </c>
      <c r="O40" s="368">
        <v>0</v>
      </c>
      <c r="P40" s="368">
        <v>0</v>
      </c>
      <c r="Q40" s="368">
        <v>0</v>
      </c>
      <c r="R40" s="368">
        <v>0</v>
      </c>
      <c r="S40" s="368">
        <v>0</v>
      </c>
      <c r="T40" s="368">
        <v>0</v>
      </c>
      <c r="U40" s="368">
        <v>0</v>
      </c>
      <c r="V40" s="368">
        <v>0</v>
      </c>
      <c r="W40" s="368">
        <v>0</v>
      </c>
      <c r="X40" s="368">
        <v>0</v>
      </c>
      <c r="Y40" s="368">
        <v>0</v>
      </c>
      <c r="Z40" s="368">
        <v>0</v>
      </c>
      <c r="AA40" s="368">
        <v>0</v>
      </c>
      <c r="AB40" s="368">
        <v>0</v>
      </c>
      <c r="AC40" s="368">
        <v>0</v>
      </c>
      <c r="AD40" s="368">
        <v>0</v>
      </c>
      <c r="AE40" s="368">
        <f t="shared" si="0"/>
        <v>0</v>
      </c>
      <c r="AF40" s="368">
        <f t="shared" si="1"/>
        <v>0</v>
      </c>
      <c r="AG40" s="368">
        <f t="shared" si="2"/>
        <v>0</v>
      </c>
      <c r="AH40" s="368">
        <f t="shared" si="3"/>
        <v>0</v>
      </c>
      <c r="AI40" s="368">
        <f t="shared" si="4"/>
        <v>0</v>
      </c>
      <c r="AJ40" s="368">
        <f t="shared" si="5"/>
        <v>0</v>
      </c>
      <c r="AK40" s="368">
        <f t="shared" si="6"/>
        <v>0</v>
      </c>
      <c r="AL40" s="368">
        <f t="shared" si="7"/>
        <v>0</v>
      </c>
      <c r="AM40" s="368">
        <f t="shared" si="8"/>
        <v>0</v>
      </c>
      <c r="AN40" s="367">
        <v>0</v>
      </c>
      <c r="AO40" s="367">
        <v>0</v>
      </c>
      <c r="AP40" s="367">
        <v>0</v>
      </c>
      <c r="AQ40" s="367">
        <v>0</v>
      </c>
      <c r="AR40" s="368">
        <v>0</v>
      </c>
      <c r="AS40" s="368">
        <v>0</v>
      </c>
      <c r="AT40" s="368">
        <v>0</v>
      </c>
      <c r="AU40" s="368">
        <v>0</v>
      </c>
      <c r="AV40" s="368">
        <v>0</v>
      </c>
      <c r="AW40" s="367">
        <v>0</v>
      </c>
      <c r="AX40" s="367">
        <v>0</v>
      </c>
      <c r="AY40" s="367">
        <v>0</v>
      </c>
      <c r="AZ40" s="367">
        <v>0</v>
      </c>
      <c r="BA40" s="368">
        <v>0</v>
      </c>
      <c r="BB40" s="368">
        <v>0</v>
      </c>
      <c r="BC40" s="368">
        <v>0</v>
      </c>
      <c r="BD40" s="368">
        <v>0</v>
      </c>
      <c r="BE40" s="368">
        <v>0</v>
      </c>
      <c r="BF40" s="367">
        <v>0</v>
      </c>
      <c r="BG40" s="367">
        <v>0</v>
      </c>
      <c r="BH40" s="367">
        <v>0</v>
      </c>
      <c r="BI40" s="367">
        <v>0</v>
      </c>
      <c r="BJ40" s="368">
        <v>0</v>
      </c>
      <c r="BK40" s="368">
        <v>0</v>
      </c>
      <c r="BL40" s="368">
        <v>0</v>
      </c>
      <c r="BM40" s="368">
        <v>0</v>
      </c>
      <c r="BN40" s="368">
        <v>0</v>
      </c>
      <c r="BO40" s="367">
        <f>BF40</f>
        <v>0</v>
      </c>
      <c r="BP40" s="367">
        <f t="shared" si="58"/>
        <v>0</v>
      </c>
      <c r="BQ40" s="367">
        <f t="shared" si="59"/>
        <v>0</v>
      </c>
      <c r="BR40" s="367">
        <f t="shared" si="60"/>
        <v>0</v>
      </c>
      <c r="BS40" s="367">
        <f t="shared" si="61"/>
        <v>0</v>
      </c>
      <c r="BT40" s="367">
        <f t="shared" si="62"/>
        <v>0</v>
      </c>
      <c r="BU40" s="367">
        <f t="shared" si="63"/>
        <v>0</v>
      </c>
      <c r="BV40" s="367">
        <f t="shared" ref="BV40:BW40" si="66">BM40</f>
        <v>0</v>
      </c>
      <c r="BW40" s="367">
        <f t="shared" si="66"/>
        <v>0</v>
      </c>
    </row>
    <row r="41" spans="2:78" x14ac:dyDescent="0.3">
      <c r="B41" s="366" t="s">
        <v>51</v>
      </c>
      <c r="C41" s="318" t="s">
        <v>797</v>
      </c>
      <c r="D41" s="367">
        <v>0</v>
      </c>
      <c r="E41" s="367">
        <v>0</v>
      </c>
      <c r="F41" s="367">
        <v>0</v>
      </c>
      <c r="G41" s="367">
        <v>0</v>
      </c>
      <c r="H41" s="368">
        <v>0</v>
      </c>
      <c r="I41" s="368">
        <v>0</v>
      </c>
      <c r="J41" s="368">
        <v>3.6850000000000001E-2</v>
      </c>
      <c r="K41" s="368">
        <v>0</v>
      </c>
      <c r="L41" s="368">
        <v>0</v>
      </c>
      <c r="M41" s="368">
        <v>0</v>
      </c>
      <c r="N41" s="368">
        <v>0</v>
      </c>
      <c r="O41" s="368">
        <v>0</v>
      </c>
      <c r="P41" s="368">
        <v>0</v>
      </c>
      <c r="Q41" s="368">
        <v>0</v>
      </c>
      <c r="R41" s="368">
        <v>0</v>
      </c>
      <c r="S41" s="368">
        <v>3.78327191399285E-2</v>
      </c>
      <c r="T41" s="368">
        <v>0</v>
      </c>
      <c r="U41" s="368">
        <v>0</v>
      </c>
      <c r="V41" s="368">
        <v>0</v>
      </c>
      <c r="W41" s="368">
        <v>0</v>
      </c>
      <c r="X41" s="368">
        <v>0</v>
      </c>
      <c r="Y41" s="368">
        <v>0</v>
      </c>
      <c r="Z41" s="368">
        <v>0</v>
      </c>
      <c r="AA41" s="368">
        <v>0</v>
      </c>
      <c r="AB41" s="368">
        <v>3.5096301192426002E-2</v>
      </c>
      <c r="AC41" s="368">
        <v>0</v>
      </c>
      <c r="AD41" s="368">
        <v>0</v>
      </c>
      <c r="AE41" s="368">
        <f t="shared" si="0"/>
        <v>0</v>
      </c>
      <c r="AF41" s="368">
        <f t="shared" si="1"/>
        <v>0</v>
      </c>
      <c r="AG41" s="368">
        <f t="shared" si="2"/>
        <v>0</v>
      </c>
      <c r="AH41" s="368">
        <f t="shared" si="3"/>
        <v>0</v>
      </c>
      <c r="AI41" s="368">
        <f t="shared" si="4"/>
        <v>0</v>
      </c>
      <c r="AJ41" s="368">
        <f t="shared" si="5"/>
        <v>0</v>
      </c>
      <c r="AK41" s="368">
        <f t="shared" si="6"/>
        <v>3.6464510166177251E-2</v>
      </c>
      <c r="AL41" s="368">
        <f t="shared" si="7"/>
        <v>0</v>
      </c>
      <c r="AM41" s="368">
        <f t="shared" si="8"/>
        <v>0</v>
      </c>
      <c r="AN41" s="367">
        <v>0</v>
      </c>
      <c r="AO41" s="367">
        <v>0</v>
      </c>
      <c r="AP41" s="367">
        <v>0</v>
      </c>
      <c r="AQ41" s="367">
        <v>0</v>
      </c>
      <c r="AR41" s="368">
        <v>0</v>
      </c>
      <c r="AS41" s="368">
        <v>0</v>
      </c>
      <c r="AT41" s="368">
        <v>3.6911978889570644E-2</v>
      </c>
      <c r="AU41" s="368">
        <v>0</v>
      </c>
      <c r="AV41" s="368">
        <v>0</v>
      </c>
      <c r="AW41" s="367">
        <v>0</v>
      </c>
      <c r="AX41" s="367">
        <v>0</v>
      </c>
      <c r="AY41" s="367">
        <v>0</v>
      </c>
      <c r="AZ41" s="367">
        <v>0</v>
      </c>
      <c r="BA41" s="368">
        <v>0</v>
      </c>
      <c r="BB41" s="368">
        <v>0</v>
      </c>
      <c r="BC41" s="368">
        <v>2.3169522542856522E-2</v>
      </c>
      <c r="BD41" s="368">
        <v>0</v>
      </c>
      <c r="BE41" s="368">
        <v>0</v>
      </c>
      <c r="BF41" s="367">
        <v>0</v>
      </c>
      <c r="BG41" s="367">
        <v>0</v>
      </c>
      <c r="BH41" s="367">
        <v>0</v>
      </c>
      <c r="BI41" s="367">
        <v>0</v>
      </c>
      <c r="BJ41" s="368">
        <v>0</v>
      </c>
      <c r="BK41" s="368">
        <v>0</v>
      </c>
      <c r="BL41" s="368">
        <v>2.0366344878748877E-2</v>
      </c>
      <c r="BM41" s="368">
        <v>0</v>
      </c>
      <c r="BN41" s="368">
        <v>0</v>
      </c>
      <c r="BO41" s="367">
        <f t="shared" ref="BO41:BO49" si="67">BF41</f>
        <v>0</v>
      </c>
      <c r="BP41" s="367">
        <f t="shared" ref="BP41:BP50" si="68">BG41</f>
        <v>0</v>
      </c>
      <c r="BQ41" s="367">
        <f t="shared" ref="BQ41:BQ50" si="69">BH41</f>
        <v>0</v>
      </c>
      <c r="BR41" s="367">
        <f t="shared" ref="BR41:BR50" si="70">BI41</f>
        <v>0</v>
      </c>
      <c r="BS41" s="367">
        <f t="shared" ref="BS41:BS50" si="71">BJ41</f>
        <v>0</v>
      </c>
      <c r="BT41" s="367">
        <f t="shared" ref="BT41:BT50" si="72">BK41</f>
        <v>0</v>
      </c>
      <c r="BU41" s="367">
        <f t="shared" ref="BU41:BU50" si="73">BL41</f>
        <v>2.0366344878748877E-2</v>
      </c>
      <c r="BV41" s="367">
        <f t="shared" ref="BV41:BV49" si="74">BM41</f>
        <v>0</v>
      </c>
      <c r="BW41" s="367">
        <f t="shared" ref="BW41:BW49" si="75">BN41</f>
        <v>0</v>
      </c>
    </row>
    <row r="42" spans="2:78" x14ac:dyDescent="0.3">
      <c r="B42" s="369" t="s">
        <v>719</v>
      </c>
      <c r="C42" s="318" t="s">
        <v>797</v>
      </c>
      <c r="D42" s="367">
        <v>0</v>
      </c>
      <c r="E42" s="367">
        <v>0</v>
      </c>
      <c r="F42" s="367">
        <v>0</v>
      </c>
      <c r="G42" s="367">
        <v>0</v>
      </c>
      <c r="H42" s="368">
        <v>0</v>
      </c>
      <c r="I42" s="368">
        <v>0</v>
      </c>
      <c r="J42" s="368">
        <v>0</v>
      </c>
      <c r="K42" s="368">
        <v>0</v>
      </c>
      <c r="L42" s="368">
        <v>0</v>
      </c>
      <c r="M42" s="368">
        <v>0</v>
      </c>
      <c r="N42" s="368">
        <v>0</v>
      </c>
      <c r="O42" s="368">
        <v>0</v>
      </c>
      <c r="P42" s="368">
        <v>0</v>
      </c>
      <c r="Q42" s="368">
        <v>0</v>
      </c>
      <c r="R42" s="368">
        <v>0</v>
      </c>
      <c r="S42" s="368">
        <v>0</v>
      </c>
      <c r="T42" s="368">
        <v>0</v>
      </c>
      <c r="U42" s="368">
        <v>0</v>
      </c>
      <c r="V42" s="368">
        <v>0</v>
      </c>
      <c r="W42" s="368">
        <v>0</v>
      </c>
      <c r="X42" s="368">
        <v>0</v>
      </c>
      <c r="Y42" s="368">
        <v>0</v>
      </c>
      <c r="Z42" s="368">
        <v>0</v>
      </c>
      <c r="AA42" s="368">
        <v>0</v>
      </c>
      <c r="AB42" s="368">
        <v>0</v>
      </c>
      <c r="AC42" s="368">
        <v>0</v>
      </c>
      <c r="AD42" s="368">
        <v>0</v>
      </c>
      <c r="AE42" s="368">
        <f t="shared" si="0"/>
        <v>0</v>
      </c>
      <c r="AF42" s="368">
        <f t="shared" si="1"/>
        <v>0</v>
      </c>
      <c r="AG42" s="368">
        <f t="shared" si="2"/>
        <v>0</v>
      </c>
      <c r="AH42" s="368">
        <f t="shared" si="3"/>
        <v>0</v>
      </c>
      <c r="AI42" s="368">
        <f t="shared" si="4"/>
        <v>0</v>
      </c>
      <c r="AJ42" s="368">
        <f t="shared" si="5"/>
        <v>0</v>
      </c>
      <c r="AK42" s="368">
        <f t="shared" si="6"/>
        <v>0</v>
      </c>
      <c r="AL42" s="368">
        <f t="shared" si="7"/>
        <v>0</v>
      </c>
      <c r="AM42" s="368">
        <f t="shared" si="8"/>
        <v>0</v>
      </c>
      <c r="AN42" s="367">
        <v>0</v>
      </c>
      <c r="AO42" s="367">
        <v>0</v>
      </c>
      <c r="AP42" s="367">
        <v>0</v>
      </c>
      <c r="AQ42" s="367">
        <v>0</v>
      </c>
      <c r="AR42" s="368">
        <v>0</v>
      </c>
      <c r="AS42" s="368">
        <v>0</v>
      </c>
      <c r="AT42" s="368">
        <v>0</v>
      </c>
      <c r="AU42" s="368">
        <v>0</v>
      </c>
      <c r="AV42" s="368">
        <v>0</v>
      </c>
      <c r="AW42" s="367">
        <v>0</v>
      </c>
      <c r="AX42" s="367">
        <v>0</v>
      </c>
      <c r="AY42" s="367">
        <v>0</v>
      </c>
      <c r="AZ42" s="367">
        <v>0</v>
      </c>
      <c r="BA42" s="368">
        <v>0</v>
      </c>
      <c r="BB42" s="368">
        <v>0</v>
      </c>
      <c r="BC42" s="368">
        <v>0</v>
      </c>
      <c r="BD42" s="368">
        <v>0</v>
      </c>
      <c r="BE42" s="368">
        <v>0</v>
      </c>
      <c r="BF42" s="367">
        <v>0</v>
      </c>
      <c r="BG42" s="367">
        <v>0</v>
      </c>
      <c r="BH42" s="367">
        <v>0</v>
      </c>
      <c r="BI42" s="367">
        <v>0</v>
      </c>
      <c r="BJ42" s="368">
        <v>0</v>
      </c>
      <c r="BK42" s="368">
        <v>0</v>
      </c>
      <c r="BL42" s="368">
        <v>0</v>
      </c>
      <c r="BM42" s="368">
        <v>0</v>
      </c>
      <c r="BN42" s="368">
        <v>0</v>
      </c>
      <c r="BO42" s="367">
        <f t="shared" si="67"/>
        <v>0</v>
      </c>
      <c r="BP42" s="367">
        <f t="shared" si="68"/>
        <v>0</v>
      </c>
      <c r="BQ42" s="367">
        <f t="shared" si="69"/>
        <v>0</v>
      </c>
      <c r="BR42" s="367">
        <f t="shared" si="70"/>
        <v>0</v>
      </c>
      <c r="BS42" s="367">
        <f t="shared" si="71"/>
        <v>0</v>
      </c>
      <c r="BT42" s="367">
        <f t="shared" si="72"/>
        <v>0</v>
      </c>
      <c r="BU42" s="367">
        <f t="shared" si="73"/>
        <v>0</v>
      </c>
      <c r="BV42" s="367">
        <f t="shared" si="74"/>
        <v>0</v>
      </c>
      <c r="BW42" s="367">
        <f t="shared" si="75"/>
        <v>0</v>
      </c>
    </row>
    <row r="43" spans="2:78" x14ac:dyDescent="0.3">
      <c r="B43" s="369" t="s">
        <v>830</v>
      </c>
      <c r="C43" s="318" t="s">
        <v>797</v>
      </c>
      <c r="D43" s="367">
        <v>0</v>
      </c>
      <c r="E43" s="367">
        <v>0</v>
      </c>
      <c r="F43" s="367">
        <v>0</v>
      </c>
      <c r="G43" s="367">
        <v>0</v>
      </c>
      <c r="H43" s="368">
        <v>0</v>
      </c>
      <c r="I43" s="368">
        <v>0</v>
      </c>
      <c r="J43" s="368">
        <v>0</v>
      </c>
      <c r="K43" s="368">
        <v>0</v>
      </c>
      <c r="L43" s="368">
        <v>0</v>
      </c>
      <c r="M43" s="368">
        <v>0</v>
      </c>
      <c r="N43" s="368">
        <v>0</v>
      </c>
      <c r="O43" s="368">
        <v>0</v>
      </c>
      <c r="P43" s="368">
        <v>0</v>
      </c>
      <c r="Q43" s="368">
        <v>0</v>
      </c>
      <c r="R43" s="368">
        <v>0</v>
      </c>
      <c r="S43" s="368">
        <v>0</v>
      </c>
      <c r="T43" s="368">
        <v>0</v>
      </c>
      <c r="U43" s="368">
        <v>0</v>
      </c>
      <c r="V43" s="368">
        <v>0</v>
      </c>
      <c r="W43" s="368">
        <v>0</v>
      </c>
      <c r="X43" s="368">
        <v>0</v>
      </c>
      <c r="Y43" s="368">
        <v>0</v>
      </c>
      <c r="Z43" s="368">
        <v>0</v>
      </c>
      <c r="AA43" s="368">
        <v>0</v>
      </c>
      <c r="AB43" s="368">
        <v>0</v>
      </c>
      <c r="AC43" s="368">
        <v>0</v>
      </c>
      <c r="AD43" s="368">
        <v>0</v>
      </c>
      <c r="AE43" s="368">
        <f t="shared" si="0"/>
        <v>0</v>
      </c>
      <c r="AF43" s="368">
        <f t="shared" si="1"/>
        <v>0</v>
      </c>
      <c r="AG43" s="368">
        <f t="shared" si="2"/>
        <v>0</v>
      </c>
      <c r="AH43" s="368">
        <f t="shared" si="3"/>
        <v>0</v>
      </c>
      <c r="AI43" s="368">
        <f t="shared" si="4"/>
        <v>0</v>
      </c>
      <c r="AJ43" s="368">
        <f t="shared" si="5"/>
        <v>0</v>
      </c>
      <c r="AK43" s="368">
        <f t="shared" si="6"/>
        <v>0</v>
      </c>
      <c r="AL43" s="368">
        <f t="shared" si="7"/>
        <v>0</v>
      </c>
      <c r="AM43" s="368">
        <f t="shared" si="8"/>
        <v>0</v>
      </c>
      <c r="AN43" s="367">
        <v>0</v>
      </c>
      <c r="AO43" s="367">
        <v>0</v>
      </c>
      <c r="AP43" s="367">
        <v>0</v>
      </c>
      <c r="AQ43" s="367">
        <v>0</v>
      </c>
      <c r="AR43" s="368">
        <v>0</v>
      </c>
      <c r="AS43" s="368">
        <v>0</v>
      </c>
      <c r="AT43" s="368">
        <v>0</v>
      </c>
      <c r="AU43" s="368">
        <v>0</v>
      </c>
      <c r="AV43" s="368">
        <v>0</v>
      </c>
      <c r="AW43" s="367">
        <v>0</v>
      </c>
      <c r="AX43" s="367">
        <v>0</v>
      </c>
      <c r="AY43" s="367">
        <v>0</v>
      </c>
      <c r="AZ43" s="367">
        <v>0</v>
      </c>
      <c r="BA43" s="368">
        <v>0</v>
      </c>
      <c r="BB43" s="368">
        <v>0</v>
      </c>
      <c r="BC43" s="368">
        <v>0</v>
      </c>
      <c r="BD43" s="368">
        <v>0</v>
      </c>
      <c r="BE43" s="368">
        <v>0</v>
      </c>
      <c r="BF43" s="367">
        <v>0</v>
      </c>
      <c r="BG43" s="367">
        <v>0</v>
      </c>
      <c r="BH43" s="367">
        <v>0</v>
      </c>
      <c r="BI43" s="367">
        <v>0</v>
      </c>
      <c r="BJ43" s="368">
        <v>0</v>
      </c>
      <c r="BK43" s="368">
        <v>0</v>
      </c>
      <c r="BL43" s="368">
        <v>0</v>
      </c>
      <c r="BM43" s="368">
        <v>0</v>
      </c>
      <c r="BN43" s="368">
        <v>0</v>
      </c>
      <c r="BO43" s="367">
        <f t="shared" si="67"/>
        <v>0</v>
      </c>
      <c r="BP43" s="367">
        <f t="shared" si="68"/>
        <v>0</v>
      </c>
      <c r="BQ43" s="367">
        <f t="shared" si="69"/>
        <v>0</v>
      </c>
      <c r="BR43" s="367">
        <f t="shared" si="70"/>
        <v>0</v>
      </c>
      <c r="BS43" s="367">
        <f t="shared" si="71"/>
        <v>0</v>
      </c>
      <c r="BT43" s="367">
        <f t="shared" si="72"/>
        <v>0</v>
      </c>
      <c r="BU43" s="367">
        <f t="shared" si="73"/>
        <v>0</v>
      </c>
      <c r="BV43" s="367">
        <f t="shared" si="74"/>
        <v>0</v>
      </c>
      <c r="BW43" s="367">
        <f t="shared" si="75"/>
        <v>0</v>
      </c>
    </row>
    <row r="44" spans="2:78" x14ac:dyDescent="0.3">
      <c r="B44" s="369" t="s">
        <v>16</v>
      </c>
      <c r="C44" s="318" t="s">
        <v>797</v>
      </c>
      <c r="D44" s="367">
        <v>0</v>
      </c>
      <c r="E44" s="367">
        <v>0</v>
      </c>
      <c r="F44" s="367">
        <v>0</v>
      </c>
      <c r="G44" s="367">
        <v>0</v>
      </c>
      <c r="H44" s="368">
        <v>0</v>
      </c>
      <c r="I44" s="368">
        <v>0</v>
      </c>
      <c r="J44" s="368">
        <v>0</v>
      </c>
      <c r="K44" s="368">
        <v>0</v>
      </c>
      <c r="L44" s="368">
        <v>0</v>
      </c>
      <c r="M44" s="368">
        <v>0</v>
      </c>
      <c r="N44" s="368">
        <v>0</v>
      </c>
      <c r="O44" s="368">
        <v>0</v>
      </c>
      <c r="P44" s="368">
        <v>0</v>
      </c>
      <c r="Q44" s="368">
        <v>0</v>
      </c>
      <c r="R44" s="368">
        <v>0</v>
      </c>
      <c r="S44" s="368">
        <v>0</v>
      </c>
      <c r="T44" s="368">
        <v>0</v>
      </c>
      <c r="U44" s="368">
        <v>0</v>
      </c>
      <c r="V44" s="368">
        <v>0</v>
      </c>
      <c r="W44" s="368">
        <v>0</v>
      </c>
      <c r="X44" s="368">
        <v>0</v>
      </c>
      <c r="Y44" s="368">
        <v>0</v>
      </c>
      <c r="Z44" s="368">
        <v>0</v>
      </c>
      <c r="AA44" s="368">
        <v>0</v>
      </c>
      <c r="AB44" s="368">
        <v>0</v>
      </c>
      <c r="AC44" s="368">
        <v>0</v>
      </c>
      <c r="AD44" s="368">
        <v>0</v>
      </c>
      <c r="AE44" s="368">
        <f t="shared" si="0"/>
        <v>0</v>
      </c>
      <c r="AF44" s="368">
        <f t="shared" si="1"/>
        <v>0</v>
      </c>
      <c r="AG44" s="368">
        <f t="shared" si="2"/>
        <v>0</v>
      </c>
      <c r="AH44" s="368">
        <f t="shared" si="3"/>
        <v>0</v>
      </c>
      <c r="AI44" s="368">
        <f t="shared" si="4"/>
        <v>0</v>
      </c>
      <c r="AJ44" s="368">
        <f t="shared" si="5"/>
        <v>0</v>
      </c>
      <c r="AK44" s="368">
        <f t="shared" si="6"/>
        <v>0</v>
      </c>
      <c r="AL44" s="368">
        <f t="shared" si="7"/>
        <v>0</v>
      </c>
      <c r="AM44" s="368">
        <f t="shared" si="8"/>
        <v>0</v>
      </c>
      <c r="AN44" s="367">
        <v>0</v>
      </c>
      <c r="AO44" s="367">
        <v>0</v>
      </c>
      <c r="AP44" s="367">
        <v>0</v>
      </c>
      <c r="AQ44" s="367">
        <v>0</v>
      </c>
      <c r="AR44" s="368">
        <v>0</v>
      </c>
      <c r="AS44" s="368">
        <v>0</v>
      </c>
      <c r="AT44" s="368">
        <v>0</v>
      </c>
      <c r="AU44" s="368">
        <v>0</v>
      </c>
      <c r="AV44" s="368">
        <v>0</v>
      </c>
      <c r="AW44" s="367">
        <v>0</v>
      </c>
      <c r="AX44" s="367">
        <v>0</v>
      </c>
      <c r="AY44" s="367">
        <v>0</v>
      </c>
      <c r="AZ44" s="367">
        <v>0</v>
      </c>
      <c r="BA44" s="368">
        <v>0</v>
      </c>
      <c r="BB44" s="368">
        <v>0</v>
      </c>
      <c r="BC44" s="368">
        <v>0</v>
      </c>
      <c r="BD44" s="368">
        <v>0</v>
      </c>
      <c r="BE44" s="368">
        <v>0</v>
      </c>
      <c r="BF44" s="367">
        <v>0</v>
      </c>
      <c r="BG44" s="367">
        <v>0</v>
      </c>
      <c r="BH44" s="367">
        <v>0</v>
      </c>
      <c r="BI44" s="367">
        <v>0</v>
      </c>
      <c r="BJ44" s="368">
        <v>0</v>
      </c>
      <c r="BK44" s="368">
        <v>0</v>
      </c>
      <c r="BL44" s="368">
        <v>0</v>
      </c>
      <c r="BM44" s="368">
        <v>0</v>
      </c>
      <c r="BN44" s="368">
        <v>0</v>
      </c>
      <c r="BO44" s="367">
        <f t="shared" si="67"/>
        <v>0</v>
      </c>
      <c r="BP44" s="367">
        <f t="shared" si="68"/>
        <v>0</v>
      </c>
      <c r="BQ44" s="367">
        <f t="shared" si="69"/>
        <v>0</v>
      </c>
      <c r="BR44" s="367">
        <f t="shared" si="70"/>
        <v>0</v>
      </c>
      <c r="BS44" s="367">
        <f t="shared" si="71"/>
        <v>0</v>
      </c>
      <c r="BT44" s="367">
        <f t="shared" si="72"/>
        <v>0</v>
      </c>
      <c r="BU44" s="367">
        <f t="shared" si="73"/>
        <v>0</v>
      </c>
      <c r="BV44" s="367">
        <f t="shared" si="74"/>
        <v>0</v>
      </c>
      <c r="BW44" s="367">
        <f t="shared" si="75"/>
        <v>0</v>
      </c>
    </row>
    <row r="45" spans="2:78" x14ac:dyDescent="0.3">
      <c r="B45" s="357" t="s">
        <v>831</v>
      </c>
      <c r="C45" s="318" t="s">
        <v>797</v>
      </c>
      <c r="D45" s="367">
        <v>0</v>
      </c>
      <c r="E45" s="367">
        <v>0</v>
      </c>
      <c r="F45" s="367">
        <v>0</v>
      </c>
      <c r="G45" s="367">
        <v>0</v>
      </c>
      <c r="H45" s="368">
        <v>0</v>
      </c>
      <c r="I45" s="368">
        <v>0</v>
      </c>
      <c r="J45" s="368">
        <v>0</v>
      </c>
      <c r="K45" s="368">
        <v>0</v>
      </c>
      <c r="L45" s="368">
        <v>0</v>
      </c>
      <c r="M45" s="368">
        <v>0</v>
      </c>
      <c r="N45" s="368">
        <v>0</v>
      </c>
      <c r="O45" s="368">
        <v>0</v>
      </c>
      <c r="P45" s="368">
        <v>0</v>
      </c>
      <c r="Q45" s="368">
        <v>0</v>
      </c>
      <c r="R45" s="368">
        <v>0</v>
      </c>
      <c r="S45" s="368">
        <v>0</v>
      </c>
      <c r="T45" s="368">
        <v>0</v>
      </c>
      <c r="U45" s="368">
        <v>0</v>
      </c>
      <c r="V45" s="368">
        <v>0</v>
      </c>
      <c r="W45" s="368">
        <v>0</v>
      </c>
      <c r="X45" s="368">
        <v>0</v>
      </c>
      <c r="Y45" s="368">
        <v>0</v>
      </c>
      <c r="Z45" s="368">
        <v>0</v>
      </c>
      <c r="AA45" s="368">
        <v>0</v>
      </c>
      <c r="AB45" s="368">
        <v>0</v>
      </c>
      <c r="AC45" s="368">
        <v>0</v>
      </c>
      <c r="AD45" s="368">
        <v>0</v>
      </c>
      <c r="AE45" s="368">
        <f t="shared" si="0"/>
        <v>0</v>
      </c>
      <c r="AF45" s="368">
        <f t="shared" si="1"/>
        <v>0</v>
      </c>
      <c r="AG45" s="368">
        <f t="shared" si="2"/>
        <v>0</v>
      </c>
      <c r="AH45" s="368">
        <f t="shared" si="3"/>
        <v>0</v>
      </c>
      <c r="AI45" s="368">
        <f t="shared" si="4"/>
        <v>0</v>
      </c>
      <c r="AJ45" s="368">
        <f t="shared" si="5"/>
        <v>0</v>
      </c>
      <c r="AK45" s="368">
        <f t="shared" si="6"/>
        <v>0</v>
      </c>
      <c r="AL45" s="368">
        <f t="shared" si="7"/>
        <v>0</v>
      </c>
      <c r="AM45" s="368">
        <f t="shared" si="8"/>
        <v>0</v>
      </c>
      <c r="AN45" s="367">
        <v>0</v>
      </c>
      <c r="AO45" s="367">
        <v>0</v>
      </c>
      <c r="AP45" s="367">
        <v>0</v>
      </c>
      <c r="AQ45" s="367">
        <v>0</v>
      </c>
      <c r="AR45" s="368">
        <v>0</v>
      </c>
      <c r="AS45" s="368">
        <v>0</v>
      </c>
      <c r="AT45" s="368">
        <v>0</v>
      </c>
      <c r="AU45" s="368">
        <v>0</v>
      </c>
      <c r="AV45" s="368">
        <v>0</v>
      </c>
      <c r="AW45" s="367">
        <v>0</v>
      </c>
      <c r="AX45" s="367">
        <v>0</v>
      </c>
      <c r="AY45" s="367">
        <v>0</v>
      </c>
      <c r="AZ45" s="367">
        <v>0</v>
      </c>
      <c r="BA45" s="368">
        <v>0</v>
      </c>
      <c r="BB45" s="368">
        <v>0</v>
      </c>
      <c r="BC45" s="368">
        <v>0</v>
      </c>
      <c r="BD45" s="368">
        <v>0</v>
      </c>
      <c r="BE45" s="368">
        <v>0</v>
      </c>
      <c r="BF45" s="367">
        <v>0</v>
      </c>
      <c r="BG45" s="367">
        <v>0</v>
      </c>
      <c r="BH45" s="367">
        <v>0</v>
      </c>
      <c r="BI45" s="367">
        <v>0</v>
      </c>
      <c r="BJ45" s="368">
        <v>0</v>
      </c>
      <c r="BK45" s="368">
        <v>0</v>
      </c>
      <c r="BL45" s="368">
        <v>0</v>
      </c>
      <c r="BM45" s="368">
        <v>0</v>
      </c>
      <c r="BN45" s="368">
        <v>0</v>
      </c>
      <c r="BO45" s="367">
        <f t="shared" si="67"/>
        <v>0</v>
      </c>
      <c r="BP45" s="367">
        <f t="shared" si="68"/>
        <v>0</v>
      </c>
      <c r="BQ45" s="367">
        <f t="shared" si="69"/>
        <v>0</v>
      </c>
      <c r="BR45" s="367">
        <f t="shared" si="70"/>
        <v>0</v>
      </c>
      <c r="BS45" s="367">
        <f t="shared" si="71"/>
        <v>0</v>
      </c>
      <c r="BT45" s="367">
        <f t="shared" si="72"/>
        <v>0</v>
      </c>
      <c r="BU45" s="367">
        <f t="shared" si="73"/>
        <v>0</v>
      </c>
      <c r="BV45" s="367">
        <f t="shared" si="74"/>
        <v>0</v>
      </c>
      <c r="BW45" s="367">
        <f t="shared" si="75"/>
        <v>0</v>
      </c>
    </row>
    <row r="46" spans="2:78" x14ac:dyDescent="0.3">
      <c r="B46" s="357" t="s">
        <v>25</v>
      </c>
      <c r="C46" s="318" t="s">
        <v>797</v>
      </c>
      <c r="D46" s="367">
        <v>0</v>
      </c>
      <c r="E46" s="367">
        <v>0</v>
      </c>
      <c r="F46" s="367">
        <v>0</v>
      </c>
      <c r="G46" s="367">
        <v>0</v>
      </c>
      <c r="H46" s="368">
        <v>0</v>
      </c>
      <c r="I46" s="368">
        <v>8.3559640000000004E-2</v>
      </c>
      <c r="J46" s="368">
        <v>4.0535000000000002E-2</v>
      </c>
      <c r="K46" s="368">
        <v>0</v>
      </c>
      <c r="L46" s="368">
        <v>1.1040116959064299</v>
      </c>
      <c r="M46" s="368">
        <v>0</v>
      </c>
      <c r="N46" s="368">
        <v>0</v>
      </c>
      <c r="O46" s="368">
        <v>0</v>
      </c>
      <c r="P46" s="368">
        <v>0</v>
      </c>
      <c r="Q46" s="368">
        <v>0</v>
      </c>
      <c r="R46" s="368">
        <v>8.4441400700406399E-2</v>
      </c>
      <c r="S46" s="368">
        <v>4.0962744422917301E-2</v>
      </c>
      <c r="T46" s="368">
        <v>0</v>
      </c>
      <c r="U46" s="368">
        <v>1.1156617476088999</v>
      </c>
      <c r="V46" s="368">
        <v>0</v>
      </c>
      <c r="W46" s="368">
        <v>0</v>
      </c>
      <c r="X46" s="368">
        <v>0</v>
      </c>
      <c r="Y46" s="368">
        <v>0</v>
      </c>
      <c r="Z46" s="368">
        <v>0</v>
      </c>
      <c r="AA46" s="368">
        <v>8.4402498483409805E-2</v>
      </c>
      <c r="AB46" s="368">
        <v>4.0943872855663602E-2</v>
      </c>
      <c r="AC46" s="368">
        <v>0</v>
      </c>
      <c r="AD46" s="368">
        <v>1.1151477614002301</v>
      </c>
      <c r="AE46" s="368">
        <f t="shared" si="0"/>
        <v>0</v>
      </c>
      <c r="AF46" s="368">
        <f t="shared" si="1"/>
        <v>0</v>
      </c>
      <c r="AG46" s="368">
        <f t="shared" si="2"/>
        <v>0</v>
      </c>
      <c r="AH46" s="368">
        <f t="shared" si="3"/>
        <v>0</v>
      </c>
      <c r="AI46" s="368">
        <f t="shared" si="4"/>
        <v>0</v>
      </c>
      <c r="AJ46" s="368">
        <f t="shared" si="5"/>
        <v>8.4421949591908102E-2</v>
      </c>
      <c r="AK46" s="368">
        <f t="shared" si="6"/>
        <v>4.0953308639290448E-2</v>
      </c>
      <c r="AL46" s="368">
        <f t="shared" si="7"/>
        <v>0</v>
      </c>
      <c r="AM46" s="368">
        <f t="shared" si="8"/>
        <v>1.1154047545045649</v>
      </c>
      <c r="AN46" s="367">
        <v>0</v>
      </c>
      <c r="AO46" s="367">
        <v>0</v>
      </c>
      <c r="AP46" s="367">
        <v>0</v>
      </c>
      <c r="AQ46" s="367">
        <v>0</v>
      </c>
      <c r="AR46" s="368">
        <v>0</v>
      </c>
      <c r="AS46" s="368">
        <v>8.6244429960129251E-2</v>
      </c>
      <c r="AT46" s="368">
        <v>4.1837398634482388E-2</v>
      </c>
      <c r="AU46" s="368">
        <v>0</v>
      </c>
      <c r="AV46" s="368">
        <v>1.1394838391209661</v>
      </c>
      <c r="AW46" s="367">
        <v>0</v>
      </c>
      <c r="AX46" s="367">
        <v>0</v>
      </c>
      <c r="AY46" s="367">
        <v>0</v>
      </c>
      <c r="AZ46" s="367">
        <v>0</v>
      </c>
      <c r="BA46" s="368">
        <v>0</v>
      </c>
      <c r="BB46" s="368">
        <v>8.856441670169897E-2</v>
      </c>
      <c r="BC46" s="368">
        <v>4.2962830273124301E-2</v>
      </c>
      <c r="BD46" s="368">
        <v>0</v>
      </c>
      <c r="BE46" s="368">
        <v>1.1701361073337162</v>
      </c>
      <c r="BF46" s="367">
        <v>0</v>
      </c>
      <c r="BG46" s="367">
        <v>0</v>
      </c>
      <c r="BH46" s="367">
        <v>0</v>
      </c>
      <c r="BI46" s="367">
        <v>0</v>
      </c>
      <c r="BJ46" s="368">
        <v>0</v>
      </c>
      <c r="BK46" s="368">
        <v>8.8684182401901152E-2</v>
      </c>
      <c r="BL46" s="368">
        <v>4.3020928927662488E-2</v>
      </c>
      <c r="BM46" s="368">
        <v>0</v>
      </c>
      <c r="BN46" s="368">
        <v>1.1717184829135012</v>
      </c>
      <c r="BO46" s="367">
        <f t="shared" si="67"/>
        <v>0</v>
      </c>
      <c r="BP46" s="367">
        <f t="shared" si="68"/>
        <v>0</v>
      </c>
      <c r="BQ46" s="367">
        <f t="shared" si="69"/>
        <v>0</v>
      </c>
      <c r="BR46" s="367">
        <f t="shared" si="70"/>
        <v>0</v>
      </c>
      <c r="BS46" s="367">
        <f t="shared" si="71"/>
        <v>0</v>
      </c>
      <c r="BT46" s="367">
        <f t="shared" si="72"/>
        <v>8.8684182401901152E-2</v>
      </c>
      <c r="BU46" s="367">
        <f t="shared" si="73"/>
        <v>4.3020928927662488E-2</v>
      </c>
      <c r="BV46" s="367">
        <f t="shared" si="74"/>
        <v>0</v>
      </c>
      <c r="BW46" s="367">
        <f t="shared" si="75"/>
        <v>1.1717184829135012</v>
      </c>
    </row>
    <row r="47" spans="2:78" x14ac:dyDescent="0.3">
      <c r="B47" s="370" t="s">
        <v>674</v>
      </c>
      <c r="C47" s="318" t="s">
        <v>797</v>
      </c>
      <c r="D47" s="367">
        <v>0</v>
      </c>
      <c r="E47" s="367">
        <v>0</v>
      </c>
      <c r="F47" s="367">
        <v>0</v>
      </c>
      <c r="G47" s="367">
        <v>0</v>
      </c>
      <c r="H47" s="368">
        <v>0</v>
      </c>
      <c r="I47" s="368">
        <v>7.4273580146371102E-2</v>
      </c>
      <c r="J47" s="368">
        <v>4.4220000000000002E-2</v>
      </c>
      <c r="K47" s="368">
        <v>0</v>
      </c>
      <c r="L47" s="368">
        <v>0</v>
      </c>
      <c r="M47" s="368">
        <v>0</v>
      </c>
      <c r="N47" s="368">
        <v>0</v>
      </c>
      <c r="O47" s="368">
        <v>0</v>
      </c>
      <c r="P47" s="368">
        <v>0</v>
      </c>
      <c r="Q47" s="368">
        <v>0</v>
      </c>
      <c r="R47" s="368">
        <v>7.2586368203723106E-2</v>
      </c>
      <c r="S47" s="368">
        <v>4.3215490563981697E-2</v>
      </c>
      <c r="T47" s="368">
        <v>0</v>
      </c>
      <c r="U47" s="368">
        <v>0</v>
      </c>
      <c r="V47" s="368">
        <v>0</v>
      </c>
      <c r="W47" s="368">
        <v>0</v>
      </c>
      <c r="X47" s="368">
        <v>0</v>
      </c>
      <c r="Y47" s="368">
        <v>0</v>
      </c>
      <c r="Z47" s="368">
        <v>0</v>
      </c>
      <c r="AA47" s="368">
        <v>7.1667237426769503E-2</v>
      </c>
      <c r="AB47" s="368">
        <v>4.2668270908260301E-2</v>
      </c>
      <c r="AC47" s="368">
        <v>0</v>
      </c>
      <c r="AD47" s="368">
        <v>0</v>
      </c>
      <c r="AE47" s="368">
        <f t="shared" si="0"/>
        <v>0</v>
      </c>
      <c r="AF47" s="368">
        <f t="shared" si="1"/>
        <v>0</v>
      </c>
      <c r="AG47" s="368">
        <f t="shared" si="2"/>
        <v>0</v>
      </c>
      <c r="AH47" s="368">
        <f t="shared" si="3"/>
        <v>0</v>
      </c>
      <c r="AI47" s="368">
        <f t="shared" si="4"/>
        <v>0</v>
      </c>
      <c r="AJ47" s="368">
        <f t="shared" si="5"/>
        <v>7.2126802815246305E-2</v>
      </c>
      <c r="AK47" s="368">
        <f t="shared" si="6"/>
        <v>4.2941880736120999E-2</v>
      </c>
      <c r="AL47" s="368">
        <f t="shared" si="7"/>
        <v>0</v>
      </c>
      <c r="AM47" s="368">
        <f t="shared" si="8"/>
        <v>0</v>
      </c>
      <c r="AN47" s="367">
        <v>0</v>
      </c>
      <c r="AO47" s="367">
        <v>0</v>
      </c>
      <c r="AP47" s="367">
        <v>0</v>
      </c>
      <c r="AQ47" s="367">
        <v>0</v>
      </c>
      <c r="AR47" s="368">
        <v>0</v>
      </c>
      <c r="AS47" s="368">
        <v>6.2736805436917273E-2</v>
      </c>
      <c r="AT47" s="368">
        <v>3.7351391045824356E-2</v>
      </c>
      <c r="AU47" s="368">
        <v>0</v>
      </c>
      <c r="AV47" s="368">
        <v>0</v>
      </c>
      <c r="AW47" s="367">
        <v>0</v>
      </c>
      <c r="AX47" s="367">
        <v>0</v>
      </c>
      <c r="AY47" s="367">
        <v>0</v>
      </c>
      <c r="AZ47" s="367">
        <v>0</v>
      </c>
      <c r="BA47" s="368">
        <v>0</v>
      </c>
      <c r="BB47" s="368">
        <v>4.9396197403026885E-2</v>
      </c>
      <c r="BC47" s="368">
        <v>2.9408840194013072E-2</v>
      </c>
      <c r="BD47" s="368">
        <v>0</v>
      </c>
      <c r="BE47" s="368">
        <v>0</v>
      </c>
      <c r="BF47" s="367">
        <v>0</v>
      </c>
      <c r="BG47" s="367">
        <v>0</v>
      </c>
      <c r="BH47" s="367">
        <v>0</v>
      </c>
      <c r="BI47" s="367">
        <v>0</v>
      </c>
      <c r="BJ47" s="368">
        <v>0</v>
      </c>
      <c r="BK47" s="368">
        <v>5.5147893696798268E-2</v>
      </c>
      <c r="BL47" s="368">
        <v>3.2833207372885323E-2</v>
      </c>
      <c r="BM47" s="368">
        <v>0</v>
      </c>
      <c r="BN47" s="368">
        <v>0</v>
      </c>
      <c r="BO47" s="367">
        <f t="shared" si="67"/>
        <v>0</v>
      </c>
      <c r="BP47" s="367">
        <f t="shared" si="68"/>
        <v>0</v>
      </c>
      <c r="BQ47" s="367">
        <f t="shared" si="69"/>
        <v>0</v>
      </c>
      <c r="BR47" s="367">
        <f t="shared" si="70"/>
        <v>0</v>
      </c>
      <c r="BS47" s="367">
        <f t="shared" si="71"/>
        <v>0</v>
      </c>
      <c r="BT47" s="367">
        <f t="shared" si="72"/>
        <v>5.5147893696798268E-2</v>
      </c>
      <c r="BU47" s="367">
        <f t="shared" si="73"/>
        <v>3.2833207372885323E-2</v>
      </c>
      <c r="BV47" s="367">
        <f t="shared" si="74"/>
        <v>0</v>
      </c>
      <c r="BW47" s="367">
        <f t="shared" si="75"/>
        <v>0</v>
      </c>
    </row>
    <row r="48" spans="2:78" x14ac:dyDescent="0.3">
      <c r="B48" s="371" t="s">
        <v>832</v>
      </c>
      <c r="C48" s="318" t="s">
        <v>797</v>
      </c>
      <c r="D48" s="367">
        <v>0</v>
      </c>
      <c r="E48" s="367">
        <v>0</v>
      </c>
      <c r="F48" s="367">
        <v>0</v>
      </c>
      <c r="G48" s="367">
        <v>0</v>
      </c>
      <c r="H48" s="368">
        <v>0</v>
      </c>
      <c r="I48" s="368">
        <v>0</v>
      </c>
      <c r="J48" s="368">
        <v>0</v>
      </c>
      <c r="K48" s="368">
        <v>0</v>
      </c>
      <c r="L48" s="368">
        <v>0.34892000000000001</v>
      </c>
      <c r="M48" s="368">
        <v>0</v>
      </c>
      <c r="N48" s="368">
        <v>0</v>
      </c>
      <c r="O48" s="368">
        <v>0</v>
      </c>
      <c r="P48" s="368">
        <v>0</v>
      </c>
      <c r="Q48" s="368">
        <v>0</v>
      </c>
      <c r="R48" s="368">
        <v>0</v>
      </c>
      <c r="S48" s="368">
        <v>0</v>
      </c>
      <c r="T48" s="368">
        <v>0</v>
      </c>
      <c r="U48" s="368">
        <v>0.34892000000000001</v>
      </c>
      <c r="V48" s="368">
        <v>0</v>
      </c>
      <c r="W48" s="368">
        <v>0</v>
      </c>
      <c r="X48" s="368">
        <v>0</v>
      </c>
      <c r="Y48" s="368">
        <v>0</v>
      </c>
      <c r="Z48" s="368">
        <v>0</v>
      </c>
      <c r="AA48" s="368">
        <v>0</v>
      </c>
      <c r="AB48" s="368">
        <v>0</v>
      </c>
      <c r="AC48" s="368">
        <v>0</v>
      </c>
      <c r="AD48" s="368">
        <v>0.34892000000000001</v>
      </c>
      <c r="AE48" s="368">
        <f t="shared" si="0"/>
        <v>0</v>
      </c>
      <c r="AF48" s="368">
        <f t="shared" si="1"/>
        <v>0</v>
      </c>
      <c r="AG48" s="368">
        <f t="shared" si="2"/>
        <v>0</v>
      </c>
      <c r="AH48" s="368">
        <f t="shared" si="3"/>
        <v>0</v>
      </c>
      <c r="AI48" s="368">
        <f t="shared" si="4"/>
        <v>0</v>
      </c>
      <c r="AJ48" s="368">
        <f t="shared" si="5"/>
        <v>0</v>
      </c>
      <c r="AK48" s="368">
        <f t="shared" si="6"/>
        <v>0</v>
      </c>
      <c r="AL48" s="368">
        <f t="shared" si="7"/>
        <v>0</v>
      </c>
      <c r="AM48" s="368">
        <f t="shared" si="8"/>
        <v>0.34892000000000001</v>
      </c>
      <c r="AN48" s="367">
        <v>0</v>
      </c>
      <c r="AO48" s="367">
        <v>0</v>
      </c>
      <c r="AP48" s="367">
        <v>0</v>
      </c>
      <c r="AQ48" s="367">
        <v>0</v>
      </c>
      <c r="AR48" s="368">
        <v>0</v>
      </c>
      <c r="AS48" s="368">
        <v>0</v>
      </c>
      <c r="AT48" s="368">
        <v>0</v>
      </c>
      <c r="AU48" s="368">
        <v>0</v>
      </c>
      <c r="AV48" s="368">
        <v>0.34892000000000001</v>
      </c>
      <c r="AW48" s="367">
        <v>0</v>
      </c>
      <c r="AX48" s="367">
        <v>0</v>
      </c>
      <c r="AY48" s="367">
        <v>0</v>
      </c>
      <c r="AZ48" s="367">
        <v>0</v>
      </c>
      <c r="BA48" s="368">
        <v>0</v>
      </c>
      <c r="BB48" s="368">
        <v>0</v>
      </c>
      <c r="BC48" s="368">
        <v>0</v>
      </c>
      <c r="BD48" s="368">
        <v>0</v>
      </c>
      <c r="BE48" s="368">
        <v>0.34892000000000001</v>
      </c>
      <c r="BF48" s="367">
        <v>0</v>
      </c>
      <c r="BG48" s="367">
        <v>0</v>
      </c>
      <c r="BH48" s="367">
        <v>0</v>
      </c>
      <c r="BI48" s="367">
        <v>0</v>
      </c>
      <c r="BJ48" s="368">
        <v>0</v>
      </c>
      <c r="BK48" s="368">
        <v>0</v>
      </c>
      <c r="BL48" s="368">
        <v>0</v>
      </c>
      <c r="BM48" s="368">
        <v>0</v>
      </c>
      <c r="BN48" s="368">
        <v>0.34892000000000001</v>
      </c>
      <c r="BO48" s="367">
        <f t="shared" si="67"/>
        <v>0</v>
      </c>
      <c r="BP48" s="367">
        <f t="shared" si="68"/>
        <v>0</v>
      </c>
      <c r="BQ48" s="367">
        <f t="shared" si="69"/>
        <v>0</v>
      </c>
      <c r="BR48" s="367">
        <f t="shared" si="70"/>
        <v>0</v>
      </c>
      <c r="BS48" s="367">
        <f t="shared" si="71"/>
        <v>0</v>
      </c>
      <c r="BT48" s="367">
        <f t="shared" si="72"/>
        <v>0</v>
      </c>
      <c r="BU48" s="367">
        <f t="shared" si="73"/>
        <v>0</v>
      </c>
      <c r="BV48" s="367">
        <f t="shared" si="74"/>
        <v>0</v>
      </c>
      <c r="BW48" s="367">
        <f t="shared" si="75"/>
        <v>0.34892000000000001</v>
      </c>
    </row>
    <row r="49" spans="2:75" x14ac:dyDescent="0.3">
      <c r="B49" s="371" t="s">
        <v>833</v>
      </c>
      <c r="C49" s="318" t="s">
        <v>797</v>
      </c>
      <c r="D49" s="367">
        <v>0</v>
      </c>
      <c r="E49" s="367">
        <v>0</v>
      </c>
      <c r="F49" s="367">
        <v>0</v>
      </c>
      <c r="G49" s="367">
        <v>0</v>
      </c>
      <c r="H49" s="368">
        <v>0</v>
      </c>
      <c r="I49" s="368">
        <v>0</v>
      </c>
      <c r="J49" s="368">
        <v>0</v>
      </c>
      <c r="K49" s="368">
        <v>0</v>
      </c>
      <c r="L49" s="368">
        <v>0</v>
      </c>
      <c r="M49" s="368">
        <v>0</v>
      </c>
      <c r="N49" s="368">
        <v>0</v>
      </c>
      <c r="O49" s="368">
        <v>0</v>
      </c>
      <c r="P49" s="368">
        <v>0</v>
      </c>
      <c r="Q49" s="368">
        <v>0</v>
      </c>
      <c r="R49" s="368">
        <v>0</v>
      </c>
      <c r="S49" s="368">
        <v>0</v>
      </c>
      <c r="T49" s="368">
        <v>0</v>
      </c>
      <c r="U49" s="368">
        <v>0</v>
      </c>
      <c r="V49" s="368">
        <v>0</v>
      </c>
      <c r="W49" s="368">
        <v>0</v>
      </c>
      <c r="X49" s="368">
        <v>0</v>
      </c>
      <c r="Y49" s="368">
        <v>0</v>
      </c>
      <c r="Z49" s="368">
        <v>0</v>
      </c>
      <c r="AA49" s="368">
        <v>0</v>
      </c>
      <c r="AB49" s="368">
        <v>0</v>
      </c>
      <c r="AC49" s="368">
        <v>0</v>
      </c>
      <c r="AD49" s="368">
        <v>0</v>
      </c>
      <c r="AE49" s="368">
        <f t="shared" si="0"/>
        <v>0</v>
      </c>
      <c r="AF49" s="368">
        <f t="shared" si="1"/>
        <v>0</v>
      </c>
      <c r="AG49" s="368">
        <f t="shared" si="2"/>
        <v>0</v>
      </c>
      <c r="AH49" s="368">
        <f t="shared" si="3"/>
        <v>0</v>
      </c>
      <c r="AI49" s="368">
        <f t="shared" si="4"/>
        <v>0</v>
      </c>
      <c r="AJ49" s="368">
        <f t="shared" si="5"/>
        <v>0</v>
      </c>
      <c r="AK49" s="368">
        <f t="shared" si="6"/>
        <v>0</v>
      </c>
      <c r="AL49" s="368">
        <f t="shared" si="7"/>
        <v>0</v>
      </c>
      <c r="AM49" s="368">
        <f t="shared" si="8"/>
        <v>0</v>
      </c>
      <c r="AN49" s="367">
        <v>0</v>
      </c>
      <c r="AO49" s="367">
        <v>0</v>
      </c>
      <c r="AP49" s="367">
        <v>0</v>
      </c>
      <c r="AQ49" s="367">
        <v>0</v>
      </c>
      <c r="AR49" s="368">
        <v>0</v>
      </c>
      <c r="AS49" s="368">
        <v>0</v>
      </c>
      <c r="AT49" s="368">
        <v>0</v>
      </c>
      <c r="AU49" s="368">
        <v>0</v>
      </c>
      <c r="AV49" s="368">
        <v>0</v>
      </c>
      <c r="AW49" s="367">
        <v>0</v>
      </c>
      <c r="AX49" s="367">
        <v>0</v>
      </c>
      <c r="AY49" s="367">
        <v>0</v>
      </c>
      <c r="AZ49" s="367">
        <v>0</v>
      </c>
      <c r="BA49" s="368">
        <v>0</v>
      </c>
      <c r="BB49" s="368">
        <v>0</v>
      </c>
      <c r="BC49" s="368">
        <v>0</v>
      </c>
      <c r="BD49" s="368">
        <v>0</v>
      </c>
      <c r="BE49" s="368">
        <v>0</v>
      </c>
      <c r="BF49" s="367">
        <v>0</v>
      </c>
      <c r="BG49" s="367">
        <v>0</v>
      </c>
      <c r="BH49" s="367">
        <v>0</v>
      </c>
      <c r="BI49" s="367">
        <v>0</v>
      </c>
      <c r="BJ49" s="368">
        <v>0</v>
      </c>
      <c r="BK49" s="368">
        <v>0</v>
      </c>
      <c r="BL49" s="368">
        <v>0</v>
      </c>
      <c r="BM49" s="368">
        <v>0</v>
      </c>
      <c r="BN49" s="368">
        <v>0</v>
      </c>
      <c r="BO49" s="367">
        <f t="shared" si="67"/>
        <v>0</v>
      </c>
      <c r="BP49" s="367">
        <f t="shared" si="68"/>
        <v>0</v>
      </c>
      <c r="BQ49" s="367">
        <f t="shared" si="69"/>
        <v>0</v>
      </c>
      <c r="BR49" s="367">
        <f t="shared" si="70"/>
        <v>0</v>
      </c>
      <c r="BS49" s="367">
        <f t="shared" si="71"/>
        <v>0</v>
      </c>
      <c r="BT49" s="367">
        <f t="shared" si="72"/>
        <v>0</v>
      </c>
      <c r="BU49" s="367">
        <f t="shared" si="73"/>
        <v>0</v>
      </c>
      <c r="BV49" s="367">
        <f t="shared" si="74"/>
        <v>0</v>
      </c>
      <c r="BW49" s="367">
        <f t="shared" si="75"/>
        <v>0</v>
      </c>
    </row>
    <row r="50" spans="2:75" x14ac:dyDescent="0.3">
      <c r="B50" s="371" t="s">
        <v>834</v>
      </c>
      <c r="C50" s="318" t="s">
        <v>797</v>
      </c>
      <c r="D50" s="367">
        <v>0</v>
      </c>
      <c r="E50" s="367">
        <v>0</v>
      </c>
      <c r="F50" s="367">
        <v>0</v>
      </c>
      <c r="G50" s="367">
        <v>0</v>
      </c>
      <c r="H50" s="368">
        <v>6.7536176344524607E-2</v>
      </c>
      <c r="I50" s="368">
        <v>-9.0393637000331199E-3</v>
      </c>
      <c r="J50" s="368">
        <v>0.24759328268199901</v>
      </c>
      <c r="K50" s="368">
        <v>1.073</v>
      </c>
      <c r="L50" s="368">
        <v>0.39283753486279799</v>
      </c>
      <c r="M50" s="368">
        <v>0</v>
      </c>
      <c r="N50" s="368">
        <v>0</v>
      </c>
      <c r="O50" s="368">
        <v>0</v>
      </c>
      <c r="P50" s="368">
        <v>0</v>
      </c>
      <c r="Q50" s="368">
        <v>6.4915413810266998E-2</v>
      </c>
      <c r="R50" s="368">
        <v>-9.1759180001963307E-3</v>
      </c>
      <c r="S50" s="368">
        <v>0.26726828492606702</v>
      </c>
      <c r="T50" s="368">
        <v>1.13594553057574</v>
      </c>
      <c r="U50" s="368">
        <v>0.39683473223350402</v>
      </c>
      <c r="V50" s="368">
        <v>0</v>
      </c>
      <c r="W50" s="368">
        <v>0</v>
      </c>
      <c r="X50" s="368">
        <v>0</v>
      </c>
      <c r="Y50" s="368">
        <v>0</v>
      </c>
      <c r="Z50" s="368">
        <v>6.1163422227653703E-2</v>
      </c>
      <c r="AA50" s="368">
        <v>-8.9675477206785197E-3</v>
      </c>
      <c r="AB50" s="368">
        <v>0.25192602736363101</v>
      </c>
      <c r="AC50" s="368">
        <v>1.1530759340485099</v>
      </c>
      <c r="AD50" s="368">
        <v>0.39129634450637002</v>
      </c>
      <c r="AE50" s="368">
        <f t="shared" si="0"/>
        <v>0</v>
      </c>
      <c r="AF50" s="368">
        <f t="shared" si="1"/>
        <v>0</v>
      </c>
      <c r="AG50" s="368">
        <f t="shared" si="2"/>
        <v>0</v>
      </c>
      <c r="AH50" s="368">
        <f t="shared" si="3"/>
        <v>0</v>
      </c>
      <c r="AI50" s="368">
        <f t="shared" si="4"/>
        <v>6.3039418018960347E-2</v>
      </c>
      <c r="AJ50" s="368">
        <f t="shared" si="5"/>
        <v>-9.0717328604374252E-3</v>
      </c>
      <c r="AK50" s="368">
        <f t="shared" si="6"/>
        <v>0.25959715614484902</v>
      </c>
      <c r="AL50" s="368">
        <f t="shared" si="7"/>
        <v>1.1445107323121251</v>
      </c>
      <c r="AM50" s="368">
        <f t="shared" si="8"/>
        <v>0.39406553836993702</v>
      </c>
      <c r="AN50" s="367">
        <v>0</v>
      </c>
      <c r="AO50" s="367">
        <v>0</v>
      </c>
      <c r="AP50" s="367">
        <v>0</v>
      </c>
      <c r="AQ50" s="367">
        <v>0</v>
      </c>
      <c r="AR50" s="368">
        <v>4.8134627922915285E-2</v>
      </c>
      <c r="AS50" s="368">
        <v>-8.9961713617024552E-3</v>
      </c>
      <c r="AT50" s="368">
        <v>0.19174995402526507</v>
      </c>
      <c r="AU50" s="368">
        <v>1.2380343026391734</v>
      </c>
      <c r="AV50" s="368">
        <v>0.38743641009104007</v>
      </c>
      <c r="AW50" s="367">
        <v>0</v>
      </c>
      <c r="AX50" s="367">
        <v>0</v>
      </c>
      <c r="AY50" s="367">
        <v>0</v>
      </c>
      <c r="AZ50" s="367">
        <v>0</v>
      </c>
      <c r="BA50" s="368">
        <v>2.9131840107073814E-2</v>
      </c>
      <c r="BB50" s="368">
        <v>-6.9174687388093388E-3</v>
      </c>
      <c r="BC50" s="368">
        <v>0.14331270521713305</v>
      </c>
      <c r="BD50" s="368">
        <v>1.6420244994192028</v>
      </c>
      <c r="BE50" s="368">
        <v>0.34614898707146119</v>
      </c>
      <c r="BF50" s="367">
        <v>0</v>
      </c>
      <c r="BG50" s="367">
        <v>0</v>
      </c>
      <c r="BH50" s="367">
        <v>0</v>
      </c>
      <c r="BI50" s="367">
        <v>0</v>
      </c>
      <c r="BJ50" s="368">
        <v>2.8100203428186026E-2</v>
      </c>
      <c r="BK50" s="368">
        <v>-6.799374943841776E-3</v>
      </c>
      <c r="BL50" s="368">
        <v>0.14165073560041017</v>
      </c>
      <c r="BM50" s="368">
        <v>1.4157960352399106</v>
      </c>
      <c r="BN50" s="368">
        <v>0.34386086478543093</v>
      </c>
      <c r="BO50" s="367">
        <f>BF50</f>
        <v>0</v>
      </c>
      <c r="BP50" s="367">
        <f t="shared" si="68"/>
        <v>0</v>
      </c>
      <c r="BQ50" s="367">
        <f t="shared" si="69"/>
        <v>0</v>
      </c>
      <c r="BR50" s="367">
        <f t="shared" si="70"/>
        <v>0</v>
      </c>
      <c r="BS50" s="367">
        <f t="shared" si="71"/>
        <v>2.8100203428186026E-2</v>
      </c>
      <c r="BT50" s="367">
        <f t="shared" si="72"/>
        <v>-6.799374943841776E-3</v>
      </c>
      <c r="BU50" s="367">
        <f t="shared" si="73"/>
        <v>0.14165073560041017</v>
      </c>
      <c r="BV50" s="372">
        <f>BV39</f>
        <v>1.6420244994192028</v>
      </c>
      <c r="BW50" s="368">
        <f>BN50</f>
        <v>0.34386086478543093</v>
      </c>
    </row>
    <row r="51" spans="2:75" x14ac:dyDescent="0.3">
      <c r="C51" s="373"/>
      <c r="D51" s="373"/>
      <c r="E51" s="373"/>
      <c r="F51" s="373"/>
      <c r="G51" s="373"/>
      <c r="H51" s="373"/>
      <c r="I51" s="373"/>
      <c r="J51" s="373"/>
      <c r="K51" s="373"/>
      <c r="L51" s="70"/>
      <c r="M51" s="70"/>
      <c r="N51" s="70"/>
      <c r="O51" s="70"/>
      <c r="P51" s="70"/>
      <c r="Q51" s="70"/>
      <c r="R51" s="70"/>
      <c r="S51" s="70"/>
      <c r="T51" s="70"/>
      <c r="U51" s="70"/>
      <c r="V51" s="70"/>
      <c r="W51" s="70"/>
      <c r="X51" s="70"/>
      <c r="Y51" s="70"/>
      <c r="Z51" s="70"/>
      <c r="AA51" s="70"/>
      <c r="AB51" s="70"/>
      <c r="AC51" s="70"/>
      <c r="AD51" s="70"/>
      <c r="AE51" s="70"/>
      <c r="AF51" s="70"/>
      <c r="AG51" s="70"/>
      <c r="AH51" s="70"/>
      <c r="AI51" s="70"/>
      <c r="AJ51" s="70"/>
      <c r="AK51" s="70"/>
      <c r="AL51" s="70"/>
      <c r="AM51" s="70"/>
      <c r="AN51" s="70"/>
      <c r="AO51" s="70"/>
      <c r="AP51" s="70"/>
      <c r="AQ51" s="70"/>
      <c r="AR51" s="70"/>
      <c r="AS51" s="70"/>
      <c r="AT51" s="70"/>
      <c r="AU51" s="70"/>
      <c r="AW51" s="70"/>
      <c r="AX51" s="70"/>
      <c r="AY51" s="70"/>
      <c r="AZ51" s="70"/>
      <c r="BA51" s="70"/>
      <c r="BB51" s="70"/>
      <c r="BC51" s="70"/>
      <c r="BD51" s="70"/>
      <c r="BF51" s="70"/>
      <c r="BG51" s="70"/>
      <c r="BH51" s="70"/>
      <c r="BI51" s="70"/>
      <c r="BJ51" s="70"/>
      <c r="BK51" s="70"/>
      <c r="BL51" s="70"/>
      <c r="BM51" s="70"/>
      <c r="BO51" s="70"/>
      <c r="BP51" s="70"/>
      <c r="BQ51" s="70"/>
      <c r="BR51" s="70"/>
      <c r="BS51" s="70"/>
      <c r="BT51" s="70"/>
      <c r="BU51" s="70"/>
      <c r="BV51" s="70"/>
    </row>
    <row r="52" spans="2:75" x14ac:dyDescent="0.3">
      <c r="B52" s="374" t="s">
        <v>52</v>
      </c>
      <c r="D52" s="70">
        <f t="shared" ref="D52:AI52" si="76">SUM(D39+D37+D33+D26+D22+D17+D14+D12+D6)</f>
        <v>12.452717393481137</v>
      </c>
      <c r="E52" s="70">
        <f t="shared" si="76"/>
        <v>1.3666520990067765</v>
      </c>
      <c r="F52" s="70">
        <f t="shared" si="76"/>
        <v>4.9308939854919993</v>
      </c>
      <c r="G52" s="70">
        <f t="shared" si="76"/>
        <v>13.307546795161608</v>
      </c>
      <c r="H52" s="70">
        <f t="shared" si="76"/>
        <v>2.1547622741316497</v>
      </c>
      <c r="I52" s="70">
        <f t="shared" si="76"/>
        <v>1.1275837860370581</v>
      </c>
      <c r="J52" s="70">
        <f t="shared" si="76"/>
        <v>3.2018183148017663</v>
      </c>
      <c r="K52" s="70">
        <f t="shared" si="76"/>
        <v>8.3467850000000006</v>
      </c>
      <c r="L52" s="70">
        <f t="shared" si="76"/>
        <v>3.7597692307692299</v>
      </c>
      <c r="M52" s="70">
        <f t="shared" si="76"/>
        <v>12.364224140894992</v>
      </c>
      <c r="N52" s="70">
        <f t="shared" si="76"/>
        <v>1.4478083917938585</v>
      </c>
      <c r="O52" s="70">
        <f t="shared" si="76"/>
        <v>4.9143932954168585</v>
      </c>
      <c r="P52" s="70">
        <f t="shared" si="76"/>
        <v>12.780038917049746</v>
      </c>
      <c r="Q52" s="70">
        <f t="shared" si="76"/>
        <v>2.1408104023311276</v>
      </c>
      <c r="R52" s="70">
        <f t="shared" si="76"/>
        <v>1.1263004373708729</v>
      </c>
      <c r="S52" s="70">
        <f t="shared" si="76"/>
        <v>3.3011193757259019</v>
      </c>
      <c r="T52" s="70">
        <f t="shared" si="76"/>
        <v>8.7532724749066393</v>
      </c>
      <c r="U52" s="70">
        <f t="shared" si="76"/>
        <v>3.7980256048424001</v>
      </c>
      <c r="V52" s="70">
        <f t="shared" si="76"/>
        <v>12.117543800818828</v>
      </c>
      <c r="W52" s="70">
        <f t="shared" si="76"/>
        <v>1.4361687976264961</v>
      </c>
      <c r="X52" s="70">
        <f t="shared" si="76"/>
        <v>4.8397594907609847</v>
      </c>
      <c r="Y52" s="70">
        <f t="shared" si="76"/>
        <v>12.15709390747355</v>
      </c>
      <c r="Z52" s="70">
        <f t="shared" si="76"/>
        <v>2.0717212335315116</v>
      </c>
      <c r="AA52" s="70">
        <f t="shared" si="76"/>
        <v>1.0878030768066711</v>
      </c>
      <c r="AB52" s="70">
        <f t="shared" si="76"/>
        <v>3.0587007522347047</v>
      </c>
      <c r="AC52" s="70">
        <f t="shared" si="76"/>
        <v>8.6507564055071207</v>
      </c>
      <c r="AD52" s="70">
        <f t="shared" si="76"/>
        <v>3.74501880707848</v>
      </c>
      <c r="AE52" s="70">
        <f t="shared" si="76"/>
        <v>12.240883970856911</v>
      </c>
      <c r="AF52" s="70">
        <f t="shared" si="76"/>
        <v>1.4419885947101772</v>
      </c>
      <c r="AG52" s="70">
        <f t="shared" si="76"/>
        <v>4.8770763930889212</v>
      </c>
      <c r="AH52" s="70">
        <f t="shared" si="76"/>
        <v>12.468566412261648</v>
      </c>
      <c r="AI52" s="70">
        <f t="shared" si="76"/>
        <v>2.1062658179313196</v>
      </c>
      <c r="AJ52" s="70">
        <f t="shared" ref="AJ52:BO52" si="77">SUM(AJ39+AJ37+AJ33+AJ26+AJ22+AJ17+AJ14+AJ12+AJ6)</f>
        <v>1.1070517570887721</v>
      </c>
      <c r="AK52" s="70">
        <f t="shared" si="77"/>
        <v>3.1799100639803037</v>
      </c>
      <c r="AL52" s="70">
        <f t="shared" si="77"/>
        <v>8.7020144402068809</v>
      </c>
      <c r="AM52" s="70">
        <f t="shared" si="77"/>
        <v>3.7715222059604399</v>
      </c>
      <c r="AN52" s="70">
        <f t="shared" si="77"/>
        <v>11.672511354907963</v>
      </c>
      <c r="AO52" s="70">
        <f t="shared" si="77"/>
        <v>1.6498282319785766</v>
      </c>
      <c r="AP52" s="70">
        <f t="shared" si="77"/>
        <v>4.6460300719034269</v>
      </c>
      <c r="AQ52" s="70">
        <f t="shared" si="77"/>
        <v>10.082056344430306</v>
      </c>
      <c r="AR52" s="70">
        <f t="shared" si="77"/>
        <v>1.9181984777644996</v>
      </c>
      <c r="AS52" s="70">
        <f t="shared" si="77"/>
        <v>1.0209768244810276</v>
      </c>
      <c r="AT52" s="70">
        <f t="shared" si="77"/>
        <v>2.2419606142548312</v>
      </c>
      <c r="AU52" s="70">
        <f t="shared" si="77"/>
        <v>9.233521337622367</v>
      </c>
      <c r="AV52" s="70">
        <f t="shared" si="77"/>
        <v>3.7080761492120065</v>
      </c>
      <c r="AW52" s="70">
        <f t="shared" si="77"/>
        <v>11.360452299895638</v>
      </c>
      <c r="AX52" s="70">
        <f t="shared" si="77"/>
        <v>2.1987772049189709</v>
      </c>
      <c r="AY52" s="70">
        <f t="shared" si="77"/>
        <v>3.3154651968207425</v>
      </c>
      <c r="AZ52" s="70">
        <f t="shared" si="77"/>
        <v>7.8281217160605046</v>
      </c>
      <c r="BA52" s="70">
        <f t="shared" si="77"/>
        <v>1.3347380709411178</v>
      </c>
      <c r="BB52" s="70">
        <f t="shared" si="77"/>
        <v>0.88706458361637774</v>
      </c>
      <c r="BC52" s="70">
        <f t="shared" si="77"/>
        <v>1.688794591127837</v>
      </c>
      <c r="BD52" s="70">
        <f t="shared" si="77"/>
        <v>10.417804376527462</v>
      </c>
      <c r="BE52" s="70">
        <f t="shared" si="77"/>
        <v>3.3129225070301773</v>
      </c>
      <c r="BF52" s="70">
        <f t="shared" si="77"/>
        <v>11.35202112589425</v>
      </c>
      <c r="BG52" s="70">
        <f t="shared" si="77"/>
        <v>2.2593993925067783</v>
      </c>
      <c r="BH52" s="70">
        <f t="shared" si="77"/>
        <v>3.4562574923859239</v>
      </c>
      <c r="BI52" s="70">
        <f t="shared" si="77"/>
        <v>6.8743629960397339</v>
      </c>
      <c r="BJ52" s="70">
        <f t="shared" si="77"/>
        <v>1.3023143815891831</v>
      </c>
      <c r="BK52" s="70">
        <f t="shared" si="77"/>
        <v>0.88598052812891637</v>
      </c>
      <c r="BL52" s="70">
        <f t="shared" si="77"/>
        <v>1.6646094533769236</v>
      </c>
      <c r="BM52" s="70">
        <f t="shared" si="77"/>
        <v>9.0100860552497011</v>
      </c>
      <c r="BN52" s="70">
        <f t="shared" si="77"/>
        <v>3.2910233476989319</v>
      </c>
      <c r="BO52" s="70">
        <f t="shared" si="77"/>
        <v>11.35202112589425</v>
      </c>
      <c r="BP52" s="70">
        <f t="shared" ref="BP52:BW52" si="78">SUM(BP39+BP37+BP33+BP26+BP22+BP17+BP14+BP12+BP6)</f>
        <v>2.2593993925067783</v>
      </c>
      <c r="BQ52" s="70">
        <f t="shared" si="78"/>
        <v>3.4562574923859239</v>
      </c>
      <c r="BR52" s="70">
        <f t="shared" si="78"/>
        <v>7.7083564215507225</v>
      </c>
      <c r="BS52" s="70">
        <f t="shared" si="78"/>
        <v>1.3023143815891831</v>
      </c>
      <c r="BT52" s="70">
        <f t="shared" si="78"/>
        <v>0.88598052812891637</v>
      </c>
      <c r="BU52" s="70">
        <f t="shared" si="78"/>
        <v>1.6646094533769236</v>
      </c>
      <c r="BV52" s="70">
        <f t="shared" si="78"/>
        <v>10.458616783674533</v>
      </c>
      <c r="BW52" s="70">
        <f t="shared" si="78"/>
        <v>3.2910233476989319</v>
      </c>
    </row>
    <row r="54" spans="2:75" x14ac:dyDescent="0.3">
      <c r="D54" s="38">
        <v>2014</v>
      </c>
      <c r="E54" s="38">
        <v>2019</v>
      </c>
      <c r="F54" s="38">
        <v>2030</v>
      </c>
      <c r="G54" s="38">
        <v>2049</v>
      </c>
      <c r="H54" s="38">
        <v>2050</v>
      </c>
      <c r="BO54" s="70">
        <f t="shared" ref="BO54:BW54" si="79">BO52-AW52</f>
        <v>-8.4311740013873759E-3</v>
      </c>
      <c r="BP54" s="70">
        <f t="shared" si="79"/>
        <v>6.0622187587807463E-2</v>
      </c>
      <c r="BQ54" s="70">
        <f t="shared" si="79"/>
        <v>0.14079229556518147</v>
      </c>
      <c r="BR54" s="70">
        <f t="shared" si="79"/>
        <v>-0.11976529450978202</v>
      </c>
      <c r="BS54" s="70">
        <f t="shared" si="79"/>
        <v>-3.2423689351934737E-2</v>
      </c>
      <c r="BT54" s="70">
        <f t="shared" si="79"/>
        <v>-1.0840554874613773E-3</v>
      </c>
      <c r="BU54" s="70">
        <f t="shared" si="79"/>
        <v>-2.4185137750913466E-2</v>
      </c>
      <c r="BV54" s="70">
        <f t="shared" si="79"/>
        <v>4.0812407147070573E-2</v>
      </c>
      <c r="BW54" s="70">
        <f t="shared" si="79"/>
        <v>-2.1899159331245421E-2</v>
      </c>
    </row>
    <row r="55" spans="2:75" x14ac:dyDescent="0.3">
      <c r="D55" s="38">
        <v>2014</v>
      </c>
      <c r="E55" s="38">
        <v>2019</v>
      </c>
      <c r="F55" s="38">
        <v>2030</v>
      </c>
      <c r="G55" s="38">
        <v>2050</v>
      </c>
      <c r="AW55" s="38">
        <f>(AZ52-AQ52)*1/19</f>
        <v>-0.11862813833525272</v>
      </c>
    </row>
  </sheetData>
  <mergeCells count="9">
    <mergeCell ref="AN4:AV4"/>
    <mergeCell ref="AW4:BE4"/>
    <mergeCell ref="BF4:BN4"/>
    <mergeCell ref="BO4:BW4"/>
    <mergeCell ref="B4:C5"/>
    <mergeCell ref="D4:L4"/>
    <mergeCell ref="M4:U4"/>
    <mergeCell ref="V4:AD4"/>
    <mergeCell ref="AE4:AM4"/>
  </mergeCells>
  <pageMargins left="0.7" right="0.7" top="0.75" bottom="0.75" header="0.51180555555555496" footer="0.51180555555555496"/>
  <pageSetup paperSize="9" firstPageNumber="0" orientation="portrait" horizontalDpi="300" verticalDpi="30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3:V477"/>
  <sheetViews>
    <sheetView topLeftCell="A262" workbookViewId="0">
      <selection activeCell="M259" sqref="M259"/>
    </sheetView>
  </sheetViews>
  <sheetFormatPr baseColWidth="10" defaultRowHeight="14.4" x14ac:dyDescent="0.3"/>
  <sheetData>
    <row r="3" spans="2:20" ht="23.4" x14ac:dyDescent="0.3">
      <c r="B3" s="706" t="s">
        <v>6</v>
      </c>
      <c r="C3" s="707"/>
      <c r="D3" s="707"/>
      <c r="E3" s="707"/>
      <c r="F3" s="707"/>
      <c r="G3" s="707"/>
      <c r="H3" s="707"/>
      <c r="I3" s="707"/>
      <c r="J3" s="707"/>
      <c r="K3" s="707"/>
      <c r="L3" s="707"/>
      <c r="M3" s="707"/>
      <c r="N3" s="707"/>
      <c r="O3" s="707"/>
      <c r="P3" s="707"/>
      <c r="Q3" s="707"/>
      <c r="R3" s="707"/>
      <c r="S3" s="707"/>
      <c r="T3" s="707"/>
    </row>
    <row r="5" spans="2:20" x14ac:dyDescent="0.3">
      <c r="B5" t="s">
        <v>899</v>
      </c>
    </row>
    <row r="7" spans="2:20" x14ac:dyDescent="0.3">
      <c r="B7" s="709" t="s">
        <v>900</v>
      </c>
      <c r="C7" s="709"/>
    </row>
    <row r="8" spans="2:20" ht="15" thickBot="1" x14ac:dyDescent="0.35"/>
    <row r="9" spans="2:20" ht="15" thickBot="1" x14ac:dyDescent="0.35">
      <c r="B9" s="488"/>
      <c r="C9" s="710" t="s">
        <v>901</v>
      </c>
      <c r="D9" s="711"/>
      <c r="E9" s="711"/>
      <c r="F9" s="711"/>
      <c r="G9" s="711"/>
      <c r="H9" s="711"/>
      <c r="I9" s="711"/>
      <c r="J9" s="712"/>
    </row>
    <row r="10" spans="2:20" ht="15" thickBot="1" x14ac:dyDescent="0.35">
      <c r="B10" s="489"/>
      <c r="C10" s="490"/>
      <c r="D10" s="491">
        <v>2023</v>
      </c>
      <c r="E10" s="491">
        <v>2025</v>
      </c>
      <c r="F10" s="491">
        <v>2030</v>
      </c>
      <c r="G10" s="491">
        <v>2035</v>
      </c>
      <c r="H10" s="491">
        <v>2040</v>
      </c>
      <c r="I10" s="491">
        <v>2045</v>
      </c>
      <c r="J10" s="491">
        <v>2050</v>
      </c>
    </row>
    <row r="11" spans="2:20" ht="29.4" thickBot="1" x14ac:dyDescent="0.35">
      <c r="B11" s="713" t="s">
        <v>902</v>
      </c>
      <c r="C11" s="490" t="s">
        <v>903</v>
      </c>
      <c r="D11" s="491">
        <v>10.79</v>
      </c>
      <c r="E11" s="491">
        <v>10.79</v>
      </c>
      <c r="F11" s="491">
        <v>4.8</v>
      </c>
      <c r="G11" s="491">
        <v>2.4</v>
      </c>
      <c r="H11" s="491">
        <v>2.4</v>
      </c>
      <c r="I11" s="491">
        <v>0</v>
      </c>
      <c r="J11" s="491">
        <v>0</v>
      </c>
    </row>
    <row r="12" spans="2:20" ht="29.4" thickBot="1" x14ac:dyDescent="0.35">
      <c r="B12" s="714"/>
      <c r="C12" s="490" t="s">
        <v>904</v>
      </c>
      <c r="D12" s="491">
        <v>0</v>
      </c>
      <c r="E12" s="491">
        <v>0</v>
      </c>
      <c r="F12" s="491">
        <v>0.24</v>
      </c>
      <c r="G12" s="491">
        <v>0.24</v>
      </c>
      <c r="H12" s="491">
        <v>0.24</v>
      </c>
      <c r="I12" s="491">
        <v>0.24</v>
      </c>
      <c r="J12" s="491">
        <v>0.24</v>
      </c>
      <c r="K12" s="492"/>
    </row>
    <row r="13" spans="2:20" ht="29.4" thickBot="1" x14ac:dyDescent="0.35">
      <c r="B13" s="714"/>
      <c r="C13" s="490" t="s">
        <v>905</v>
      </c>
      <c r="D13" s="491">
        <v>4.5999999999999996</v>
      </c>
      <c r="E13" s="491">
        <v>4.5999999999999996</v>
      </c>
      <c r="F13" s="491">
        <v>10.35</v>
      </c>
      <c r="G13" s="491">
        <v>12.75</v>
      </c>
      <c r="H13" s="491">
        <v>12.75</v>
      </c>
      <c r="I13" s="491">
        <v>15.15</v>
      </c>
      <c r="J13" s="491">
        <v>15.15</v>
      </c>
      <c r="K13" s="492"/>
    </row>
    <row r="14" spans="2:20" ht="15" thickBot="1" x14ac:dyDescent="0.35">
      <c r="B14" s="715"/>
      <c r="C14" s="493" t="s">
        <v>906</v>
      </c>
      <c r="D14" s="494">
        <v>15.39</v>
      </c>
      <c r="E14" s="494">
        <v>15.39</v>
      </c>
      <c r="F14" s="494">
        <v>15.39</v>
      </c>
      <c r="G14" s="494">
        <v>15.39</v>
      </c>
      <c r="H14" s="494">
        <v>15.39</v>
      </c>
      <c r="I14" s="494">
        <v>15.39</v>
      </c>
      <c r="J14" s="494">
        <v>15.39</v>
      </c>
      <c r="K14" s="492"/>
    </row>
    <row r="15" spans="2:20" x14ac:dyDescent="0.3">
      <c r="B15" s="495"/>
      <c r="C15" s="496"/>
      <c r="D15" s="497"/>
      <c r="E15" s="497"/>
      <c r="F15" s="497"/>
      <c r="G15" s="497"/>
      <c r="H15" s="497"/>
      <c r="I15" s="497"/>
      <c r="J15" s="497"/>
      <c r="K15" s="492"/>
    </row>
    <row r="16" spans="2:20" x14ac:dyDescent="0.3">
      <c r="C16" s="492"/>
      <c r="D16" s="492"/>
      <c r="E16" s="492"/>
      <c r="F16" s="492">
        <f>F11/$D11</f>
        <v>0.4448563484708063</v>
      </c>
      <c r="G16" s="492">
        <f t="shared" ref="G16:J16" si="0">G11/$D11</f>
        <v>0.22242817423540315</v>
      </c>
      <c r="H16" s="492">
        <f t="shared" si="0"/>
        <v>0.22242817423540315</v>
      </c>
      <c r="I16" s="492">
        <f t="shared" si="0"/>
        <v>0</v>
      </c>
      <c r="J16" s="492">
        <f t="shared" si="0"/>
        <v>0</v>
      </c>
      <c r="K16" s="492"/>
      <c r="M16">
        <f>T23/D14</f>
        <v>5147.7357283950614</v>
      </c>
    </row>
    <row r="17" spans="2:21" x14ac:dyDescent="0.3">
      <c r="L17">
        <f>M17/M16</f>
        <v>0.82066237157938893</v>
      </c>
      <c r="M17">
        <f>T24/F14</f>
        <v>4224.5530111286444</v>
      </c>
    </row>
    <row r="18" spans="2:21" x14ac:dyDescent="0.3">
      <c r="L18">
        <f>M18/M17</f>
        <v>0.7606807966829271</v>
      </c>
      <c r="M18">
        <f>T25/J14</f>
        <v>3213.536350134596</v>
      </c>
    </row>
    <row r="19" spans="2:21" x14ac:dyDescent="0.3">
      <c r="B19" s="709" t="s">
        <v>907</v>
      </c>
      <c r="C19" s="709"/>
    </row>
    <row r="21" spans="2:21" ht="36" x14ac:dyDescent="0.3">
      <c r="B21" s="1"/>
      <c r="C21" s="716" t="s">
        <v>494</v>
      </c>
      <c r="D21" s="716"/>
      <c r="E21" s="716"/>
      <c r="F21" s="498" t="s">
        <v>438</v>
      </c>
      <c r="G21" s="498" t="s">
        <v>454</v>
      </c>
      <c r="H21" s="498" t="s">
        <v>440</v>
      </c>
      <c r="I21" s="498" t="s">
        <v>496</v>
      </c>
      <c r="J21" s="498" t="s">
        <v>450</v>
      </c>
      <c r="K21" s="498" t="s">
        <v>451</v>
      </c>
      <c r="L21" s="498" t="s">
        <v>452</v>
      </c>
      <c r="M21" s="498" t="s">
        <v>453</v>
      </c>
      <c r="N21" s="498" t="s">
        <v>443</v>
      </c>
      <c r="O21" s="498" t="s">
        <v>444</v>
      </c>
      <c r="P21" s="498" t="s">
        <v>495</v>
      </c>
      <c r="Q21" s="498" t="s">
        <v>455</v>
      </c>
      <c r="R21" s="498" t="s">
        <v>446</v>
      </c>
      <c r="S21" s="498" t="s">
        <v>447</v>
      </c>
      <c r="T21" s="498" t="s">
        <v>52</v>
      </c>
      <c r="U21" s="499" t="s">
        <v>908</v>
      </c>
    </row>
    <row r="22" spans="2:21" x14ac:dyDescent="0.3">
      <c r="B22" s="170"/>
      <c r="C22" s="717" t="s">
        <v>24</v>
      </c>
      <c r="D22" s="718"/>
      <c r="E22" s="719"/>
      <c r="F22" s="156"/>
      <c r="G22" s="156"/>
      <c r="H22" s="156"/>
      <c r="I22" s="156"/>
      <c r="J22" s="156"/>
      <c r="K22" s="156"/>
      <c r="L22" s="156"/>
      <c r="M22" s="156"/>
      <c r="N22" s="156"/>
      <c r="O22" s="156"/>
      <c r="P22" s="156"/>
      <c r="Q22" s="156"/>
      <c r="R22" s="156"/>
      <c r="S22" s="156"/>
      <c r="T22" s="156"/>
    </row>
    <row r="23" spans="2:21" x14ac:dyDescent="0.3">
      <c r="B23" s="175">
        <v>2019</v>
      </c>
      <c r="C23" s="175" t="s">
        <v>909</v>
      </c>
      <c r="D23" s="175"/>
      <c r="E23" s="176" t="s">
        <v>910</v>
      </c>
      <c r="F23" s="156">
        <v>19671.074860000001</v>
      </c>
      <c r="G23" s="156">
        <v>27950.379000000001</v>
      </c>
      <c r="H23" s="156">
        <v>1324.6569999999999</v>
      </c>
      <c r="I23" s="156">
        <v>9299.348</v>
      </c>
      <c r="J23" s="156">
        <v>6.9779999999999998</v>
      </c>
      <c r="K23" s="156">
        <v>0</v>
      </c>
      <c r="L23" s="156">
        <v>0</v>
      </c>
      <c r="M23" s="156">
        <v>0</v>
      </c>
      <c r="N23" s="156"/>
      <c r="O23" s="156">
        <v>0</v>
      </c>
      <c r="P23" s="156">
        <v>20853.753000000001</v>
      </c>
      <c r="Q23" s="156">
        <v>0</v>
      </c>
      <c r="R23" s="156">
        <v>117.46299999999999</v>
      </c>
      <c r="S23" s="156">
        <v>0</v>
      </c>
      <c r="T23" s="156">
        <v>79223.652860000002</v>
      </c>
    </row>
    <row r="24" spans="2:21" x14ac:dyDescent="0.3">
      <c r="B24" s="175">
        <v>2030</v>
      </c>
      <c r="C24" s="175" t="s">
        <v>909</v>
      </c>
      <c r="D24" s="175"/>
      <c r="E24" s="176" t="s">
        <v>910</v>
      </c>
      <c r="F24" s="500">
        <v>9020</v>
      </c>
      <c r="G24" s="500">
        <v>13000</v>
      </c>
      <c r="H24" s="500"/>
      <c r="I24" s="500">
        <f>I23+299/3.6+5000</f>
        <v>14382.403555555555</v>
      </c>
      <c r="J24" s="500"/>
      <c r="K24" s="500"/>
      <c r="L24" s="500"/>
      <c r="M24" s="500"/>
      <c r="N24" s="500"/>
      <c r="O24" s="500"/>
      <c r="P24" s="501">
        <f>P23+(3038)*(1+1/1.75)</f>
        <v>25627.753000000001</v>
      </c>
      <c r="Q24" s="500"/>
      <c r="R24" s="500"/>
      <c r="S24" s="500">
        <f>1900*(1+1/1.75)</f>
        <v>2985.7142857142858</v>
      </c>
      <c r="T24" s="502">
        <f>SUM(F24:S24)</f>
        <v>65015.87084126984</v>
      </c>
      <c r="U24">
        <f>SUM(F24:P24)+S24/0.6</f>
        <v>67006.347031746031</v>
      </c>
    </row>
    <row r="25" spans="2:21" x14ac:dyDescent="0.3">
      <c r="B25" s="175">
        <v>2050</v>
      </c>
      <c r="C25" s="175" t="s">
        <v>909</v>
      </c>
      <c r="D25" s="175"/>
      <c r="E25" s="176" t="s">
        <v>910</v>
      </c>
      <c r="F25" s="500">
        <v>0</v>
      </c>
      <c r="G25" s="500">
        <v>0</v>
      </c>
      <c r="H25" s="500"/>
      <c r="I25" s="500">
        <f>10000</f>
        <v>10000</v>
      </c>
      <c r="J25" s="500"/>
      <c r="K25" s="500"/>
      <c r="L25" s="500"/>
      <c r="M25" s="500"/>
      <c r="N25" s="500"/>
      <c r="O25" s="500"/>
      <c r="P25" s="501">
        <f>P24+3600*(1+1/1.75)</f>
        <v>31284.895857142859</v>
      </c>
      <c r="Q25" s="500"/>
      <c r="R25" s="500"/>
      <c r="S25" s="500">
        <f>5200*(1+1/1.75)</f>
        <v>8171.4285714285716</v>
      </c>
      <c r="T25" s="502">
        <f>SUM(F25:S25)</f>
        <v>49456.324428571432</v>
      </c>
      <c r="U25">
        <f>SUM(F25:P25)+S25/0.6</f>
        <v>54903.943476190478</v>
      </c>
    </row>
    <row r="26" spans="2:21" x14ac:dyDescent="0.3">
      <c r="B26" s="180"/>
      <c r="C26" s="180"/>
      <c r="D26" s="180"/>
      <c r="E26" s="181"/>
      <c r="F26" s="184"/>
      <c r="G26" s="184"/>
      <c r="H26" s="184"/>
      <c r="I26" s="184"/>
      <c r="J26" s="184"/>
      <c r="K26" s="184"/>
      <c r="L26" s="184"/>
      <c r="M26" s="184"/>
      <c r="N26" s="184"/>
      <c r="O26" s="184"/>
      <c r="P26" s="184"/>
      <c r="Q26" s="184"/>
      <c r="R26" s="184"/>
      <c r="S26" s="184"/>
      <c r="T26" s="185"/>
    </row>
    <row r="27" spans="2:21" x14ac:dyDescent="0.3">
      <c r="B27" s="175">
        <v>2019</v>
      </c>
      <c r="C27" s="175" t="s">
        <v>460</v>
      </c>
      <c r="D27" s="175"/>
      <c r="E27" s="176" t="s">
        <v>910</v>
      </c>
      <c r="F27" s="160">
        <v>18488.833859999999</v>
      </c>
      <c r="G27" s="160">
        <v>27318.87</v>
      </c>
      <c r="H27" s="160">
        <v>0</v>
      </c>
      <c r="I27" s="160">
        <v>0</v>
      </c>
      <c r="J27" s="160">
        <v>0</v>
      </c>
      <c r="K27" s="160">
        <v>0</v>
      </c>
      <c r="L27" s="160">
        <v>0</v>
      </c>
      <c r="M27" s="160">
        <v>0</v>
      </c>
      <c r="N27" s="160"/>
      <c r="O27" s="160">
        <v>0</v>
      </c>
      <c r="P27" s="160">
        <v>0</v>
      </c>
      <c r="Q27" s="160">
        <v>0</v>
      </c>
      <c r="R27" s="160">
        <v>0</v>
      </c>
      <c r="S27" s="160">
        <v>0</v>
      </c>
      <c r="T27" s="160">
        <v>45807.703860000001</v>
      </c>
    </row>
    <row r="28" spans="2:21" x14ac:dyDescent="0.3">
      <c r="B28" s="175">
        <v>2030</v>
      </c>
      <c r="C28" s="175" t="s">
        <v>460</v>
      </c>
      <c r="D28" s="175"/>
      <c r="E28" s="176" t="s">
        <v>910</v>
      </c>
      <c r="F28" s="503"/>
      <c r="G28" s="503"/>
      <c r="H28" s="503"/>
      <c r="I28" s="503"/>
      <c r="J28" s="503"/>
      <c r="K28" s="503"/>
      <c r="L28" s="503"/>
      <c r="M28" s="503"/>
      <c r="N28" s="503"/>
      <c r="O28" s="503"/>
      <c r="P28" s="503"/>
      <c r="Q28" s="503"/>
      <c r="R28" s="503"/>
      <c r="S28" s="503"/>
      <c r="T28" s="172"/>
    </row>
    <row r="29" spans="2:21" x14ac:dyDescent="0.3">
      <c r="B29" s="175">
        <v>2050</v>
      </c>
      <c r="C29" s="175" t="s">
        <v>460</v>
      </c>
      <c r="D29" s="175"/>
      <c r="E29" s="176" t="s">
        <v>910</v>
      </c>
      <c r="F29" s="503"/>
      <c r="G29" s="503"/>
      <c r="H29" s="503"/>
      <c r="I29" s="503"/>
      <c r="J29" s="503"/>
      <c r="K29" s="503"/>
      <c r="L29" s="503"/>
      <c r="M29" s="503"/>
      <c r="N29" s="503"/>
      <c r="O29" s="503"/>
      <c r="P29" s="503"/>
      <c r="Q29" s="503"/>
      <c r="R29" s="503"/>
      <c r="S29" s="503"/>
      <c r="T29" s="172"/>
    </row>
    <row r="30" spans="2:21" x14ac:dyDescent="0.3">
      <c r="B30" s="180"/>
      <c r="C30" s="180"/>
      <c r="D30" s="180"/>
      <c r="E30" s="181"/>
      <c r="F30" s="184"/>
      <c r="G30" s="184"/>
      <c r="H30" s="184"/>
      <c r="I30" s="184"/>
      <c r="J30" s="184"/>
      <c r="K30" s="184"/>
      <c r="L30" s="184"/>
      <c r="M30" s="184"/>
      <c r="N30" s="184"/>
      <c r="O30" s="184"/>
      <c r="P30" s="184"/>
      <c r="Q30" s="184"/>
      <c r="R30" s="184"/>
      <c r="S30" s="184"/>
      <c r="T30" s="185"/>
    </row>
    <row r="31" spans="2:21" x14ac:dyDescent="0.3">
      <c r="B31" s="175">
        <v>2019</v>
      </c>
      <c r="C31" s="175" t="s">
        <v>463</v>
      </c>
      <c r="D31" s="175"/>
      <c r="E31" s="176" t="s">
        <v>910</v>
      </c>
      <c r="F31" s="162">
        <v>68.343100000000007</v>
      </c>
      <c r="G31" s="160">
        <v>0</v>
      </c>
      <c r="H31" s="162">
        <v>39.053199999999997</v>
      </c>
      <c r="I31" s="162">
        <v>429.58519999999999</v>
      </c>
      <c r="J31" s="160">
        <v>0</v>
      </c>
      <c r="K31" s="160">
        <v>0</v>
      </c>
      <c r="L31" s="160">
        <v>0</v>
      </c>
      <c r="M31" s="160">
        <v>0</v>
      </c>
      <c r="N31" s="160"/>
      <c r="O31" s="160">
        <v>0</v>
      </c>
      <c r="P31" s="162">
        <v>1415.6785</v>
      </c>
      <c r="Q31" s="160">
        <v>0</v>
      </c>
      <c r="R31" s="160">
        <v>0</v>
      </c>
      <c r="S31" s="160">
        <v>0</v>
      </c>
      <c r="T31" s="162">
        <v>1952.66</v>
      </c>
    </row>
    <row r="32" spans="2:21" x14ac:dyDescent="0.3">
      <c r="B32" s="175">
        <v>2030</v>
      </c>
      <c r="C32" s="175" t="s">
        <v>463</v>
      </c>
      <c r="D32" s="175"/>
      <c r="E32" s="176" t="s">
        <v>910</v>
      </c>
      <c r="F32" s="503"/>
      <c r="G32" s="503"/>
      <c r="H32" s="503"/>
      <c r="I32" s="503"/>
      <c r="J32" s="503"/>
      <c r="K32" s="503"/>
      <c r="L32" s="503"/>
      <c r="M32" s="503"/>
      <c r="N32" s="503"/>
      <c r="O32" s="503"/>
      <c r="P32" s="503"/>
      <c r="Q32" s="503"/>
      <c r="R32" s="503"/>
      <c r="S32" s="503"/>
      <c r="T32" s="172"/>
    </row>
    <row r="33" spans="2:20" x14ac:dyDescent="0.3">
      <c r="B33" s="175">
        <v>2050</v>
      </c>
      <c r="C33" s="175" t="s">
        <v>463</v>
      </c>
      <c r="D33" s="175"/>
      <c r="E33" s="176" t="s">
        <v>910</v>
      </c>
      <c r="F33" s="503"/>
      <c r="G33" s="503"/>
      <c r="H33" s="503"/>
      <c r="I33" s="503"/>
      <c r="J33" s="503"/>
      <c r="K33" s="503"/>
      <c r="L33" s="503"/>
      <c r="M33" s="503"/>
      <c r="N33" s="503"/>
      <c r="O33" s="503"/>
      <c r="P33" s="503"/>
      <c r="Q33" s="503"/>
      <c r="R33" s="503"/>
      <c r="S33" s="503"/>
      <c r="T33" s="172"/>
    </row>
    <row r="34" spans="2:20" x14ac:dyDescent="0.3">
      <c r="B34" s="180"/>
      <c r="C34" s="180"/>
      <c r="D34" s="180"/>
      <c r="E34" s="181"/>
      <c r="F34" s="184"/>
      <c r="G34" s="184"/>
      <c r="H34" s="184"/>
      <c r="I34" s="184"/>
      <c r="J34" s="184"/>
      <c r="K34" s="184"/>
      <c r="L34" s="184"/>
      <c r="M34" s="184"/>
      <c r="N34" s="184"/>
      <c r="O34" s="184"/>
      <c r="P34" s="184"/>
      <c r="Q34" s="184"/>
      <c r="R34" s="184"/>
      <c r="S34" s="184"/>
      <c r="T34" s="185"/>
    </row>
    <row r="35" spans="2:20" x14ac:dyDescent="0.3">
      <c r="B35" s="175">
        <v>2019</v>
      </c>
      <c r="C35" s="175" t="s">
        <v>465</v>
      </c>
      <c r="D35" s="175"/>
      <c r="E35" s="176" t="s">
        <v>910</v>
      </c>
      <c r="F35" s="189"/>
      <c r="G35" s="189"/>
      <c r="H35" s="189"/>
      <c r="I35" s="189"/>
      <c r="J35" s="189"/>
      <c r="K35" s="189"/>
      <c r="L35" s="189"/>
      <c r="M35" s="189"/>
      <c r="N35" s="189"/>
      <c r="O35" s="189"/>
      <c r="P35" s="189"/>
      <c r="Q35" s="189"/>
      <c r="R35" s="189"/>
      <c r="S35" s="189"/>
      <c r="T35" s="172"/>
    </row>
    <row r="36" spans="2:20" x14ac:dyDescent="0.3">
      <c r="B36" s="175">
        <v>2030</v>
      </c>
      <c r="C36" s="175" t="s">
        <v>465</v>
      </c>
      <c r="D36" s="175"/>
      <c r="E36" s="176" t="s">
        <v>910</v>
      </c>
      <c r="F36" s="189"/>
      <c r="G36" s="189"/>
      <c r="H36" s="189"/>
      <c r="I36" s="189"/>
      <c r="J36" s="189"/>
      <c r="K36" s="189"/>
      <c r="L36" s="189"/>
      <c r="M36" s="189"/>
      <c r="N36" s="189"/>
      <c r="O36" s="189"/>
      <c r="P36" s="189"/>
      <c r="Q36" s="189"/>
      <c r="R36" s="189"/>
      <c r="S36" s="189"/>
      <c r="T36" s="172"/>
    </row>
    <row r="37" spans="2:20" x14ac:dyDescent="0.3">
      <c r="B37" s="175">
        <v>2050</v>
      </c>
      <c r="C37" s="175" t="s">
        <v>465</v>
      </c>
      <c r="D37" s="175"/>
      <c r="E37" s="176" t="s">
        <v>910</v>
      </c>
      <c r="F37" s="189"/>
      <c r="G37" s="189"/>
      <c r="H37" s="189"/>
      <c r="I37" s="189"/>
      <c r="J37" s="189"/>
      <c r="K37" s="189"/>
      <c r="L37" s="189"/>
      <c r="M37" s="189"/>
      <c r="N37" s="189"/>
      <c r="O37" s="189"/>
      <c r="P37" s="189"/>
      <c r="Q37" s="189"/>
      <c r="R37" s="189"/>
      <c r="S37" s="189"/>
      <c r="T37" s="172"/>
    </row>
    <row r="38" spans="2:20" x14ac:dyDescent="0.3">
      <c r="B38" s="180"/>
      <c r="C38" s="180"/>
      <c r="D38" s="180"/>
      <c r="E38" s="181"/>
      <c r="F38" s="184"/>
      <c r="G38" s="184"/>
      <c r="H38" s="184"/>
      <c r="I38" s="184"/>
      <c r="J38" s="184"/>
      <c r="K38" s="184"/>
      <c r="L38" s="184"/>
      <c r="M38" s="184"/>
      <c r="N38" s="184"/>
      <c r="O38" s="184"/>
      <c r="P38" s="184"/>
      <c r="Q38" s="184"/>
      <c r="R38" s="184"/>
      <c r="S38" s="184"/>
      <c r="T38" s="185"/>
    </row>
    <row r="39" spans="2:20" x14ac:dyDescent="0.3">
      <c r="B39" s="175">
        <v>2019</v>
      </c>
      <c r="C39" s="175" t="s">
        <v>466</v>
      </c>
      <c r="D39" s="175"/>
      <c r="E39" s="176" t="s">
        <v>910</v>
      </c>
      <c r="F39" s="162">
        <v>1087.6789000000001</v>
      </c>
      <c r="G39" s="160">
        <v>631.50900000000001</v>
      </c>
      <c r="H39" s="162">
        <v>221.4588</v>
      </c>
      <c r="I39" s="162">
        <v>6065.7698</v>
      </c>
      <c r="J39" s="159">
        <v>5.8150000000000004</v>
      </c>
      <c r="K39" s="160">
        <v>0</v>
      </c>
      <c r="L39" s="160"/>
      <c r="M39" s="160"/>
      <c r="N39" s="160"/>
      <c r="O39" s="160"/>
      <c r="P39" s="162">
        <v>11347.083500000001</v>
      </c>
      <c r="Q39" s="160">
        <v>0</v>
      </c>
      <c r="R39" s="160">
        <v>117.46299999999999</v>
      </c>
      <c r="S39" s="160">
        <v>0</v>
      </c>
      <c r="T39" s="162">
        <v>19476.777999999998</v>
      </c>
    </row>
    <row r="40" spans="2:20" x14ac:dyDescent="0.3">
      <c r="B40" s="175">
        <v>2030</v>
      </c>
      <c r="C40" s="175" t="s">
        <v>466</v>
      </c>
      <c r="D40" s="175"/>
      <c r="E40" s="176" t="s">
        <v>910</v>
      </c>
      <c r="F40" s="503"/>
      <c r="G40" s="503"/>
      <c r="H40" s="503"/>
      <c r="I40" s="503"/>
      <c r="J40" s="503"/>
      <c r="K40" s="503"/>
      <c r="L40" s="503"/>
      <c r="M40" s="503"/>
      <c r="N40" s="503"/>
      <c r="O40" s="503"/>
      <c r="P40" s="503"/>
      <c r="Q40" s="503"/>
      <c r="R40" s="503"/>
      <c r="S40" s="503"/>
      <c r="T40" s="172"/>
    </row>
    <row r="41" spans="2:20" x14ac:dyDescent="0.3">
      <c r="B41" s="175">
        <v>2050</v>
      </c>
      <c r="C41" s="175" t="s">
        <v>466</v>
      </c>
      <c r="D41" s="175"/>
      <c r="E41" s="176" t="s">
        <v>910</v>
      </c>
      <c r="F41" s="503"/>
      <c r="G41" s="503"/>
      <c r="H41" s="503"/>
      <c r="I41" s="503"/>
      <c r="J41" s="503"/>
      <c r="K41" s="503"/>
      <c r="L41" s="503"/>
      <c r="M41" s="503"/>
      <c r="N41" s="503"/>
      <c r="O41" s="503"/>
      <c r="P41" s="503"/>
      <c r="Q41" s="503"/>
      <c r="R41" s="503"/>
      <c r="S41" s="503"/>
      <c r="T41" s="172"/>
    </row>
    <row r="44" spans="2:20" x14ac:dyDescent="0.3">
      <c r="B44" s="709" t="s">
        <v>911</v>
      </c>
      <c r="C44" s="709"/>
    </row>
    <row r="46" spans="2:20" x14ac:dyDescent="0.3">
      <c r="C46" s="504" t="s">
        <v>912</v>
      </c>
      <c r="D46" s="504">
        <v>2019</v>
      </c>
      <c r="E46" s="504">
        <v>2020</v>
      </c>
      <c r="F46" s="504">
        <v>2030</v>
      </c>
      <c r="G46" s="504">
        <v>2030</v>
      </c>
      <c r="H46" s="504">
        <v>2035</v>
      </c>
      <c r="I46" s="504">
        <v>2040</v>
      </c>
      <c r="J46" s="504">
        <v>2045</v>
      </c>
      <c r="K46" s="504">
        <v>2050</v>
      </c>
    </row>
    <row r="47" spans="2:20" x14ac:dyDescent="0.3">
      <c r="C47" s="504" t="s">
        <v>913</v>
      </c>
      <c r="D47" s="504"/>
      <c r="E47" s="504"/>
      <c r="F47" s="504"/>
      <c r="G47" s="504"/>
      <c r="H47" s="504"/>
      <c r="I47" s="504"/>
      <c r="J47" s="504"/>
      <c r="K47" s="504"/>
    </row>
    <row r="48" spans="2:20" x14ac:dyDescent="0.3">
      <c r="C48" s="504" t="s">
        <v>914</v>
      </c>
      <c r="D48" s="504"/>
      <c r="E48" s="504"/>
      <c r="F48" s="504"/>
      <c r="G48" s="504"/>
      <c r="H48" s="504"/>
      <c r="I48" s="504"/>
      <c r="J48" s="504"/>
      <c r="K48" s="504"/>
    </row>
    <row r="49" spans="2:11" x14ac:dyDescent="0.3">
      <c r="C49" s="504" t="s">
        <v>915</v>
      </c>
      <c r="D49" s="504"/>
      <c r="E49" s="504"/>
      <c r="F49" s="504"/>
      <c r="G49" s="504"/>
      <c r="H49" s="504"/>
      <c r="I49" s="504"/>
      <c r="J49" s="504"/>
      <c r="K49" s="504"/>
    </row>
    <row r="50" spans="2:11" x14ac:dyDescent="0.3">
      <c r="C50" s="504" t="s">
        <v>38</v>
      </c>
      <c r="D50" s="504"/>
      <c r="E50" s="504"/>
      <c r="F50" s="504"/>
      <c r="G50" s="504"/>
      <c r="H50" s="504"/>
      <c r="I50" s="504"/>
      <c r="J50" s="504"/>
      <c r="K50" s="504"/>
    </row>
    <row r="53" spans="2:11" ht="15" thickBot="1" x14ac:dyDescent="0.35">
      <c r="B53" s="709" t="s">
        <v>916</v>
      </c>
      <c r="C53" s="709"/>
    </row>
    <row r="54" spans="2:11" ht="15" thickBot="1" x14ac:dyDescent="0.35">
      <c r="C54" s="710" t="s">
        <v>880</v>
      </c>
      <c r="D54" s="711"/>
      <c r="E54" s="711"/>
      <c r="F54" s="711"/>
      <c r="G54" s="711"/>
      <c r="H54" s="711"/>
      <c r="I54" s="711"/>
      <c r="J54" s="712"/>
    </row>
    <row r="55" spans="2:11" ht="15" thickBot="1" x14ac:dyDescent="0.35">
      <c r="C55" s="505"/>
      <c r="D55" s="491">
        <v>2023</v>
      </c>
      <c r="E55" s="491">
        <v>2025</v>
      </c>
      <c r="F55" s="491">
        <v>2030</v>
      </c>
      <c r="G55" s="491">
        <v>2035</v>
      </c>
      <c r="H55" s="491">
        <v>2040</v>
      </c>
      <c r="I55" s="491">
        <v>2045</v>
      </c>
      <c r="J55" s="491">
        <v>2050</v>
      </c>
      <c r="K55" s="504"/>
    </row>
    <row r="56" spans="2:11" ht="43.8" thickBot="1" x14ac:dyDescent="0.35">
      <c r="C56" s="505" t="s">
        <v>917</v>
      </c>
      <c r="D56" s="506">
        <v>0.18</v>
      </c>
      <c r="E56" s="506">
        <v>0.25</v>
      </c>
      <c r="F56" s="506">
        <v>0.34</v>
      </c>
      <c r="G56" s="506">
        <v>0.38</v>
      </c>
      <c r="H56" s="506">
        <v>0.38</v>
      </c>
      <c r="I56" s="506">
        <v>0.42</v>
      </c>
      <c r="J56" s="506">
        <v>0.42</v>
      </c>
      <c r="K56" s="504"/>
    </row>
    <row r="57" spans="2:11" ht="15" thickBot="1" x14ac:dyDescent="0.35">
      <c r="B57" s="504"/>
      <c r="C57" s="505" t="s">
        <v>918</v>
      </c>
      <c r="D57" s="491">
        <v>10.55</v>
      </c>
      <c r="E57" s="491">
        <v>10.55</v>
      </c>
      <c r="F57" s="491">
        <v>10.55</v>
      </c>
      <c r="G57" s="491">
        <v>10.55</v>
      </c>
      <c r="H57" s="491">
        <v>10.55</v>
      </c>
      <c r="I57" s="491">
        <v>10.55</v>
      </c>
      <c r="J57" s="491">
        <v>10.55</v>
      </c>
    </row>
    <row r="58" spans="2:11" ht="29.4" thickBot="1" x14ac:dyDescent="0.35">
      <c r="C58" s="505" t="s">
        <v>919</v>
      </c>
      <c r="D58" s="506">
        <v>1</v>
      </c>
      <c r="E58" s="506">
        <v>1</v>
      </c>
      <c r="F58" s="506">
        <v>1</v>
      </c>
      <c r="G58" s="506">
        <v>1</v>
      </c>
      <c r="H58" s="506">
        <v>1</v>
      </c>
      <c r="I58" s="506">
        <v>1</v>
      </c>
      <c r="J58" s="506">
        <v>1</v>
      </c>
      <c r="K58" s="504"/>
    </row>
    <row r="59" spans="2:11" ht="29.4" thickBot="1" x14ac:dyDescent="0.35">
      <c r="C59" s="505" t="s">
        <v>920</v>
      </c>
      <c r="D59" s="491">
        <v>4.5999999999999996</v>
      </c>
      <c r="E59" s="491">
        <v>4.5999999999999996</v>
      </c>
      <c r="F59" s="491">
        <v>4.5999999999999996</v>
      </c>
      <c r="G59" s="491">
        <v>4.5999999999999996</v>
      </c>
      <c r="H59" s="491">
        <v>4.5999999999999996</v>
      </c>
      <c r="I59" s="491">
        <v>4.5999999999999996</v>
      </c>
      <c r="J59" s="491">
        <v>4.5999999999999996</v>
      </c>
      <c r="K59" s="504"/>
    </row>
    <row r="60" spans="2:11" ht="43.8" thickBot="1" x14ac:dyDescent="0.35">
      <c r="C60" s="505" t="s">
        <v>921</v>
      </c>
      <c r="D60" s="506">
        <v>0.43</v>
      </c>
      <c r="E60" s="506">
        <v>0.48</v>
      </c>
      <c r="F60" s="506">
        <v>0.54</v>
      </c>
      <c r="G60" s="506">
        <v>0.56999999999999995</v>
      </c>
      <c r="H60" s="506">
        <v>0.56999999999999995</v>
      </c>
      <c r="I60" s="506">
        <v>0.6</v>
      </c>
      <c r="J60" s="506">
        <v>0.6</v>
      </c>
      <c r="K60" s="504"/>
    </row>
    <row r="64" spans="2:11" x14ac:dyDescent="0.3">
      <c r="B64" s="720" t="s">
        <v>922</v>
      </c>
      <c r="C64" s="720"/>
    </row>
    <row r="66" spans="2:21" x14ac:dyDescent="0.3">
      <c r="B66" s="708" t="s">
        <v>923</v>
      </c>
      <c r="C66" s="708"/>
      <c r="D66" s="708"/>
      <c r="E66" s="708"/>
      <c r="F66" s="708"/>
      <c r="G66" s="708"/>
      <c r="H66" s="708"/>
      <c r="I66" s="708"/>
      <c r="J66" s="708"/>
      <c r="K66" s="708"/>
    </row>
    <row r="68" spans="2:21" x14ac:dyDescent="0.3">
      <c r="B68" s="720" t="s">
        <v>924</v>
      </c>
      <c r="C68" s="720"/>
    </row>
    <row r="70" spans="2:21" x14ac:dyDescent="0.3">
      <c r="C70" s="504"/>
      <c r="D70" s="504">
        <v>2019</v>
      </c>
      <c r="E70" s="504">
        <v>2020</v>
      </c>
      <c r="F70" s="504">
        <v>2025</v>
      </c>
      <c r="G70" s="504">
        <v>2030</v>
      </c>
      <c r="H70" s="504">
        <v>2035</v>
      </c>
      <c r="I70" s="504">
        <v>2040</v>
      </c>
      <c r="J70" s="504">
        <v>2045</v>
      </c>
      <c r="K70" s="504">
        <v>2050</v>
      </c>
    </row>
    <row r="71" spans="2:21" x14ac:dyDescent="0.3">
      <c r="C71" s="504" t="s">
        <v>925</v>
      </c>
      <c r="D71" s="504"/>
      <c r="E71" s="504"/>
      <c r="F71" s="504"/>
      <c r="G71" s="504">
        <v>3</v>
      </c>
      <c r="H71" s="504">
        <v>3</v>
      </c>
      <c r="I71" s="504">
        <v>3</v>
      </c>
      <c r="J71" s="504">
        <v>3</v>
      </c>
      <c r="K71" s="504">
        <v>3</v>
      </c>
    </row>
    <row r="72" spans="2:21" x14ac:dyDescent="0.3">
      <c r="C72" s="504" t="s">
        <v>926</v>
      </c>
      <c r="D72" s="504"/>
      <c r="E72" s="504"/>
      <c r="F72" s="504"/>
      <c r="G72" s="504"/>
      <c r="H72" s="504"/>
      <c r="I72" s="504"/>
      <c r="J72" s="504"/>
      <c r="K72" s="504"/>
    </row>
    <row r="73" spans="2:21" x14ac:dyDescent="0.3">
      <c r="C73" s="504" t="s">
        <v>927</v>
      </c>
      <c r="D73" s="504"/>
      <c r="E73" s="504"/>
      <c r="F73" s="504"/>
      <c r="G73" s="504"/>
      <c r="H73" s="504"/>
      <c r="I73" s="504"/>
      <c r="J73" s="504"/>
      <c r="K73" s="504"/>
    </row>
    <row r="79" spans="2:21" ht="23.4" x14ac:dyDescent="0.3">
      <c r="B79" s="706" t="s">
        <v>10</v>
      </c>
      <c r="C79" s="707"/>
      <c r="D79" s="707"/>
      <c r="E79" s="707"/>
      <c r="F79" s="707"/>
      <c r="G79" s="707"/>
      <c r="H79" s="707"/>
      <c r="I79" s="707"/>
      <c r="J79" s="707"/>
      <c r="K79" s="707"/>
      <c r="L79" s="707"/>
      <c r="M79" s="707"/>
      <c r="N79" s="707"/>
      <c r="O79" s="707"/>
      <c r="P79" s="707"/>
      <c r="Q79" s="707"/>
      <c r="R79" s="707"/>
      <c r="S79" s="707"/>
      <c r="T79" s="707"/>
      <c r="U79" s="707"/>
    </row>
    <row r="81" spans="2:20" x14ac:dyDescent="0.3">
      <c r="B81" t="s">
        <v>928</v>
      </c>
    </row>
    <row r="83" spans="2:20" x14ac:dyDescent="0.3">
      <c r="B83" s="709" t="s">
        <v>900</v>
      </c>
      <c r="C83" s="709"/>
    </row>
    <row r="84" spans="2:20" ht="15" thickBot="1" x14ac:dyDescent="0.35">
      <c r="C84" s="507"/>
    </row>
    <row r="85" spans="2:20" ht="15" thickBot="1" x14ac:dyDescent="0.35">
      <c r="C85" s="508" t="s">
        <v>797</v>
      </c>
      <c r="D85" s="509">
        <v>2019</v>
      </c>
      <c r="E85" s="509">
        <v>2020</v>
      </c>
      <c r="F85" s="509">
        <v>2025</v>
      </c>
      <c r="G85" s="509">
        <v>2030</v>
      </c>
      <c r="H85" s="509">
        <v>2035</v>
      </c>
      <c r="I85" s="509">
        <v>2040</v>
      </c>
      <c r="J85" s="509">
        <v>2045</v>
      </c>
      <c r="K85" s="509">
        <v>2050</v>
      </c>
    </row>
    <row r="86" spans="2:20" ht="15" thickBot="1" x14ac:dyDescent="0.35">
      <c r="C86" s="510" t="s">
        <v>929</v>
      </c>
      <c r="D86" s="511">
        <v>0.42799999999999999</v>
      </c>
      <c r="E86" s="511">
        <v>0.42</v>
      </c>
      <c r="F86" s="511">
        <v>0.44</v>
      </c>
      <c r="G86" s="511">
        <v>0.44</v>
      </c>
      <c r="H86" s="511">
        <v>0.44</v>
      </c>
      <c r="I86" s="511">
        <v>0.69</v>
      </c>
      <c r="J86" s="511">
        <v>0.69</v>
      </c>
      <c r="K86" s="511">
        <v>0.69</v>
      </c>
    </row>
    <row r="87" spans="2:20" ht="15" thickBot="1" x14ac:dyDescent="0.35">
      <c r="C87" s="510" t="s">
        <v>11</v>
      </c>
      <c r="D87" s="511">
        <v>0.41699999999999998</v>
      </c>
      <c r="E87" s="511">
        <v>0.43099999999999999</v>
      </c>
      <c r="F87" s="511">
        <v>0.5</v>
      </c>
      <c r="G87" s="511">
        <v>0.7</v>
      </c>
      <c r="H87" s="511">
        <v>0.8</v>
      </c>
      <c r="I87" s="511">
        <v>0.8</v>
      </c>
      <c r="J87" s="511">
        <v>1</v>
      </c>
      <c r="K87" s="511">
        <v>1</v>
      </c>
    </row>
    <row r="88" spans="2:20" x14ac:dyDescent="0.3">
      <c r="C88" s="512" t="s">
        <v>930</v>
      </c>
      <c r="D88" s="513">
        <v>0</v>
      </c>
      <c r="E88" s="513">
        <v>0</v>
      </c>
      <c r="F88" s="513">
        <v>0</v>
      </c>
      <c r="G88" s="513">
        <v>0.1</v>
      </c>
      <c r="H88" s="513">
        <v>0.1</v>
      </c>
      <c r="I88" s="513">
        <v>0.1</v>
      </c>
      <c r="J88" s="513">
        <v>0.2</v>
      </c>
      <c r="K88" s="513">
        <v>0.2</v>
      </c>
      <c r="O88" t="s">
        <v>931</v>
      </c>
      <c r="Q88" t="s">
        <v>932</v>
      </c>
    </row>
    <row r="89" spans="2:20" x14ac:dyDescent="0.3">
      <c r="C89" s="512" t="s">
        <v>933</v>
      </c>
      <c r="D89" s="513">
        <v>0.41699999999999998</v>
      </c>
      <c r="E89" s="513">
        <v>0.43099999999999999</v>
      </c>
      <c r="F89" s="513">
        <v>0.5</v>
      </c>
      <c r="G89" s="513">
        <v>0.6</v>
      </c>
      <c r="H89" s="513">
        <v>0.7</v>
      </c>
      <c r="I89" s="513">
        <v>0.7</v>
      </c>
      <c r="J89" s="513">
        <v>0.8</v>
      </c>
      <c r="K89" s="513">
        <v>0.8</v>
      </c>
      <c r="O89">
        <f>T100/D86</f>
        <v>14635.514018691589</v>
      </c>
      <c r="Q89">
        <f>T104/D87</f>
        <v>3206.9437783106955</v>
      </c>
    </row>
    <row r="90" spans="2:20" ht="15" thickBot="1" x14ac:dyDescent="0.35">
      <c r="C90" s="510" t="s">
        <v>934</v>
      </c>
      <c r="D90" s="511">
        <v>0.84499999999999997</v>
      </c>
      <c r="E90" s="511">
        <v>0.85099999999999998</v>
      </c>
      <c r="F90" s="511" t="s">
        <v>935</v>
      </c>
      <c r="G90" s="511">
        <v>1.06</v>
      </c>
      <c r="H90" s="511">
        <v>1.24</v>
      </c>
      <c r="I90" s="511">
        <v>1.49</v>
      </c>
      <c r="J90" s="511">
        <v>1.69</v>
      </c>
      <c r="K90" s="511">
        <v>1.69</v>
      </c>
      <c r="N90" s="514">
        <f>O90/O89</f>
        <v>1.0372851239669421</v>
      </c>
      <c r="O90">
        <f>T101/G86</f>
        <v>15181.200973198424</v>
      </c>
      <c r="P90">
        <f>Q90/Q89</f>
        <v>0.6924444151549739</v>
      </c>
      <c r="Q90">
        <f>T105/G87</f>
        <v>2220.630309007232</v>
      </c>
    </row>
    <row r="91" spans="2:20" x14ac:dyDescent="0.3">
      <c r="N91" s="514">
        <f>O91/O89</f>
        <v>0.81157272727272711</v>
      </c>
      <c r="O91">
        <f>T102/K86</f>
        <v>11877.784027187763</v>
      </c>
      <c r="P91">
        <f>Q91/Q89</f>
        <v>0.73212072374925607</v>
      </c>
      <c r="Q91">
        <f>T106/K87</f>
        <v>2347.8700000000003</v>
      </c>
    </row>
    <row r="92" spans="2:20" x14ac:dyDescent="0.3">
      <c r="B92" s="709" t="s">
        <v>907</v>
      </c>
      <c r="C92" s="709"/>
    </row>
    <row r="94" spans="2:20" ht="36" x14ac:dyDescent="0.3">
      <c r="B94" s="1"/>
      <c r="C94" s="716" t="s">
        <v>494</v>
      </c>
      <c r="D94" s="716"/>
      <c r="E94" s="716"/>
      <c r="F94" s="498" t="s">
        <v>438</v>
      </c>
      <c r="G94" s="498" t="s">
        <v>454</v>
      </c>
      <c r="H94" s="498" t="s">
        <v>440</v>
      </c>
      <c r="I94" s="498" t="s">
        <v>496</v>
      </c>
      <c r="J94" s="498" t="s">
        <v>450</v>
      </c>
      <c r="K94" s="498" t="s">
        <v>451</v>
      </c>
      <c r="L94" s="498" t="s">
        <v>452</v>
      </c>
      <c r="M94" s="498" t="s">
        <v>453</v>
      </c>
      <c r="N94" s="498" t="s">
        <v>443</v>
      </c>
      <c r="O94" s="498" t="s">
        <v>444</v>
      </c>
      <c r="P94" s="498" t="s">
        <v>495</v>
      </c>
      <c r="Q94" s="498" t="s">
        <v>455</v>
      </c>
      <c r="R94" s="498" t="s">
        <v>446</v>
      </c>
      <c r="S94" s="498" t="s">
        <v>447</v>
      </c>
      <c r="T94" s="498" t="s">
        <v>52</v>
      </c>
    </row>
    <row r="95" spans="2:20" x14ac:dyDescent="0.3">
      <c r="B95" s="170"/>
      <c r="C95" s="634" t="s">
        <v>24</v>
      </c>
      <c r="D95" s="634"/>
      <c r="E95" s="634"/>
      <c r="F95" s="171"/>
      <c r="G95" s="171"/>
      <c r="H95" s="171"/>
      <c r="I95" s="171"/>
      <c r="J95" s="171"/>
      <c r="K95" s="171"/>
      <c r="L95" s="171"/>
      <c r="M95" s="171"/>
      <c r="N95" s="171"/>
      <c r="O95" s="171"/>
      <c r="P95" s="192"/>
      <c r="Q95" s="192"/>
      <c r="R95" s="171"/>
      <c r="S95" s="171"/>
      <c r="T95" s="172"/>
    </row>
    <row r="96" spans="2:20" x14ac:dyDescent="0.3">
      <c r="B96" s="175">
        <v>2019</v>
      </c>
      <c r="C96" s="175" t="s">
        <v>936</v>
      </c>
      <c r="D96" s="175">
        <v>2019</v>
      </c>
      <c r="E96" s="176" t="s">
        <v>910</v>
      </c>
      <c r="F96" s="503"/>
      <c r="G96" s="503"/>
      <c r="H96" s="503"/>
      <c r="I96" s="503"/>
      <c r="J96" s="503"/>
      <c r="K96" s="503"/>
      <c r="L96" s="503"/>
      <c r="M96" s="503"/>
      <c r="N96" s="503"/>
      <c r="O96" s="503"/>
      <c r="P96" s="503"/>
      <c r="Q96" s="503"/>
      <c r="R96" s="503"/>
      <c r="S96" s="503"/>
      <c r="T96" s="502">
        <f>T100+T104</f>
        <v>7601.29555555556</v>
      </c>
    </row>
    <row r="97" spans="2:20" x14ac:dyDescent="0.3">
      <c r="B97" s="175">
        <v>2025</v>
      </c>
      <c r="C97" s="175" t="s">
        <v>936</v>
      </c>
      <c r="D97" s="175">
        <v>2025</v>
      </c>
      <c r="E97" s="176" t="s">
        <v>910</v>
      </c>
      <c r="F97" s="503"/>
      <c r="G97" s="503"/>
      <c r="H97" s="503"/>
      <c r="I97" s="503"/>
      <c r="J97" s="503"/>
      <c r="K97" s="503"/>
      <c r="L97" s="503"/>
      <c r="M97" s="503"/>
      <c r="N97" s="503"/>
      <c r="O97" s="503"/>
      <c r="P97" s="503"/>
      <c r="Q97" s="503"/>
      <c r="R97" s="503"/>
      <c r="S97" s="503"/>
      <c r="T97" s="502">
        <f>T101+T105</f>
        <v>8234.1696445123689</v>
      </c>
    </row>
    <row r="98" spans="2:20" x14ac:dyDescent="0.3">
      <c r="B98" s="175">
        <v>2050</v>
      </c>
      <c r="C98" s="175" t="s">
        <v>936</v>
      </c>
      <c r="D98" s="175">
        <v>2050</v>
      </c>
      <c r="E98" s="176" t="s">
        <v>910</v>
      </c>
      <c r="F98" s="503"/>
      <c r="G98" s="503"/>
      <c r="H98" s="503"/>
      <c r="I98" s="503"/>
      <c r="J98" s="503"/>
      <c r="K98" s="503"/>
      <c r="L98" s="503"/>
      <c r="M98" s="503"/>
      <c r="N98" s="503"/>
      <c r="O98" s="503"/>
      <c r="P98" s="503"/>
      <c r="Q98" s="503"/>
      <c r="R98" s="503"/>
      <c r="S98" s="503"/>
      <c r="T98" s="502">
        <f>T102+T106</f>
        <v>10543.540978759556</v>
      </c>
    </row>
    <row r="99" spans="2:20" x14ac:dyDescent="0.3">
      <c r="B99" s="180"/>
      <c r="C99" s="180"/>
      <c r="D99" s="180"/>
      <c r="E99" s="181"/>
      <c r="F99" s="184"/>
      <c r="G99" s="184"/>
      <c r="H99" s="184"/>
      <c r="I99" s="184"/>
      <c r="J99" s="184"/>
      <c r="K99" s="184"/>
      <c r="L99" s="184"/>
      <c r="M99" s="184"/>
      <c r="N99" s="184"/>
      <c r="O99" s="184"/>
      <c r="P99" s="184"/>
      <c r="Q99" s="184"/>
      <c r="R99" s="184"/>
      <c r="S99" s="184"/>
      <c r="T99" s="185"/>
    </row>
    <row r="100" spans="2:20" x14ac:dyDescent="0.3">
      <c r="B100" s="175">
        <v>2019</v>
      </c>
      <c r="C100" s="175" t="s">
        <v>937</v>
      </c>
      <c r="D100" s="175">
        <v>2019</v>
      </c>
      <c r="E100" s="176" t="s">
        <v>910</v>
      </c>
      <c r="F100" s="160">
        <v>25.056000000000001</v>
      </c>
      <c r="G100" s="160">
        <v>0</v>
      </c>
      <c r="H100" s="162">
        <v>175.392</v>
      </c>
      <c r="I100" s="160">
        <v>1566</v>
      </c>
      <c r="J100" s="160">
        <v>0</v>
      </c>
      <c r="K100" s="160">
        <v>0</v>
      </c>
      <c r="L100" s="160">
        <v>0</v>
      </c>
      <c r="M100" s="160">
        <v>0</v>
      </c>
      <c r="N100" s="160"/>
      <c r="O100" s="160">
        <v>0</v>
      </c>
      <c r="P100" s="160">
        <v>4447.4399999999996</v>
      </c>
      <c r="Q100" s="160">
        <v>0</v>
      </c>
      <c r="R100" s="160">
        <v>0</v>
      </c>
      <c r="S100" s="160">
        <v>0</v>
      </c>
      <c r="T100" s="162">
        <v>6264</v>
      </c>
    </row>
    <row r="101" spans="2:20" x14ac:dyDescent="0.3">
      <c r="B101" s="175">
        <v>2025</v>
      </c>
      <c r="C101" s="175" t="s">
        <v>937</v>
      </c>
      <c r="D101" s="175">
        <v>2030</v>
      </c>
      <c r="E101" s="176" t="s">
        <v>910</v>
      </c>
      <c r="F101" s="515"/>
      <c r="G101" s="515"/>
      <c r="H101" s="515"/>
      <c r="I101" s="515">
        <f>I100*0.2</f>
        <v>313.20000000000005</v>
      </c>
      <c r="J101" s="515"/>
      <c r="K101" s="515"/>
      <c r="L101" s="515"/>
      <c r="M101" s="515">
        <f>I100*0.4*0.7*(0.69/0.428)</f>
        <v>706.89532710280378</v>
      </c>
      <c r="N101" s="515"/>
      <c r="O101" s="515"/>
      <c r="P101" s="515">
        <f>P100*0.48/0.44+0.4*I100*0.8*(0.69/0.428)</f>
        <v>5659.6331011045022</v>
      </c>
      <c r="Q101" s="515"/>
      <c r="R101" s="515"/>
      <c r="S101" s="515">
        <v>0</v>
      </c>
      <c r="T101" s="502">
        <f>SUM(I101:S101)</f>
        <v>6679.728428207306</v>
      </c>
    </row>
    <row r="102" spans="2:20" x14ac:dyDescent="0.3">
      <c r="B102" s="175">
        <v>2050</v>
      </c>
      <c r="C102" s="175" t="s">
        <v>937</v>
      </c>
      <c r="D102" s="175">
        <v>2050</v>
      </c>
      <c r="E102" s="176" t="s">
        <v>910</v>
      </c>
      <c r="F102" s="515"/>
      <c r="G102" s="515"/>
      <c r="H102" s="515"/>
      <c r="I102" s="515"/>
      <c r="J102" s="515"/>
      <c r="K102" s="515"/>
      <c r="L102" s="515"/>
      <c r="M102" s="515">
        <f>I100*0.5*0.7*(0.69/0.428)</f>
        <v>883.61915887850455</v>
      </c>
      <c r="N102" s="515"/>
      <c r="O102" s="515"/>
      <c r="P102" s="515">
        <f>0.9*P100*0.69/0.44+0.4*I100*0.8*(0.69/0.428)</f>
        <v>7084.8354647408651</v>
      </c>
      <c r="Q102" s="515"/>
      <c r="R102" s="515"/>
      <c r="S102" s="515">
        <f>10%*0.9*I100*(0.69/0.428)</f>
        <v>227.21635514018695</v>
      </c>
      <c r="T102" s="502">
        <f>SUM(M102:S102)</f>
        <v>8195.6709787595555</v>
      </c>
    </row>
    <row r="103" spans="2:20" x14ac:dyDescent="0.3">
      <c r="B103" s="180"/>
      <c r="C103" s="180"/>
      <c r="D103" s="180"/>
      <c r="E103" s="181"/>
      <c r="F103" s="184"/>
      <c r="G103" s="184"/>
      <c r="H103" s="184"/>
      <c r="I103" s="184"/>
      <c r="J103" s="184"/>
      <c r="K103" s="184"/>
      <c r="L103" s="184"/>
      <c r="M103" s="184"/>
      <c r="N103" s="184"/>
      <c r="O103" s="184"/>
      <c r="P103" s="184"/>
      <c r="Q103" s="184"/>
      <c r="R103" s="184"/>
      <c r="S103" s="184"/>
      <c r="T103" s="185"/>
    </row>
    <row r="104" spans="2:20" x14ac:dyDescent="0.3">
      <c r="B104" s="175">
        <v>2019</v>
      </c>
      <c r="C104" s="175" t="s">
        <v>938</v>
      </c>
      <c r="D104" s="175">
        <v>2019</v>
      </c>
      <c r="E104" s="176" t="s">
        <v>910</v>
      </c>
      <c r="F104" s="160">
        <v>0</v>
      </c>
      <c r="G104" s="160">
        <v>0</v>
      </c>
      <c r="H104" s="162">
        <v>32.923333333333296</v>
      </c>
      <c r="I104" s="162">
        <v>855.74222222222204</v>
      </c>
      <c r="J104" s="160">
        <v>0</v>
      </c>
      <c r="K104" s="160">
        <v>0</v>
      </c>
      <c r="L104" s="160">
        <v>0</v>
      </c>
      <c r="M104" s="160">
        <v>0</v>
      </c>
      <c r="N104" s="160"/>
      <c r="O104" s="160">
        <v>0</v>
      </c>
      <c r="P104" s="162">
        <v>448.63</v>
      </c>
      <c r="Q104" s="160">
        <v>0</v>
      </c>
      <c r="R104" s="160">
        <v>0</v>
      </c>
      <c r="S104" s="160">
        <v>0</v>
      </c>
      <c r="T104" s="162">
        <v>1337.29555555556</v>
      </c>
    </row>
    <row r="105" spans="2:20" x14ac:dyDescent="0.3">
      <c r="B105" s="175">
        <v>2025</v>
      </c>
      <c r="C105" s="175" t="s">
        <v>938</v>
      </c>
      <c r="D105" s="175">
        <v>2025</v>
      </c>
      <c r="E105" s="176" t="s">
        <v>910</v>
      </c>
      <c r="F105" s="503"/>
      <c r="G105" s="503"/>
      <c r="H105" s="503"/>
      <c r="I105" s="503"/>
      <c r="J105" s="503"/>
      <c r="K105" s="503"/>
      <c r="L105" s="503"/>
      <c r="M105" s="503"/>
      <c r="N105" s="503"/>
      <c r="O105" s="503"/>
      <c r="P105" s="515">
        <f>(P104+I104)*G90/D90*0.95</f>
        <v>1554.4412163050622</v>
      </c>
      <c r="Q105" s="503"/>
      <c r="R105" s="503"/>
      <c r="S105" s="503"/>
      <c r="T105" s="502">
        <f>P105</f>
        <v>1554.4412163050622</v>
      </c>
    </row>
    <row r="106" spans="2:20" x14ac:dyDescent="0.3">
      <c r="B106" s="175">
        <v>2050</v>
      </c>
      <c r="C106" s="175" t="s">
        <v>938</v>
      </c>
      <c r="D106" s="175">
        <v>2050</v>
      </c>
      <c r="E106" s="176" t="s">
        <v>910</v>
      </c>
      <c r="F106" s="503"/>
      <c r="G106" s="503"/>
      <c r="H106" s="503"/>
      <c r="I106" s="503"/>
      <c r="J106" s="503"/>
      <c r="K106" s="503"/>
      <c r="L106" s="503"/>
      <c r="M106" s="503"/>
      <c r="N106" s="503"/>
      <c r="O106" s="503"/>
      <c r="P106" s="515">
        <f>(P104+I104)*K90/D90*0.9</f>
        <v>2347.8700000000003</v>
      </c>
      <c r="Q106" s="503"/>
      <c r="R106" s="503"/>
      <c r="S106" s="503"/>
      <c r="T106" s="502">
        <f>P106</f>
        <v>2347.8700000000003</v>
      </c>
    </row>
    <row r="107" spans="2:20" x14ac:dyDescent="0.3">
      <c r="I107">
        <f>I100/T100</f>
        <v>0.25</v>
      </c>
      <c r="P107">
        <f>P100/T100</f>
        <v>0.71</v>
      </c>
    </row>
    <row r="108" spans="2:20" x14ac:dyDescent="0.3">
      <c r="I108">
        <f>I101/T101</f>
        <v>4.6888133756667727E-2</v>
      </c>
      <c r="M108">
        <f>M101/T101</f>
        <v>0.10582695609565659</v>
      </c>
      <c r="P108">
        <f>P101/T101</f>
        <v>0.84728491014767571</v>
      </c>
    </row>
    <row r="109" spans="2:20" x14ac:dyDescent="0.3">
      <c r="C109" s="516" t="s">
        <v>939</v>
      </c>
      <c r="I109">
        <f>I102/T102</f>
        <v>0</v>
      </c>
      <c r="M109">
        <f>M102/T102</f>
        <v>0.10781535290625387</v>
      </c>
      <c r="P109">
        <f>P102/T102</f>
        <v>0.86446069920356672</v>
      </c>
      <c r="S109">
        <f>S102/T102</f>
        <v>2.7723947890179575E-2</v>
      </c>
    </row>
    <row r="110" spans="2:20" x14ac:dyDescent="0.3">
      <c r="C110" s="516" t="s">
        <v>940</v>
      </c>
    </row>
    <row r="111" spans="2:20" x14ac:dyDescent="0.3">
      <c r="I111">
        <f>I104/T104</f>
        <v>0.63990508206446284</v>
      </c>
      <c r="P111">
        <f>P104/T104</f>
        <v>0.33547557840616854</v>
      </c>
    </row>
    <row r="112" spans="2:20" x14ac:dyDescent="0.3">
      <c r="B112" s="709" t="s">
        <v>911</v>
      </c>
      <c r="C112" s="709"/>
      <c r="I112">
        <f t="shared" ref="I112:I113" si="1">I105/T105</f>
        <v>0</v>
      </c>
      <c r="P112">
        <f>P105/T105</f>
        <v>1</v>
      </c>
    </row>
    <row r="113" spans="2:16" x14ac:dyDescent="0.3">
      <c r="I113">
        <f t="shared" si="1"/>
        <v>0</v>
      </c>
      <c r="P113">
        <f>P106/T106</f>
        <v>1</v>
      </c>
    </row>
    <row r="114" spans="2:16" x14ac:dyDescent="0.3">
      <c r="C114" s="504" t="s">
        <v>912</v>
      </c>
      <c r="D114" s="504">
        <v>2019</v>
      </c>
      <c r="E114" s="504">
        <v>2020</v>
      </c>
      <c r="F114" s="504">
        <v>2025</v>
      </c>
      <c r="G114" s="504">
        <v>2030</v>
      </c>
      <c r="H114" s="504">
        <v>2035</v>
      </c>
      <c r="I114" s="504">
        <v>2040</v>
      </c>
      <c r="J114" s="504">
        <v>2045</v>
      </c>
      <c r="K114" s="504">
        <v>2050</v>
      </c>
    </row>
    <row r="115" spans="2:16" x14ac:dyDescent="0.3">
      <c r="C115" s="504" t="s">
        <v>941</v>
      </c>
      <c r="D115" s="504"/>
      <c r="E115" s="504"/>
      <c r="F115" s="504"/>
      <c r="G115" s="504"/>
      <c r="H115" s="504"/>
      <c r="I115" s="504"/>
      <c r="J115" s="504"/>
      <c r="K115" s="504"/>
    </row>
    <row r="116" spans="2:16" x14ac:dyDescent="0.3">
      <c r="C116" s="504" t="s">
        <v>942</v>
      </c>
      <c r="D116" s="504"/>
      <c r="E116" s="504"/>
      <c r="F116" s="504"/>
      <c r="G116" s="504"/>
      <c r="H116" s="504"/>
      <c r="I116" s="504"/>
      <c r="J116" s="504"/>
      <c r="K116" s="504"/>
    </row>
    <row r="117" spans="2:16" x14ac:dyDescent="0.3">
      <c r="C117" s="504" t="s">
        <v>943</v>
      </c>
      <c r="D117" s="504"/>
      <c r="E117" s="504"/>
      <c r="F117" s="504"/>
      <c r="G117" s="504"/>
      <c r="H117" s="504"/>
      <c r="I117" s="504"/>
      <c r="J117" s="504"/>
      <c r="K117" s="504"/>
    </row>
    <row r="120" spans="2:16" x14ac:dyDescent="0.3">
      <c r="B120" s="709" t="s">
        <v>916</v>
      </c>
      <c r="C120" s="709"/>
    </row>
    <row r="122" spans="2:16" x14ac:dyDescent="0.3">
      <c r="C122" s="504" t="s">
        <v>944</v>
      </c>
      <c r="D122" s="504">
        <v>2019</v>
      </c>
      <c r="E122" s="504">
        <v>2020</v>
      </c>
      <c r="F122" s="504">
        <v>2025</v>
      </c>
      <c r="G122" s="504">
        <v>2030</v>
      </c>
      <c r="H122" s="504">
        <v>2035</v>
      </c>
      <c r="I122" s="504">
        <v>2040</v>
      </c>
      <c r="J122" s="504">
        <v>2045</v>
      </c>
      <c r="K122" s="504">
        <v>2050</v>
      </c>
    </row>
    <row r="123" spans="2:16" x14ac:dyDescent="0.3">
      <c r="C123" s="504" t="s">
        <v>941</v>
      </c>
      <c r="D123" s="517">
        <v>0.53</v>
      </c>
      <c r="E123" s="504"/>
      <c r="F123" s="504"/>
      <c r="G123" s="504"/>
      <c r="H123" s="504"/>
      <c r="I123" s="504"/>
      <c r="J123" s="504"/>
      <c r="K123" s="504"/>
    </row>
    <row r="125" spans="2:16" ht="168.6" customHeight="1" x14ac:dyDescent="0.3">
      <c r="C125" s="721" t="s">
        <v>945</v>
      </c>
      <c r="D125" s="721"/>
      <c r="E125" s="721"/>
      <c r="F125" s="721"/>
      <c r="G125" s="721"/>
      <c r="H125" s="721"/>
      <c r="I125" s="721"/>
      <c r="J125" s="721"/>
      <c r="K125" s="721"/>
    </row>
    <row r="126" spans="2:16" x14ac:dyDescent="0.3">
      <c r="C126" s="518"/>
    </row>
    <row r="127" spans="2:16" x14ac:dyDescent="0.3">
      <c r="C127" s="518" t="s">
        <v>946</v>
      </c>
    </row>
    <row r="128" spans="2:16" x14ac:dyDescent="0.3">
      <c r="C128" s="518"/>
    </row>
    <row r="129" spans="2:19" x14ac:dyDescent="0.3">
      <c r="C129" s="519" t="s">
        <v>947</v>
      </c>
    </row>
    <row r="130" spans="2:19" x14ac:dyDescent="0.3">
      <c r="B130" s="720" t="s">
        <v>922</v>
      </c>
      <c r="C130" s="720"/>
    </row>
    <row r="131" spans="2:19" ht="196.2" customHeight="1" x14ac:dyDescent="0.3">
      <c r="C131" s="722" t="s">
        <v>948</v>
      </c>
      <c r="D131" s="722"/>
      <c r="E131" s="722"/>
      <c r="F131" s="722"/>
      <c r="G131" s="722"/>
      <c r="H131" s="722"/>
      <c r="J131" s="723" t="s">
        <v>949</v>
      </c>
      <c r="K131" s="723"/>
      <c r="L131" s="723"/>
      <c r="M131" s="723"/>
      <c r="N131" s="723"/>
      <c r="O131" s="723"/>
      <c r="P131" s="723"/>
      <c r="Q131" s="723"/>
      <c r="R131" s="723"/>
      <c r="S131" s="723"/>
    </row>
    <row r="132" spans="2:19" x14ac:dyDescent="0.3">
      <c r="B132" s="708" t="s">
        <v>950</v>
      </c>
      <c r="C132" s="708"/>
      <c r="D132" s="708"/>
      <c r="E132" s="708"/>
      <c r="F132" s="708"/>
      <c r="G132" s="708"/>
      <c r="H132" s="708"/>
      <c r="I132" s="708"/>
      <c r="J132" s="708"/>
      <c r="K132" s="708"/>
    </row>
    <row r="134" spans="2:19" x14ac:dyDescent="0.3">
      <c r="B134" s="720" t="s">
        <v>924</v>
      </c>
      <c r="C134" s="720"/>
    </row>
    <row r="135" spans="2:19" ht="15" thickBot="1" x14ac:dyDescent="0.35"/>
    <row r="136" spans="2:19" ht="15" thickBot="1" x14ac:dyDescent="0.35">
      <c r="C136" s="488"/>
      <c r="D136" s="520">
        <v>2019</v>
      </c>
      <c r="E136" s="520">
        <v>2020</v>
      </c>
      <c r="F136" s="520">
        <v>2025</v>
      </c>
      <c r="G136" s="520">
        <v>2030</v>
      </c>
      <c r="H136" s="520">
        <v>2035</v>
      </c>
      <c r="I136" s="520">
        <v>2040</v>
      </c>
      <c r="J136" s="520">
        <v>2045</v>
      </c>
      <c r="K136" s="520">
        <v>2050</v>
      </c>
    </row>
    <row r="137" spans="2:19" ht="15" thickBot="1" x14ac:dyDescent="0.35">
      <c r="C137" s="489" t="s">
        <v>925</v>
      </c>
      <c r="D137" s="521">
        <v>0</v>
      </c>
      <c r="E137" s="521">
        <v>0</v>
      </c>
      <c r="F137" s="521">
        <v>0</v>
      </c>
      <c r="G137" s="521">
        <v>0.25</v>
      </c>
      <c r="H137" s="521">
        <v>0.25</v>
      </c>
      <c r="I137" s="521">
        <v>0.37</v>
      </c>
      <c r="J137" s="521">
        <v>0.37</v>
      </c>
      <c r="K137" s="521">
        <v>0.37</v>
      </c>
    </row>
    <row r="138" spans="2:19" ht="15" thickBot="1" x14ac:dyDescent="0.35">
      <c r="C138" s="489" t="s">
        <v>926</v>
      </c>
      <c r="D138" s="521">
        <v>0</v>
      </c>
      <c r="E138" s="521">
        <v>0</v>
      </c>
      <c r="F138" s="521">
        <v>0</v>
      </c>
      <c r="G138" s="521">
        <v>100</v>
      </c>
      <c r="H138" s="521">
        <v>100</v>
      </c>
      <c r="I138" s="521">
        <v>100</v>
      </c>
      <c r="J138" s="521">
        <v>100</v>
      </c>
      <c r="K138" s="521">
        <v>100</v>
      </c>
    </row>
    <row r="139" spans="2:19" ht="15" thickBot="1" x14ac:dyDescent="0.35">
      <c r="C139" s="489" t="s">
        <v>927</v>
      </c>
      <c r="D139" s="521">
        <v>0</v>
      </c>
      <c r="E139" s="521">
        <v>0</v>
      </c>
      <c r="F139" s="521">
        <v>0</v>
      </c>
      <c r="G139" s="521">
        <v>0</v>
      </c>
      <c r="H139" s="521">
        <v>0</v>
      </c>
      <c r="I139" s="521">
        <v>0</v>
      </c>
      <c r="J139" s="521">
        <v>0</v>
      </c>
      <c r="K139" s="521">
        <v>0</v>
      </c>
    </row>
    <row r="146" spans="2:20" ht="23.4" x14ac:dyDescent="0.3">
      <c r="B146" s="706" t="s">
        <v>12</v>
      </c>
      <c r="C146" s="707"/>
      <c r="D146" s="707"/>
      <c r="E146" s="707"/>
      <c r="F146" s="707"/>
      <c r="G146" s="707"/>
      <c r="H146" s="707"/>
      <c r="I146" s="707"/>
      <c r="J146" s="707"/>
      <c r="K146" s="707"/>
      <c r="L146" s="707"/>
      <c r="M146" s="707"/>
      <c r="N146" s="707"/>
      <c r="O146" s="707"/>
      <c r="P146" s="707"/>
      <c r="Q146" s="707"/>
      <c r="R146" s="707"/>
      <c r="S146" s="707"/>
      <c r="T146" s="707"/>
    </row>
    <row r="150" spans="2:20" x14ac:dyDescent="0.3">
      <c r="B150" s="709" t="s">
        <v>900</v>
      </c>
      <c r="C150" s="709"/>
    </row>
    <row r="152" spans="2:20" x14ac:dyDescent="0.3">
      <c r="C152" s="504"/>
      <c r="D152" s="504"/>
      <c r="E152" s="504"/>
      <c r="F152" s="504"/>
      <c r="G152" s="504"/>
      <c r="H152" s="504"/>
      <c r="I152" s="504"/>
      <c r="J152" s="504"/>
      <c r="K152" s="504"/>
    </row>
    <row r="153" spans="2:20" x14ac:dyDescent="0.3">
      <c r="C153" s="504"/>
      <c r="D153" s="5"/>
      <c r="E153" s="504"/>
      <c r="F153" s="504"/>
      <c r="G153" s="504"/>
      <c r="H153" s="504"/>
      <c r="I153" s="504"/>
      <c r="J153" s="504"/>
      <c r="K153" s="504"/>
    </row>
    <row r="155" spans="2:20" x14ac:dyDescent="0.3">
      <c r="B155" s="504" t="s">
        <v>797</v>
      </c>
      <c r="C155" s="504">
        <v>2019</v>
      </c>
      <c r="D155" s="504">
        <v>2020</v>
      </c>
      <c r="E155" s="504">
        <v>2025</v>
      </c>
      <c r="F155" s="504">
        <v>2030</v>
      </c>
      <c r="G155" s="504">
        <v>2035</v>
      </c>
      <c r="H155" s="504">
        <v>2040</v>
      </c>
      <c r="I155" s="504">
        <v>2045</v>
      </c>
      <c r="J155" s="504">
        <v>2050</v>
      </c>
      <c r="K155" s="504" t="s">
        <v>951</v>
      </c>
    </row>
    <row r="156" spans="2:20" x14ac:dyDescent="0.3">
      <c r="B156" s="504" t="s">
        <v>581</v>
      </c>
      <c r="C156" s="522">
        <f>SUM(C157:C162)</f>
        <v>2.2809999999999997</v>
      </c>
      <c r="D156" s="522">
        <f t="shared" ref="D156:K156" si="2">SUM(D157:D162)</f>
        <v>2.2809999999999997</v>
      </c>
      <c r="E156" s="522">
        <f t="shared" si="2"/>
        <v>2.2809999999999997</v>
      </c>
      <c r="F156" s="522">
        <f t="shared" si="2"/>
        <v>2.2809999999999997</v>
      </c>
      <c r="G156" s="522">
        <f t="shared" si="2"/>
        <v>2.2809999999999997</v>
      </c>
      <c r="H156" s="522">
        <f t="shared" si="2"/>
        <v>2.2809999999999997</v>
      </c>
      <c r="I156" s="522">
        <f t="shared" si="2"/>
        <v>2.2809999999999997</v>
      </c>
      <c r="J156" s="522">
        <f t="shared" si="2"/>
        <v>2.2809999999999997</v>
      </c>
      <c r="K156" s="522">
        <f t="shared" si="2"/>
        <v>2.1909999999999998</v>
      </c>
    </row>
    <row r="157" spans="2:20" x14ac:dyDescent="0.3">
      <c r="B157" s="492" t="s">
        <v>952</v>
      </c>
      <c r="C157" s="523">
        <v>0.36099999999999999</v>
      </c>
      <c r="D157" s="523">
        <v>0.36099999999999999</v>
      </c>
      <c r="E157" s="523">
        <v>0.36099999999999999</v>
      </c>
      <c r="F157" s="523">
        <v>0.36099999999999999</v>
      </c>
      <c r="G157" s="523">
        <v>0.36099999999999999</v>
      </c>
      <c r="H157" s="523">
        <v>0.36099999999999999</v>
      </c>
      <c r="I157" s="523">
        <v>0.36099999999999999</v>
      </c>
      <c r="J157" s="523">
        <v>0.36099999999999999</v>
      </c>
      <c r="K157" s="523">
        <v>0.36099999999999999</v>
      </c>
    </row>
    <row r="158" spans="2:20" x14ac:dyDescent="0.3">
      <c r="B158" s="524" t="s">
        <v>953</v>
      </c>
      <c r="C158" s="523">
        <v>0.52500000000000002</v>
      </c>
      <c r="D158" s="523">
        <v>0.52500000000000002</v>
      </c>
      <c r="E158" s="523">
        <v>0.52500000000000002</v>
      </c>
      <c r="F158" s="523">
        <v>0.52500000000000002</v>
      </c>
      <c r="G158" s="523">
        <v>0.52500000000000002</v>
      </c>
      <c r="H158" s="523">
        <v>0.52500000000000002</v>
      </c>
      <c r="I158" s="523">
        <v>0.52500000000000002</v>
      </c>
      <c r="J158" s="523">
        <v>0.52500000000000002</v>
      </c>
      <c r="K158" s="523">
        <v>0.52500000000000002</v>
      </c>
      <c r="O158">
        <f>T172/C156</f>
        <v>19425.376081582817</v>
      </c>
    </row>
    <row r="159" spans="2:20" x14ac:dyDescent="0.3">
      <c r="B159" s="524" t="s">
        <v>954</v>
      </c>
      <c r="C159" s="523">
        <v>0.14499999999999999</v>
      </c>
      <c r="D159" s="523">
        <v>0.14499999999999999</v>
      </c>
      <c r="E159" s="523">
        <v>0.14499999999999999</v>
      </c>
      <c r="F159" s="523">
        <v>0.14499999999999999</v>
      </c>
      <c r="G159" s="523">
        <v>0.14499999999999999</v>
      </c>
      <c r="H159" s="523">
        <v>0.14499999999999999</v>
      </c>
      <c r="I159" s="523">
        <v>0.14499999999999999</v>
      </c>
      <c r="J159" s="523">
        <v>0.14499999999999999</v>
      </c>
      <c r="K159" s="523">
        <v>0.14499999999999999</v>
      </c>
      <c r="N159">
        <f>O159/O158</f>
        <v>0.94401622641075489</v>
      </c>
      <c r="O159">
        <f>T173/F156</f>
        <v>18337.870225145547</v>
      </c>
    </row>
    <row r="160" spans="2:20" x14ac:dyDescent="0.3">
      <c r="B160" s="524" t="s">
        <v>955</v>
      </c>
      <c r="C160" s="525">
        <v>0.35</v>
      </c>
      <c r="D160" s="525">
        <v>0.35</v>
      </c>
      <c r="E160" s="525">
        <v>0.35</v>
      </c>
      <c r="F160" s="525">
        <v>0.35</v>
      </c>
      <c r="G160" s="525">
        <v>0.35</v>
      </c>
      <c r="H160" s="525">
        <v>0.35</v>
      </c>
      <c r="I160" s="525">
        <v>0.35</v>
      </c>
      <c r="J160" s="525">
        <v>0.35</v>
      </c>
      <c r="K160" s="525">
        <v>0.35</v>
      </c>
      <c r="N160">
        <f>O160/O158</f>
        <v>0.87198864722725211</v>
      </c>
      <c r="O160">
        <f>T174/J156</f>
        <v>16938.70741126002</v>
      </c>
    </row>
    <row r="161" spans="2:20" x14ac:dyDescent="0.3">
      <c r="B161" s="524" t="s">
        <v>956</v>
      </c>
      <c r="C161" s="525">
        <v>0.6</v>
      </c>
      <c r="D161" s="525">
        <v>0.6</v>
      </c>
      <c r="E161" s="525">
        <v>0.6</v>
      </c>
      <c r="F161" s="525">
        <v>0.6</v>
      </c>
      <c r="G161" s="525">
        <v>0.6</v>
      </c>
      <c r="H161" s="525">
        <v>0.6</v>
      </c>
      <c r="I161" s="525">
        <v>0.6</v>
      </c>
      <c r="J161" s="525">
        <v>0.6</v>
      </c>
      <c r="K161" s="525">
        <f>0.6*0.85</f>
        <v>0.51</v>
      </c>
    </row>
    <row r="162" spans="2:20" x14ac:dyDescent="0.3">
      <c r="B162" s="492" t="s">
        <v>957</v>
      </c>
      <c r="C162" s="526">
        <v>0.3</v>
      </c>
      <c r="D162" s="526">
        <v>0.3</v>
      </c>
      <c r="E162" s="526">
        <v>0.3</v>
      </c>
      <c r="F162" s="526">
        <v>0.3</v>
      </c>
      <c r="G162" s="526">
        <v>0.3</v>
      </c>
      <c r="H162" s="526">
        <v>0.3</v>
      </c>
      <c r="I162" s="526">
        <v>0.3</v>
      </c>
      <c r="J162" s="526">
        <v>0.3</v>
      </c>
      <c r="K162" s="526">
        <v>0.3</v>
      </c>
    </row>
    <row r="163" spans="2:20" x14ac:dyDescent="0.3">
      <c r="B163" s="492"/>
      <c r="C163" s="492"/>
      <c r="D163" s="492"/>
      <c r="E163" s="492"/>
      <c r="F163" s="492"/>
      <c r="G163" s="492"/>
      <c r="H163" s="492"/>
      <c r="I163" s="492"/>
      <c r="J163" s="492"/>
    </row>
    <row r="164" spans="2:20" x14ac:dyDescent="0.3">
      <c r="C164" s="527" t="s">
        <v>958</v>
      </c>
      <c r="D164" s="528"/>
      <c r="E164" s="528"/>
      <c r="F164" s="528"/>
    </row>
    <row r="168" spans="2:20" x14ac:dyDescent="0.3">
      <c r="B168" s="709" t="s">
        <v>907</v>
      </c>
      <c r="C168" s="709"/>
    </row>
    <row r="170" spans="2:20" ht="36" x14ac:dyDescent="0.3">
      <c r="B170" s="1"/>
      <c r="C170" s="716" t="s">
        <v>494</v>
      </c>
      <c r="D170" s="716"/>
      <c r="E170" s="716"/>
      <c r="F170" s="498" t="s">
        <v>438</v>
      </c>
      <c r="G170" s="498" t="s">
        <v>454</v>
      </c>
      <c r="H170" s="498" t="s">
        <v>440</v>
      </c>
      <c r="I170" s="498" t="s">
        <v>496</v>
      </c>
      <c r="J170" s="498" t="s">
        <v>450</v>
      </c>
      <c r="K170" s="498" t="s">
        <v>451</v>
      </c>
      <c r="L170" s="498" t="s">
        <v>452</v>
      </c>
      <c r="M170" s="498" t="s">
        <v>453</v>
      </c>
      <c r="N170" s="498" t="s">
        <v>443</v>
      </c>
      <c r="O170" s="498" t="s">
        <v>444</v>
      </c>
      <c r="P170" s="498" t="s">
        <v>495</v>
      </c>
      <c r="Q170" s="498" t="s">
        <v>455</v>
      </c>
      <c r="R170" s="498" t="s">
        <v>446</v>
      </c>
      <c r="S170" s="498" t="s">
        <v>447</v>
      </c>
      <c r="T170" s="498" t="s">
        <v>52</v>
      </c>
    </row>
    <row r="171" spans="2:20" x14ac:dyDescent="0.3">
      <c r="B171" s="170"/>
      <c r="C171" s="634" t="s">
        <v>24</v>
      </c>
      <c r="D171" s="634"/>
      <c r="E171" s="634"/>
      <c r="F171" s="171"/>
      <c r="G171" s="171"/>
      <c r="H171" s="171"/>
      <c r="I171" s="171"/>
      <c r="J171" s="171"/>
      <c r="K171" s="171"/>
      <c r="L171" s="171"/>
      <c r="M171" s="171"/>
      <c r="N171" s="171"/>
      <c r="O171" s="171"/>
      <c r="P171" s="192"/>
      <c r="Q171" s="192"/>
      <c r="R171" s="171"/>
      <c r="S171" s="171"/>
      <c r="T171" s="172"/>
    </row>
    <row r="172" spans="2:20" x14ac:dyDescent="0.3">
      <c r="B172" s="175">
        <v>2019</v>
      </c>
      <c r="C172" s="175" t="s">
        <v>12</v>
      </c>
      <c r="D172" s="175">
        <v>2019</v>
      </c>
      <c r="E172" s="176" t="s">
        <v>910</v>
      </c>
      <c r="F172" s="160">
        <v>0</v>
      </c>
      <c r="G172" s="160">
        <v>0</v>
      </c>
      <c r="H172" s="160">
        <v>1618.41363305613</v>
      </c>
      <c r="I172" s="160">
        <v>29131.4453950104</v>
      </c>
      <c r="J172" s="160">
        <v>588.63274428274406</v>
      </c>
      <c r="K172" s="160">
        <v>0</v>
      </c>
      <c r="L172" s="160">
        <v>0</v>
      </c>
      <c r="M172" s="160">
        <v>0</v>
      </c>
      <c r="N172" s="160"/>
      <c r="O172" s="160">
        <v>0</v>
      </c>
      <c r="P172" s="160">
        <v>7108.8951993951996</v>
      </c>
      <c r="Q172" s="160">
        <v>0</v>
      </c>
      <c r="R172" s="160">
        <v>5861.8958703458702</v>
      </c>
      <c r="S172" s="160">
        <v>0</v>
      </c>
      <c r="T172" s="160">
        <v>44309.282842090397</v>
      </c>
    </row>
    <row r="173" spans="2:20" x14ac:dyDescent="0.3">
      <c r="B173" s="175">
        <v>2030</v>
      </c>
      <c r="C173" s="175" t="s">
        <v>12</v>
      </c>
      <c r="D173" s="175">
        <v>2030</v>
      </c>
      <c r="E173" s="176" t="s">
        <v>910</v>
      </c>
      <c r="F173" s="515"/>
      <c r="G173" s="515"/>
      <c r="H173" s="160">
        <v>1618.41363305613</v>
      </c>
      <c r="I173" s="515">
        <f>I172/2</f>
        <v>14565.7226975052</v>
      </c>
      <c r="J173" s="160">
        <v>588.63274428274406</v>
      </c>
      <c r="K173" s="515"/>
      <c r="L173" s="515"/>
      <c r="M173" s="515"/>
      <c r="N173" s="515"/>
      <c r="O173" s="515"/>
      <c r="P173" s="515">
        <f>P172*2.7</f>
        <v>19194.017038367041</v>
      </c>
      <c r="Q173" s="515"/>
      <c r="R173" s="160">
        <v>5861.8958703458702</v>
      </c>
      <c r="S173" s="515"/>
      <c r="T173" s="502">
        <f>SUM(H173:R173)</f>
        <v>41828.681983556984</v>
      </c>
    </row>
    <row r="174" spans="2:20" x14ac:dyDescent="0.3">
      <c r="B174" s="175">
        <v>2050</v>
      </c>
      <c r="C174" s="175" t="s">
        <v>12</v>
      </c>
      <c r="D174" s="175">
        <v>2050</v>
      </c>
      <c r="E174" s="176" t="s">
        <v>910</v>
      </c>
      <c r="F174" s="515"/>
      <c r="G174" s="515"/>
      <c r="H174" s="160">
        <v>1618.41363305613</v>
      </c>
      <c r="I174" s="515">
        <v>0</v>
      </c>
      <c r="J174" s="160">
        <v>588.63274428274406</v>
      </c>
      <c r="K174" s="515"/>
      <c r="L174" s="515"/>
      <c r="M174" s="515"/>
      <c r="N174" s="515"/>
      <c r="O174" s="515"/>
      <c r="P174" s="515">
        <f>P172*4.3</f>
        <v>30568.249357399356</v>
      </c>
      <c r="Q174" s="515"/>
      <c r="R174" s="160">
        <v>5861.8958703458702</v>
      </c>
      <c r="S174" s="515"/>
      <c r="T174" s="502">
        <f>SUM(H174:R174)</f>
        <v>38637.191605084103</v>
      </c>
    </row>
    <row r="175" spans="2:20" x14ac:dyDescent="0.3">
      <c r="C175" s="529" t="s">
        <v>959</v>
      </c>
      <c r="D175" s="530"/>
      <c r="E175" s="530"/>
      <c r="F175" s="530"/>
      <c r="G175" s="530"/>
      <c r="H175" s="530"/>
      <c r="I175" s="530"/>
      <c r="S175" t="s">
        <v>960</v>
      </c>
    </row>
    <row r="176" spans="2:20" x14ac:dyDescent="0.3">
      <c r="C176" s="531" t="s">
        <v>961</v>
      </c>
      <c r="H176" s="532">
        <f>H172/$T172</f>
        <v>3.6525385410182312E-2</v>
      </c>
      <c r="I176" s="532">
        <f t="shared" ref="I176:R176" si="3">I172/$T172</f>
        <v>0.65745693738328292</v>
      </c>
      <c r="J176" s="532">
        <f t="shared" si="3"/>
        <v>1.3284637135304488E-2</v>
      </c>
      <c r="K176" s="532">
        <f t="shared" si="3"/>
        <v>0</v>
      </c>
      <c r="L176" s="532">
        <f t="shared" si="3"/>
        <v>0</v>
      </c>
      <c r="M176" s="532">
        <f t="shared" si="3"/>
        <v>0</v>
      </c>
      <c r="N176" s="532">
        <f t="shared" si="3"/>
        <v>0</v>
      </c>
      <c r="O176" s="532">
        <f t="shared" si="3"/>
        <v>0</v>
      </c>
      <c r="P176" s="532">
        <f t="shared" si="3"/>
        <v>0.16043805594258678</v>
      </c>
      <c r="Q176" s="532">
        <f t="shared" si="3"/>
        <v>0</v>
      </c>
      <c r="R176" s="532">
        <f t="shared" si="3"/>
        <v>0.13229498412864227</v>
      </c>
    </row>
    <row r="177" spans="1:18" x14ac:dyDescent="0.3">
      <c r="B177" s="709" t="s">
        <v>911</v>
      </c>
      <c r="C177" s="709"/>
      <c r="H177" s="532">
        <f t="shared" ref="H177:R178" si="4">H173/$T173</f>
        <v>3.8691480493990578E-2</v>
      </c>
      <c r="I177" s="532">
        <f t="shared" si="4"/>
        <v>0.34822332444591586</v>
      </c>
      <c r="J177" s="532">
        <f t="shared" si="4"/>
        <v>1.4072466938215693E-2</v>
      </c>
      <c r="K177" s="532">
        <f t="shared" si="4"/>
        <v>0</v>
      </c>
      <c r="L177" s="532">
        <f t="shared" si="4"/>
        <v>0</v>
      </c>
      <c r="M177" s="532">
        <f t="shared" si="4"/>
        <v>0</v>
      </c>
      <c r="N177" s="532">
        <f t="shared" si="4"/>
        <v>0</v>
      </c>
      <c r="O177" s="532">
        <f t="shared" si="4"/>
        <v>0</v>
      </c>
      <c r="P177" s="532">
        <f t="shared" si="4"/>
        <v>0.45887214533587939</v>
      </c>
      <c r="Q177" s="532">
        <f t="shared" si="4"/>
        <v>0</v>
      </c>
      <c r="R177" s="532">
        <f t="shared" si="4"/>
        <v>0.14014058278599847</v>
      </c>
    </row>
    <row r="178" spans="1:18" x14ac:dyDescent="0.3">
      <c r="H178" s="532">
        <f t="shared" si="4"/>
        <v>4.1887455216677028E-2</v>
      </c>
      <c r="I178" s="532">
        <f t="shared" si="4"/>
        <v>0</v>
      </c>
      <c r="J178" s="532">
        <f t="shared" si="4"/>
        <v>1.5234873960282568E-2</v>
      </c>
      <c r="K178" s="532">
        <f t="shared" si="4"/>
        <v>0</v>
      </c>
      <c r="L178" s="532">
        <f t="shared" si="4"/>
        <v>0</v>
      </c>
      <c r="M178" s="532">
        <f t="shared" si="4"/>
        <v>0</v>
      </c>
      <c r="N178" s="532">
        <f t="shared" si="4"/>
        <v>0</v>
      </c>
      <c r="O178" s="532">
        <f t="shared" si="4"/>
        <v>0</v>
      </c>
      <c r="P178" s="532">
        <f t="shared" si="4"/>
        <v>0.79116126425133371</v>
      </c>
      <c r="Q178" s="532">
        <f t="shared" si="4"/>
        <v>0</v>
      </c>
      <c r="R178" s="532">
        <f t="shared" si="4"/>
        <v>0.15171640657170662</v>
      </c>
    </row>
    <row r="179" spans="1:18" x14ac:dyDescent="0.3">
      <c r="C179" s="504" t="s">
        <v>912</v>
      </c>
      <c r="D179" s="504">
        <v>2019</v>
      </c>
      <c r="E179" s="504">
        <v>2020</v>
      </c>
      <c r="F179" s="504">
        <v>2025</v>
      </c>
      <c r="G179" s="504">
        <v>2030</v>
      </c>
      <c r="H179" s="504">
        <v>2035</v>
      </c>
      <c r="I179" s="504">
        <v>2040</v>
      </c>
      <c r="J179" s="504">
        <v>2045</v>
      </c>
      <c r="K179" s="504">
        <v>2050</v>
      </c>
    </row>
    <row r="180" spans="1:18" x14ac:dyDescent="0.3">
      <c r="C180" s="504" t="s">
        <v>12</v>
      </c>
      <c r="D180" s="504"/>
      <c r="E180" s="504"/>
      <c r="F180" s="504"/>
      <c r="G180" s="504"/>
      <c r="H180" s="504"/>
      <c r="I180" s="504"/>
      <c r="J180" s="504"/>
      <c r="K180" s="504"/>
    </row>
    <row r="181" spans="1:18" x14ac:dyDescent="0.3">
      <c r="D181" s="527" t="s">
        <v>962</v>
      </c>
      <c r="E181" s="528"/>
      <c r="F181" s="528"/>
      <c r="G181" s="528"/>
    </row>
    <row r="182" spans="1:18" x14ac:dyDescent="0.3">
      <c r="D182" t="s">
        <v>963</v>
      </c>
    </row>
    <row r="183" spans="1:18" x14ac:dyDescent="0.3">
      <c r="B183" s="709" t="s">
        <v>916</v>
      </c>
      <c r="C183" s="709"/>
    </row>
    <row r="184" spans="1:18" x14ac:dyDescent="0.3">
      <c r="B184" s="504">
        <v>2019</v>
      </c>
      <c r="C184" s="504">
        <v>2020</v>
      </c>
      <c r="D184" s="504">
        <v>2025</v>
      </c>
      <c r="E184" s="504">
        <v>2030</v>
      </c>
      <c r="F184" s="504">
        <v>2035</v>
      </c>
      <c r="G184" s="504">
        <v>2040</v>
      </c>
      <c r="H184" s="504">
        <v>2045</v>
      </c>
      <c r="I184" s="504">
        <v>2050</v>
      </c>
    </row>
    <row r="185" spans="1:18" x14ac:dyDescent="0.3">
      <c r="A185" s="504" t="s">
        <v>964</v>
      </c>
      <c r="B185">
        <v>530</v>
      </c>
      <c r="C185">
        <v>540</v>
      </c>
      <c r="D185">
        <v>620</v>
      </c>
      <c r="E185">
        <v>700</v>
      </c>
      <c r="F185">
        <v>610</v>
      </c>
      <c r="G185">
        <v>520</v>
      </c>
      <c r="H185">
        <v>520</v>
      </c>
      <c r="I185">
        <v>520</v>
      </c>
      <c r="J185" s="504"/>
      <c r="K185" s="504"/>
    </row>
    <row r="186" spans="1:18" x14ac:dyDescent="0.3">
      <c r="A186" s="504" t="s">
        <v>965</v>
      </c>
      <c r="B186" s="504">
        <v>2270</v>
      </c>
      <c r="C186" s="504">
        <v>2260</v>
      </c>
      <c r="D186" s="504">
        <v>2030</v>
      </c>
      <c r="E186" s="504">
        <v>1800</v>
      </c>
      <c r="F186" s="504">
        <v>1650</v>
      </c>
      <c r="G186" s="504">
        <v>1500</v>
      </c>
      <c r="H186" s="504">
        <v>1500</v>
      </c>
      <c r="I186" s="504">
        <v>1500</v>
      </c>
      <c r="J186" s="504"/>
      <c r="K186" s="504"/>
    </row>
    <row r="187" spans="1:18" x14ac:dyDescent="0.3">
      <c r="A187" t="s">
        <v>966</v>
      </c>
      <c r="B187" s="524">
        <v>1560</v>
      </c>
      <c r="C187" s="524">
        <v>1555</v>
      </c>
      <c r="D187" s="524">
        <v>1448</v>
      </c>
      <c r="E187" s="524">
        <v>1341</v>
      </c>
      <c r="F187" s="524">
        <v>1157</v>
      </c>
      <c r="G187" s="524">
        <v>974</v>
      </c>
      <c r="H187" s="524">
        <v>974</v>
      </c>
      <c r="I187" s="524">
        <v>974</v>
      </c>
    </row>
    <row r="188" spans="1:18" x14ac:dyDescent="0.3">
      <c r="C188" s="514">
        <f>C185/C186</f>
        <v>0.23893805309734514</v>
      </c>
      <c r="D188" s="514">
        <f>D185/D186</f>
        <v>0.30541871921182268</v>
      </c>
      <c r="E188" s="514">
        <f t="shared" ref="E188:I188" si="5">E185/E186</f>
        <v>0.3888888888888889</v>
      </c>
      <c r="F188" s="514">
        <f t="shared" si="5"/>
        <v>0.36969696969696969</v>
      </c>
      <c r="G188" s="514">
        <f t="shared" si="5"/>
        <v>0.34666666666666668</v>
      </c>
      <c r="H188" s="514">
        <f t="shared" si="5"/>
        <v>0.34666666666666668</v>
      </c>
      <c r="I188" s="514">
        <f t="shared" si="5"/>
        <v>0.34666666666666668</v>
      </c>
    </row>
    <row r="189" spans="1:18" x14ac:dyDescent="0.3">
      <c r="C189" s="504" t="s">
        <v>944</v>
      </c>
      <c r="D189" s="504">
        <v>2019</v>
      </c>
      <c r="E189" s="504">
        <v>2020</v>
      </c>
      <c r="F189" s="504">
        <v>2025</v>
      </c>
      <c r="G189" s="504">
        <v>2030</v>
      </c>
      <c r="H189" s="504">
        <v>2035</v>
      </c>
      <c r="I189" s="504">
        <v>2040</v>
      </c>
    </row>
    <row r="190" spans="1:18" x14ac:dyDescent="0.3">
      <c r="C190" s="504" t="s">
        <v>967</v>
      </c>
      <c r="D190" s="517">
        <v>0.15</v>
      </c>
      <c r="E190" s="504"/>
      <c r="F190" s="504"/>
      <c r="G190" s="504"/>
      <c r="H190" s="504"/>
      <c r="I190" s="504"/>
      <c r="J190" s="533"/>
      <c r="K190" s="534"/>
    </row>
    <row r="192" spans="1:18" x14ac:dyDescent="0.3">
      <c r="B192" s="720" t="s">
        <v>922</v>
      </c>
      <c r="C192" s="720"/>
    </row>
    <row r="194" spans="2:20" x14ac:dyDescent="0.3">
      <c r="B194" s="535" t="s">
        <v>968</v>
      </c>
      <c r="C194" s="533"/>
      <c r="D194" s="533"/>
      <c r="E194" s="533"/>
      <c r="F194" s="533"/>
      <c r="G194" s="533"/>
      <c r="H194" s="533"/>
      <c r="I194" s="533"/>
      <c r="J194" s="504">
        <v>2045</v>
      </c>
      <c r="K194" s="504">
        <v>2050</v>
      </c>
    </row>
    <row r="195" spans="2:20" x14ac:dyDescent="0.3">
      <c r="B195" t="s">
        <v>969</v>
      </c>
      <c r="J195" s="504"/>
      <c r="K195" s="504"/>
    </row>
    <row r="196" spans="2:20" x14ac:dyDescent="0.3">
      <c r="B196" s="720" t="s">
        <v>924</v>
      </c>
      <c r="C196" s="720"/>
      <c r="J196" s="504"/>
      <c r="K196" s="504"/>
    </row>
    <row r="197" spans="2:20" x14ac:dyDescent="0.3">
      <c r="J197" s="504"/>
      <c r="K197" s="504"/>
    </row>
    <row r="198" spans="2:20" x14ac:dyDescent="0.3">
      <c r="C198" s="504"/>
      <c r="D198" s="504">
        <v>2019</v>
      </c>
      <c r="E198" s="504">
        <v>2020</v>
      </c>
      <c r="F198" s="504">
        <v>2025</v>
      </c>
      <c r="G198" s="504">
        <v>2030</v>
      </c>
      <c r="H198" s="504">
        <v>2035</v>
      </c>
      <c r="I198" s="504">
        <v>2040</v>
      </c>
    </row>
    <row r="199" spans="2:20" x14ac:dyDescent="0.3">
      <c r="C199" s="504" t="s">
        <v>925</v>
      </c>
      <c r="D199" s="504"/>
      <c r="E199" s="504"/>
      <c r="F199" s="504"/>
      <c r="G199" s="504">
        <v>1.2</v>
      </c>
      <c r="H199" s="504">
        <v>2.2999999999999998</v>
      </c>
      <c r="I199" s="504">
        <v>4</v>
      </c>
    </row>
    <row r="200" spans="2:20" x14ac:dyDescent="0.3">
      <c r="C200" s="504" t="s">
        <v>926</v>
      </c>
      <c r="D200" s="504"/>
      <c r="E200" s="504"/>
      <c r="F200" s="504"/>
      <c r="G200" s="504"/>
      <c r="H200" s="504"/>
      <c r="I200" s="504"/>
    </row>
    <row r="201" spans="2:20" x14ac:dyDescent="0.3">
      <c r="C201" s="504" t="s">
        <v>927</v>
      </c>
      <c r="D201" s="504"/>
      <c r="E201" s="504"/>
      <c r="F201" s="504"/>
      <c r="G201" s="504"/>
      <c r="H201" s="504"/>
      <c r="I201" s="504"/>
    </row>
    <row r="203" spans="2:20" x14ac:dyDescent="0.3">
      <c r="D203">
        <f>D199+[4]Ammoniac!D189</f>
        <v>0</v>
      </c>
      <c r="E203">
        <f>E199+[4]Ammoniac!E189</f>
        <v>0</v>
      </c>
      <c r="F203">
        <f>F199+[4]Ammoniac!F189</f>
        <v>0</v>
      </c>
      <c r="G203">
        <f>G199+[4]Ammoniac!G189</f>
        <v>1.2</v>
      </c>
      <c r="H203">
        <f>H199+[4]Ammoniac!H189</f>
        <v>2.2999999999999998</v>
      </c>
      <c r="I203">
        <f>I199+[4]Ammoniac!I189</f>
        <v>4</v>
      </c>
      <c r="J203">
        <f>J199+[4]Ammoniac!J189</f>
        <v>0</v>
      </c>
      <c r="K203">
        <f>K199+[4]Ammoniac!K189</f>
        <v>0</v>
      </c>
    </row>
    <row r="207" spans="2:20" ht="23.4" x14ac:dyDescent="0.3">
      <c r="B207" s="706" t="s">
        <v>14</v>
      </c>
      <c r="C207" s="707"/>
      <c r="D207" s="707"/>
      <c r="E207" s="707"/>
      <c r="F207" s="707"/>
      <c r="G207" s="707"/>
      <c r="H207" s="707"/>
      <c r="I207" s="707"/>
      <c r="J207" s="707"/>
      <c r="K207" s="707"/>
      <c r="L207" s="707"/>
      <c r="M207" s="707"/>
      <c r="N207" s="707"/>
      <c r="O207" s="707"/>
      <c r="P207" s="707"/>
      <c r="Q207" s="707"/>
      <c r="R207" s="707"/>
      <c r="S207" s="707"/>
      <c r="T207" s="707"/>
    </row>
    <row r="209" spans="1:20" x14ac:dyDescent="0.3">
      <c r="H209" t="s">
        <v>970</v>
      </c>
    </row>
    <row r="210" spans="1:20" x14ac:dyDescent="0.3">
      <c r="H210" t="s">
        <v>971</v>
      </c>
    </row>
    <row r="211" spans="1:20" x14ac:dyDescent="0.3">
      <c r="B211" s="709" t="s">
        <v>900</v>
      </c>
      <c r="C211" s="709"/>
    </row>
    <row r="213" spans="1:20" x14ac:dyDescent="0.3">
      <c r="A213" t="s">
        <v>797</v>
      </c>
      <c r="B213">
        <v>2019</v>
      </c>
      <c r="C213" s="492">
        <v>2020</v>
      </c>
      <c r="D213" s="492">
        <v>2025</v>
      </c>
      <c r="E213" s="492">
        <v>2030</v>
      </c>
      <c r="F213" s="492">
        <v>2035</v>
      </c>
      <c r="G213" s="492">
        <v>2040</v>
      </c>
      <c r="H213" s="492">
        <v>2045</v>
      </c>
      <c r="I213" s="492">
        <v>2050</v>
      </c>
      <c r="J213" s="492"/>
      <c r="K213" s="492"/>
    </row>
    <row r="214" spans="1:20" x14ac:dyDescent="0.3">
      <c r="A214" t="s">
        <v>14</v>
      </c>
      <c r="B214">
        <v>1.1850000000000001</v>
      </c>
      <c r="C214" s="492">
        <v>1.1299999999999999</v>
      </c>
      <c r="D214" s="408">
        <v>1.2549999999999999</v>
      </c>
      <c r="E214" s="492">
        <v>1.325</v>
      </c>
      <c r="F214" s="492">
        <v>1.325</v>
      </c>
      <c r="G214" s="492">
        <v>1.325</v>
      </c>
      <c r="H214" s="492">
        <v>1.325</v>
      </c>
      <c r="I214" s="492">
        <v>1.325</v>
      </c>
      <c r="J214" s="492"/>
      <c r="K214" s="492"/>
    </row>
    <row r="215" spans="1:20" x14ac:dyDescent="0.3">
      <c r="C215" s="492"/>
      <c r="D215" s="408"/>
      <c r="E215" s="492"/>
      <c r="F215" s="492"/>
      <c r="G215" s="492"/>
      <c r="H215" s="492"/>
      <c r="I215" s="492"/>
      <c r="J215" s="492"/>
      <c r="K215" s="492"/>
      <c r="L215">
        <f>T225/B214</f>
        <v>4536.6231788056111</v>
      </c>
    </row>
    <row r="216" spans="1:20" x14ac:dyDescent="0.3">
      <c r="A216" t="s">
        <v>972</v>
      </c>
      <c r="B216">
        <v>0.3</v>
      </c>
      <c r="C216" s="492">
        <v>0.255</v>
      </c>
      <c r="D216" s="408">
        <v>0.28000000000000003</v>
      </c>
      <c r="E216" s="492">
        <v>0.35</v>
      </c>
      <c r="F216" s="492">
        <v>0.35</v>
      </c>
      <c r="G216" s="492">
        <v>0.35</v>
      </c>
      <c r="H216" s="492">
        <v>0.35</v>
      </c>
      <c r="I216" s="492">
        <v>0.35</v>
      </c>
      <c r="J216" s="492"/>
      <c r="K216" s="536">
        <f>L216/L215</f>
        <v>0.91614979937314944</v>
      </c>
      <c r="L216" s="537">
        <f>T226/E214</f>
        <v>4156.2264150943402</v>
      </c>
    </row>
    <row r="217" spans="1:20" x14ac:dyDescent="0.3">
      <c r="A217" t="s">
        <v>973</v>
      </c>
      <c r="B217">
        <v>0.29499999999999998</v>
      </c>
      <c r="C217" s="492">
        <v>0.26</v>
      </c>
      <c r="D217" s="408">
        <v>0.36</v>
      </c>
      <c r="E217" s="492">
        <v>0.36</v>
      </c>
      <c r="F217" s="492">
        <v>0.36</v>
      </c>
      <c r="G217" s="492">
        <v>0.36</v>
      </c>
      <c r="H217" s="492">
        <v>0.36</v>
      </c>
      <c r="I217" s="492">
        <v>0.36</v>
      </c>
      <c r="J217" s="492"/>
      <c r="K217" s="536">
        <f>L217/L215</f>
        <v>1.0305286526901161</v>
      </c>
      <c r="L217" s="537">
        <f>T227/I214</f>
        <v>4675.1201722172982</v>
      </c>
    </row>
    <row r="218" spans="1:20" x14ac:dyDescent="0.3">
      <c r="A218" t="s">
        <v>974</v>
      </c>
      <c r="B218">
        <v>0.22</v>
      </c>
      <c r="C218">
        <v>0.245</v>
      </c>
      <c r="D218">
        <v>0.245</v>
      </c>
      <c r="E218">
        <v>0.245</v>
      </c>
      <c r="F218">
        <v>0.245</v>
      </c>
      <c r="G218">
        <v>0.245</v>
      </c>
      <c r="H218">
        <v>0.245</v>
      </c>
      <c r="I218">
        <v>0.245</v>
      </c>
    </row>
    <row r="219" spans="1:20" x14ac:dyDescent="0.3">
      <c r="A219" t="s">
        <v>975</v>
      </c>
      <c r="B219">
        <v>0.37</v>
      </c>
      <c r="C219">
        <v>0.37</v>
      </c>
      <c r="D219">
        <v>0.37</v>
      </c>
      <c r="E219">
        <v>0.37</v>
      </c>
      <c r="F219">
        <v>0.37</v>
      </c>
      <c r="G219">
        <v>0.37</v>
      </c>
      <c r="H219">
        <v>0.37</v>
      </c>
      <c r="I219">
        <v>0.37</v>
      </c>
    </row>
    <row r="221" spans="1:20" x14ac:dyDescent="0.3">
      <c r="B221" s="709" t="s">
        <v>907</v>
      </c>
      <c r="C221" s="709"/>
      <c r="D221">
        <f>D219/D214</f>
        <v>0.29482071713147412</v>
      </c>
      <c r="E221">
        <f t="shared" ref="E221:I221" si="6">E219/E214</f>
        <v>0.27924528301886792</v>
      </c>
      <c r="F221">
        <f t="shared" si="6"/>
        <v>0.27924528301886792</v>
      </c>
      <c r="G221">
        <f t="shared" si="6"/>
        <v>0.27924528301886792</v>
      </c>
      <c r="H221">
        <f t="shared" si="6"/>
        <v>0.27924528301886792</v>
      </c>
      <c r="I221">
        <f t="shared" si="6"/>
        <v>0.27924528301886792</v>
      </c>
    </row>
    <row r="223" spans="1:20" ht="36" x14ac:dyDescent="0.3">
      <c r="B223" s="1"/>
      <c r="C223" s="716" t="s">
        <v>494</v>
      </c>
      <c r="D223" s="716"/>
      <c r="E223" s="716"/>
      <c r="F223" s="498" t="s">
        <v>438</v>
      </c>
      <c r="G223" s="498" t="s">
        <v>454</v>
      </c>
      <c r="H223" s="498" t="s">
        <v>440</v>
      </c>
      <c r="I223" s="498" t="s">
        <v>496</v>
      </c>
      <c r="J223" s="498" t="s">
        <v>450</v>
      </c>
      <c r="K223" s="498" t="s">
        <v>451</v>
      </c>
      <c r="L223" s="498" t="s">
        <v>452</v>
      </c>
      <c r="M223" s="498" t="s">
        <v>453</v>
      </c>
      <c r="N223" s="498" t="s">
        <v>443</v>
      </c>
      <c r="O223" s="498" t="s">
        <v>444</v>
      </c>
      <c r="P223" s="498" t="s">
        <v>495</v>
      </c>
      <c r="Q223" s="498" t="s">
        <v>455</v>
      </c>
      <c r="R223" s="498" t="s">
        <v>446</v>
      </c>
      <c r="S223" s="498" t="s">
        <v>447</v>
      </c>
      <c r="T223" s="498" t="s">
        <v>52</v>
      </c>
    </row>
    <row r="224" spans="1:20" x14ac:dyDescent="0.3">
      <c r="B224" s="170"/>
      <c r="C224" s="634" t="s">
        <v>24</v>
      </c>
      <c r="D224" s="634"/>
      <c r="E224" s="634"/>
      <c r="F224" s="171"/>
      <c r="G224" s="171"/>
      <c r="H224" s="171"/>
      <c r="I224" s="171"/>
      <c r="J224" s="171"/>
      <c r="K224" s="171"/>
      <c r="L224" s="171"/>
      <c r="M224" s="171"/>
      <c r="N224" s="171"/>
      <c r="O224" s="171"/>
      <c r="P224" s="192"/>
      <c r="Q224" s="192"/>
      <c r="R224" s="171"/>
      <c r="S224" s="171"/>
      <c r="T224" s="172"/>
    </row>
    <row r="225" spans="2:20" x14ac:dyDescent="0.3">
      <c r="B225" s="175">
        <v>2019</v>
      </c>
      <c r="C225" s="175" t="s">
        <v>14</v>
      </c>
      <c r="D225" s="175">
        <v>2019</v>
      </c>
      <c r="E225" s="176" t="s">
        <v>976</v>
      </c>
      <c r="F225" s="159">
        <v>0</v>
      </c>
      <c r="G225" s="159">
        <v>0</v>
      </c>
      <c r="H225" s="159">
        <v>26.879492334423301</v>
      </c>
      <c r="I225" s="159">
        <v>4999.5855742027297</v>
      </c>
      <c r="J225" s="159">
        <v>26.879492334423301</v>
      </c>
      <c r="K225" s="159">
        <v>0</v>
      </c>
      <c r="L225" s="159">
        <v>0</v>
      </c>
      <c r="M225" s="159">
        <v>0</v>
      </c>
      <c r="N225" s="159"/>
      <c r="O225" s="159">
        <v>0</v>
      </c>
      <c r="P225" s="159">
        <v>380</v>
      </c>
      <c r="Q225" s="159">
        <v>0</v>
      </c>
      <c r="R225" s="159">
        <v>0</v>
      </c>
      <c r="S225" s="159">
        <v>0</v>
      </c>
      <c r="T225" s="159">
        <v>5375.8984668846497</v>
      </c>
    </row>
    <row r="226" spans="2:20" x14ac:dyDescent="0.3">
      <c r="B226" s="175">
        <v>2025</v>
      </c>
      <c r="C226" s="175" t="s">
        <v>14</v>
      </c>
      <c r="D226" s="175">
        <v>2025</v>
      </c>
      <c r="E226" s="176" t="s">
        <v>976</v>
      </c>
      <c r="F226" s="538"/>
      <c r="G226" s="538"/>
      <c r="H226" s="539">
        <v>27</v>
      </c>
      <c r="I226" s="540">
        <f>5000</f>
        <v>5000</v>
      </c>
      <c r="J226" s="538"/>
      <c r="K226" s="538"/>
      <c r="L226" s="538"/>
      <c r="M226" s="538">
        <v>0</v>
      </c>
      <c r="N226" s="538"/>
      <c r="O226" s="538"/>
      <c r="P226" s="538">
        <v>480</v>
      </c>
      <c r="Q226" s="538"/>
      <c r="R226" s="538"/>
      <c r="S226" s="538"/>
      <c r="T226" s="541">
        <f>SUM(F226:S226)</f>
        <v>5507</v>
      </c>
    </row>
    <row r="227" spans="2:20" x14ac:dyDescent="0.3">
      <c r="B227" s="175">
        <v>2050</v>
      </c>
      <c r="C227" s="175" t="s">
        <v>14</v>
      </c>
      <c r="D227" s="175">
        <v>2050</v>
      </c>
      <c r="E227" s="176" t="s">
        <v>976</v>
      </c>
      <c r="F227" s="538"/>
      <c r="G227" s="538"/>
      <c r="H227" s="539">
        <v>27</v>
      </c>
      <c r="I227" s="540">
        <f>5000-(14900-9000)*5/14.9</f>
        <v>3020.1342281879197</v>
      </c>
      <c r="J227" s="538"/>
      <c r="K227" s="538"/>
      <c r="L227" s="538"/>
      <c r="M227" s="540">
        <v>1.4</v>
      </c>
      <c r="N227" s="538"/>
      <c r="O227" s="538"/>
      <c r="P227" s="540">
        <v>3146</v>
      </c>
      <c r="Q227" s="538"/>
      <c r="R227" s="538"/>
      <c r="S227" s="538"/>
      <c r="T227" s="541">
        <f>SUM(F227:S227)</f>
        <v>6194.5342281879202</v>
      </c>
    </row>
    <row r="228" spans="2:20" x14ac:dyDescent="0.3">
      <c r="H228" s="532">
        <f>H225/$T225</f>
        <v>5.0000000000000096E-3</v>
      </c>
      <c r="I228" s="532">
        <f t="shared" ref="I228:P228" si="7">I225/$T225</f>
        <v>0.93000000000000105</v>
      </c>
      <c r="J228" s="532">
        <f t="shared" si="7"/>
        <v>5.0000000000000096E-3</v>
      </c>
      <c r="K228" s="532">
        <f t="shared" si="7"/>
        <v>0</v>
      </c>
      <c r="L228" s="532">
        <f t="shared" si="7"/>
        <v>0</v>
      </c>
      <c r="M228" s="532">
        <f t="shared" si="7"/>
        <v>0</v>
      </c>
      <c r="N228" s="532">
        <f t="shared" si="7"/>
        <v>0</v>
      </c>
      <c r="O228" s="532">
        <f t="shared" si="7"/>
        <v>0</v>
      </c>
      <c r="P228" s="532">
        <f t="shared" si="7"/>
        <v>7.0685858808678587E-2</v>
      </c>
    </row>
    <row r="229" spans="2:20" x14ac:dyDescent="0.3">
      <c r="H229" s="532">
        <f t="shared" ref="H229:P230" si="8">H226/$T226</f>
        <v>4.9028509170147084E-3</v>
      </c>
      <c r="I229" s="532">
        <f t="shared" si="8"/>
        <v>0.90793535500272382</v>
      </c>
      <c r="J229" s="532">
        <f t="shared" si="8"/>
        <v>0</v>
      </c>
      <c r="K229" s="532">
        <f t="shared" si="8"/>
        <v>0</v>
      </c>
      <c r="L229" s="532">
        <f t="shared" si="8"/>
        <v>0</v>
      </c>
      <c r="M229" s="532">
        <f t="shared" si="8"/>
        <v>0</v>
      </c>
      <c r="N229" s="532">
        <f t="shared" si="8"/>
        <v>0</v>
      </c>
      <c r="O229" s="532">
        <f t="shared" si="8"/>
        <v>0</v>
      </c>
      <c r="P229" s="532">
        <f t="shared" si="8"/>
        <v>8.7161794080261479E-2</v>
      </c>
    </row>
    <row r="230" spans="2:20" x14ac:dyDescent="0.3">
      <c r="B230" s="709" t="s">
        <v>911</v>
      </c>
      <c r="C230" s="709"/>
      <c r="H230" s="532">
        <f t="shared" si="8"/>
        <v>4.3586812188619187E-3</v>
      </c>
      <c r="I230" s="532">
        <f t="shared" si="8"/>
        <v>0.48754823477202675</v>
      </c>
      <c r="J230" s="532">
        <f t="shared" si="8"/>
        <v>0</v>
      </c>
      <c r="K230" s="532">
        <f t="shared" si="8"/>
        <v>0</v>
      </c>
      <c r="L230" s="532">
        <f t="shared" si="8"/>
        <v>0</v>
      </c>
      <c r="M230" s="532">
        <f t="shared" si="8"/>
        <v>2.2600569282987725E-4</v>
      </c>
      <c r="N230" s="532">
        <f t="shared" si="8"/>
        <v>0</v>
      </c>
      <c r="O230" s="532">
        <f t="shared" si="8"/>
        <v>0</v>
      </c>
      <c r="P230" s="532">
        <f t="shared" si="8"/>
        <v>0.50786707831628131</v>
      </c>
    </row>
    <row r="232" spans="2:20" x14ac:dyDescent="0.3">
      <c r="C232" s="504" t="s">
        <v>912</v>
      </c>
      <c r="D232" s="504">
        <v>2019</v>
      </c>
      <c r="E232" s="504">
        <v>2020</v>
      </c>
      <c r="F232" s="504">
        <v>2025</v>
      </c>
      <c r="G232" s="504">
        <v>2030</v>
      </c>
      <c r="H232" s="504">
        <v>2035</v>
      </c>
      <c r="I232" s="504">
        <v>2040</v>
      </c>
      <c r="J232" s="504">
        <v>2045</v>
      </c>
      <c r="K232" s="504">
        <v>2050</v>
      </c>
    </row>
    <row r="233" spans="2:20" x14ac:dyDescent="0.3">
      <c r="C233" s="504" t="s">
        <v>14</v>
      </c>
      <c r="D233" s="504"/>
      <c r="E233" s="504"/>
      <c r="F233" s="504"/>
      <c r="G233" s="504"/>
      <c r="H233" s="504"/>
      <c r="I233" s="504"/>
      <c r="J233" s="504"/>
      <c r="K233" s="504"/>
    </row>
    <row r="236" spans="2:20" x14ac:dyDescent="0.3">
      <c r="B236" s="709" t="s">
        <v>916</v>
      </c>
      <c r="C236" s="709"/>
      <c r="N236" t="s">
        <v>977</v>
      </c>
      <c r="P236" s="542">
        <f>P227+F246</f>
        <v>9546</v>
      </c>
    </row>
    <row r="238" spans="2:20" x14ac:dyDescent="0.3">
      <c r="C238" t="s">
        <v>978</v>
      </c>
    </row>
    <row r="241" spans="1:11" x14ac:dyDescent="0.3">
      <c r="B241" s="720" t="s">
        <v>922</v>
      </c>
      <c r="C241" s="720"/>
    </row>
    <row r="242" spans="1:11" x14ac:dyDescent="0.3">
      <c r="B242" s="543"/>
      <c r="C242" s="544" t="s">
        <v>979</v>
      </c>
      <c r="D242" s="543"/>
      <c r="E242" s="543"/>
      <c r="F242" s="543"/>
      <c r="G242" s="543"/>
      <c r="H242" s="543"/>
      <c r="I242" s="543"/>
      <c r="J242" s="543"/>
      <c r="K242" s="543"/>
    </row>
    <row r="243" spans="1:11" x14ac:dyDescent="0.3">
      <c r="B243" s="724" t="s">
        <v>980</v>
      </c>
      <c r="C243" s="725"/>
      <c r="D243" s="725"/>
      <c r="E243" s="725"/>
      <c r="F243" s="725"/>
      <c r="G243" s="725"/>
      <c r="H243" s="725"/>
      <c r="I243" s="725"/>
      <c r="J243" s="725"/>
      <c r="K243" s="726"/>
    </row>
    <row r="244" spans="1:11" x14ac:dyDescent="0.3">
      <c r="B244" s="543"/>
      <c r="C244" s="543"/>
      <c r="D244" s="543">
        <v>2015</v>
      </c>
      <c r="E244" s="543">
        <v>2025</v>
      </c>
      <c r="F244" s="543">
        <v>2050</v>
      </c>
      <c r="G244" s="543"/>
      <c r="H244" s="543"/>
      <c r="I244" s="543"/>
      <c r="J244" s="543"/>
      <c r="K244" s="543"/>
    </row>
    <row r="245" spans="1:11" x14ac:dyDescent="0.3">
      <c r="B245" s="543"/>
      <c r="C245" s="543" t="s">
        <v>981</v>
      </c>
      <c r="D245" s="543">
        <v>9900</v>
      </c>
      <c r="E245" s="543">
        <v>9900</v>
      </c>
      <c r="F245" s="543">
        <v>6.1</v>
      </c>
      <c r="G245" s="543"/>
      <c r="H245" s="543"/>
      <c r="I245" s="543"/>
      <c r="J245" s="543"/>
      <c r="K245" s="543"/>
    </row>
    <row r="246" spans="1:11" x14ac:dyDescent="0.3">
      <c r="C246" s="545" t="s">
        <v>982</v>
      </c>
      <c r="D246">
        <v>0</v>
      </c>
      <c r="E246">
        <v>0</v>
      </c>
      <c r="F246">
        <f>0.8/0.6*4800</f>
        <v>6400.0000000000009</v>
      </c>
    </row>
    <row r="247" spans="1:11" x14ac:dyDescent="0.3">
      <c r="B247" s="720" t="s">
        <v>924</v>
      </c>
      <c r="C247" s="720"/>
    </row>
    <row r="249" spans="1:11" x14ac:dyDescent="0.3">
      <c r="C249" s="504"/>
      <c r="D249" s="504">
        <v>2019</v>
      </c>
      <c r="E249" s="504">
        <v>2020</v>
      </c>
      <c r="F249" s="504">
        <v>2025</v>
      </c>
      <c r="G249" s="504">
        <v>2030</v>
      </c>
      <c r="H249" s="504">
        <v>2035</v>
      </c>
      <c r="I249" s="504">
        <v>2040</v>
      </c>
      <c r="J249" s="504">
        <v>2045</v>
      </c>
      <c r="K249" s="504">
        <v>2050</v>
      </c>
    </row>
    <row r="250" spans="1:11" x14ac:dyDescent="0.3">
      <c r="C250" s="504" t="s">
        <v>925</v>
      </c>
      <c r="D250" s="504">
        <v>0</v>
      </c>
      <c r="E250" s="504">
        <v>0</v>
      </c>
      <c r="F250" s="504">
        <v>0</v>
      </c>
      <c r="G250" s="504">
        <v>0.95</v>
      </c>
      <c r="H250" s="504">
        <v>1.5</v>
      </c>
      <c r="I250" s="504">
        <v>2</v>
      </c>
      <c r="J250" s="504" t="s">
        <v>983</v>
      </c>
      <c r="K250" s="504"/>
    </row>
    <row r="251" spans="1:11" x14ac:dyDescent="0.3">
      <c r="C251" s="504" t="s">
        <v>926</v>
      </c>
      <c r="D251" s="504"/>
      <c r="E251" s="504"/>
      <c r="F251" s="504"/>
      <c r="G251" s="504"/>
      <c r="H251" s="504"/>
      <c r="I251" s="504"/>
      <c r="J251" s="504"/>
      <c r="K251" s="504"/>
    </row>
    <row r="252" spans="1:11" x14ac:dyDescent="0.3">
      <c r="C252" s="504" t="s">
        <v>927</v>
      </c>
      <c r="D252" s="504"/>
      <c r="E252" s="504"/>
      <c r="F252" s="504"/>
      <c r="G252" s="504"/>
      <c r="H252" s="504"/>
      <c r="I252" s="504"/>
      <c r="J252" s="504"/>
      <c r="K252" s="504"/>
    </row>
    <row r="255" spans="1:11" x14ac:dyDescent="0.3">
      <c r="B255" t="s">
        <v>797</v>
      </c>
      <c r="C255">
        <v>2019</v>
      </c>
      <c r="D255" s="492">
        <v>2020</v>
      </c>
      <c r="E255" s="492">
        <v>2025</v>
      </c>
      <c r="F255" s="492">
        <v>2030</v>
      </c>
      <c r="G255" s="492">
        <v>2035</v>
      </c>
      <c r="H255" s="492">
        <v>2040</v>
      </c>
      <c r="I255" s="492">
        <v>2045</v>
      </c>
      <c r="J255" s="492">
        <v>2050</v>
      </c>
    </row>
    <row r="256" spans="1:11" x14ac:dyDescent="0.3">
      <c r="A256" t="s">
        <v>984</v>
      </c>
      <c r="B256" t="s">
        <v>14</v>
      </c>
      <c r="C256">
        <v>1.1850000000000001</v>
      </c>
      <c r="D256" s="492">
        <v>1.1299999999999999</v>
      </c>
      <c r="E256" s="408">
        <v>1.2549999999999999</v>
      </c>
      <c r="F256" s="492">
        <v>1.325</v>
      </c>
      <c r="G256" s="492">
        <v>1.325</v>
      </c>
      <c r="H256" s="492">
        <v>1.325</v>
      </c>
      <c r="I256" s="492">
        <v>1.325</v>
      </c>
      <c r="J256" s="492">
        <v>1.325</v>
      </c>
    </row>
    <row r="257" spans="1:13" x14ac:dyDescent="0.3">
      <c r="L257">
        <v>2030</v>
      </c>
      <c r="M257">
        <v>2045</v>
      </c>
    </row>
    <row r="258" spans="1:13" x14ac:dyDescent="0.3">
      <c r="A258" s="727" t="s">
        <v>985</v>
      </c>
      <c r="B258" t="s">
        <v>972</v>
      </c>
      <c r="C258" s="514">
        <v>0.25316455696202528</v>
      </c>
      <c r="D258" s="514">
        <v>0.22566371681415931</v>
      </c>
      <c r="E258" s="514">
        <v>0.22310756972111559</v>
      </c>
      <c r="F258" s="514">
        <v>0.26415094339622641</v>
      </c>
      <c r="G258" s="514">
        <v>0.26415094339622641</v>
      </c>
      <c r="H258" s="514">
        <v>0.26415094339622641</v>
      </c>
      <c r="I258" s="514">
        <v>0.26415094339622641</v>
      </c>
      <c r="J258" s="514">
        <v>0.26415094339622641</v>
      </c>
      <c r="L258" t="s">
        <v>986</v>
      </c>
      <c r="M258" t="s">
        <v>987</v>
      </c>
    </row>
    <row r="259" spans="1:13" x14ac:dyDescent="0.3">
      <c r="A259" s="727"/>
      <c r="B259" t="s">
        <v>973</v>
      </c>
      <c r="C259" s="514">
        <v>0.24894514767932488</v>
      </c>
      <c r="D259" s="514">
        <v>0.23008849557522126</v>
      </c>
      <c r="E259" s="514">
        <v>0.28685258964143429</v>
      </c>
      <c r="F259" s="514">
        <v>0.27169811320754716</v>
      </c>
      <c r="G259" s="514">
        <v>0.27169811320754716</v>
      </c>
      <c r="H259" s="514">
        <v>0.27169811320754716</v>
      </c>
      <c r="I259" s="514">
        <v>0.27169811320754716</v>
      </c>
      <c r="J259" s="514">
        <v>0.27169811320754716</v>
      </c>
      <c r="L259" t="s">
        <v>986</v>
      </c>
      <c r="M259" t="s">
        <v>988</v>
      </c>
    </row>
    <row r="260" spans="1:13" x14ac:dyDescent="0.3">
      <c r="A260" s="727"/>
      <c r="B260" t="s">
        <v>974</v>
      </c>
      <c r="C260" s="514">
        <v>0.18565400843881855</v>
      </c>
      <c r="D260" s="514">
        <v>0.2168141592920354</v>
      </c>
      <c r="E260" s="514">
        <v>0.19521912350597612</v>
      </c>
      <c r="F260" s="514">
        <v>0.18490566037735851</v>
      </c>
      <c r="G260" s="514">
        <v>0.18490566037735851</v>
      </c>
      <c r="H260" s="514">
        <v>0.18490566037735851</v>
      </c>
      <c r="I260" s="514">
        <v>0.18490566037735851</v>
      </c>
      <c r="J260" s="514">
        <v>0.18490566037735851</v>
      </c>
      <c r="L260" t="s">
        <v>989</v>
      </c>
      <c r="M260" t="s">
        <v>990</v>
      </c>
    </row>
    <row r="261" spans="1:13" x14ac:dyDescent="0.3">
      <c r="A261" s="727"/>
      <c r="B261" t="s">
        <v>975</v>
      </c>
      <c r="C261" s="514">
        <v>0.31223628691983119</v>
      </c>
      <c r="D261" s="514">
        <v>0.32743362831858408</v>
      </c>
      <c r="E261" s="514">
        <v>0.29482071713147412</v>
      </c>
      <c r="F261" s="514">
        <v>0.27924528301886792</v>
      </c>
      <c r="G261" s="514">
        <v>0.27924528301886792</v>
      </c>
      <c r="H261" s="514">
        <v>0.27924528301886792</v>
      </c>
      <c r="I261" s="514">
        <v>0.27924528301886792</v>
      </c>
      <c r="J261" s="514">
        <v>0.27924528301886792</v>
      </c>
      <c r="L261" t="s">
        <v>989</v>
      </c>
      <c r="M261" t="s">
        <v>991</v>
      </c>
    </row>
    <row r="265" spans="1:13" x14ac:dyDescent="0.3">
      <c r="B265" t="s">
        <v>992</v>
      </c>
      <c r="J265" t="s">
        <v>993</v>
      </c>
    </row>
    <row r="266" spans="1:13" x14ac:dyDescent="0.3">
      <c r="C266" t="s">
        <v>994</v>
      </c>
      <c r="D266" t="s">
        <v>705</v>
      </c>
      <c r="E266" t="s">
        <v>995</v>
      </c>
      <c r="F266" t="s">
        <v>717</v>
      </c>
      <c r="G266" t="s">
        <v>718</v>
      </c>
    </row>
    <row r="267" spans="1:13" x14ac:dyDescent="0.3">
      <c r="B267" t="s">
        <v>996</v>
      </c>
      <c r="C267">
        <v>323</v>
      </c>
      <c r="D267">
        <v>27</v>
      </c>
      <c r="E267">
        <v>5000</v>
      </c>
      <c r="F267">
        <v>27</v>
      </c>
      <c r="G267">
        <v>0</v>
      </c>
      <c r="H267">
        <v>5376</v>
      </c>
      <c r="J267" s="546">
        <f>C258+C259+C260+C261</f>
        <v>0.99999999999999989</v>
      </c>
    </row>
    <row r="268" spans="1:13" x14ac:dyDescent="0.3">
      <c r="C268" s="514">
        <f>C267/$H267</f>
        <v>6.008184523809524E-2</v>
      </c>
      <c r="D268" s="514">
        <f t="shared" ref="D268:G268" si="9">D267/$H267</f>
        <v>5.0223214285714289E-3</v>
      </c>
      <c r="E268" s="514">
        <f t="shared" si="9"/>
        <v>0.93005952380952384</v>
      </c>
      <c r="F268" s="514">
        <f t="shared" si="9"/>
        <v>5.0223214285714289E-3</v>
      </c>
      <c r="G268" s="514">
        <f t="shared" si="9"/>
        <v>0</v>
      </c>
      <c r="H268" s="514">
        <f>H267/$H267</f>
        <v>1</v>
      </c>
    </row>
    <row r="269" spans="1:13" x14ac:dyDescent="0.3">
      <c r="B269" t="s">
        <v>991</v>
      </c>
      <c r="C269" s="546">
        <f>C268</f>
        <v>6.008184523809524E-2</v>
      </c>
      <c r="D269" s="546">
        <f>D268</f>
        <v>5.0223214285714289E-3</v>
      </c>
      <c r="E269" s="546">
        <f>1-C269-D269-F269-G269</f>
        <v>0.77987351190476195</v>
      </c>
      <c r="F269" s="546">
        <f>F268</f>
        <v>5.0223214285714289E-3</v>
      </c>
      <c r="G269" s="546">
        <v>0.15</v>
      </c>
      <c r="H269" s="546">
        <f>SUM(C269:G269)</f>
        <v>1</v>
      </c>
    </row>
    <row r="270" spans="1:13" x14ac:dyDescent="0.3">
      <c r="B270" t="s">
        <v>997</v>
      </c>
      <c r="C270" s="546">
        <f>($F258+$F259)*C268+($F260+$F261)*C269</f>
        <v>6.0081845238095233E-2</v>
      </c>
      <c r="D270" s="546">
        <f t="shared" ref="D270:G270" si="10">($F258+$F259)*D268+($F260+$F261)*D269</f>
        <v>5.0223214285714289E-3</v>
      </c>
      <c r="E270" s="546">
        <f t="shared" si="10"/>
        <v>0.86035054469901173</v>
      </c>
      <c r="F270" s="546">
        <f t="shared" si="10"/>
        <v>5.0223214285714289E-3</v>
      </c>
      <c r="G270" s="546">
        <f t="shared" si="10"/>
        <v>6.9622641509433966E-2</v>
      </c>
      <c r="H270" s="546">
        <f t="shared" ref="H270:H271" si="11">SUM(C270:G270)</f>
        <v>1.0000996743036836</v>
      </c>
      <c r="J270" s="546">
        <f>F258+F259+F260+F261</f>
        <v>1</v>
      </c>
    </row>
    <row r="271" spans="1:13" x14ac:dyDescent="0.3">
      <c r="B271" t="s">
        <v>998</v>
      </c>
      <c r="C271" s="546">
        <f>C269</f>
        <v>6.008184523809524E-2</v>
      </c>
      <c r="D271" s="546">
        <f t="shared" ref="D271:G271" si="12">D269</f>
        <v>5.0223214285714289E-3</v>
      </c>
      <c r="E271" s="546">
        <f t="shared" si="12"/>
        <v>0.77987351190476195</v>
      </c>
      <c r="F271" s="546">
        <f t="shared" si="12"/>
        <v>5.0223214285714289E-3</v>
      </c>
      <c r="G271" s="546">
        <f t="shared" si="12"/>
        <v>0.15</v>
      </c>
      <c r="H271" s="546">
        <f t="shared" si="11"/>
        <v>1</v>
      </c>
      <c r="J271" s="546">
        <f>J261</f>
        <v>0.27924528301886792</v>
      </c>
    </row>
    <row r="274" spans="2:19" x14ac:dyDescent="0.3">
      <c r="B274" t="s">
        <v>999</v>
      </c>
    </row>
    <row r="275" spans="2:19" x14ac:dyDescent="0.3">
      <c r="C275" t="s">
        <v>994</v>
      </c>
      <c r="D275" t="s">
        <v>705</v>
      </c>
      <c r="E275" t="s">
        <v>995</v>
      </c>
      <c r="F275" t="s">
        <v>717</v>
      </c>
      <c r="G275" t="s">
        <v>718</v>
      </c>
    </row>
    <row r="276" spans="2:19" x14ac:dyDescent="0.3">
      <c r="B276" t="s">
        <v>996</v>
      </c>
      <c r="C276" s="546">
        <v>1</v>
      </c>
      <c r="J276" s="546">
        <f>1-J267</f>
        <v>0</v>
      </c>
    </row>
    <row r="277" spans="2:19" x14ac:dyDescent="0.3">
      <c r="B277" t="s">
        <v>997</v>
      </c>
      <c r="C277" s="546">
        <v>1</v>
      </c>
      <c r="J277" s="546">
        <f>1-J270</f>
        <v>0</v>
      </c>
    </row>
    <row r="278" spans="2:19" x14ac:dyDescent="0.3">
      <c r="B278" t="s">
        <v>998</v>
      </c>
      <c r="C278" s="546">
        <v>1</v>
      </c>
      <c r="J278" s="546">
        <f>1-J271</f>
        <v>0.72075471698113214</v>
      </c>
    </row>
    <row r="283" spans="2:19" ht="23.4" x14ac:dyDescent="0.3">
      <c r="B283" s="706" t="s">
        <v>15</v>
      </c>
      <c r="C283" s="707"/>
      <c r="D283" s="707"/>
      <c r="E283" s="707"/>
      <c r="F283" s="707"/>
      <c r="G283" s="707"/>
      <c r="H283" s="707"/>
      <c r="I283" s="707"/>
      <c r="J283" s="707"/>
      <c r="K283" s="707"/>
      <c r="L283" s="707"/>
      <c r="M283" s="707"/>
      <c r="N283" s="707"/>
      <c r="O283" s="707"/>
      <c r="P283" s="707"/>
      <c r="Q283" s="707"/>
      <c r="R283" s="707"/>
      <c r="S283" s="707"/>
    </row>
    <row r="287" spans="2:19" x14ac:dyDescent="0.3">
      <c r="B287" s="709" t="s">
        <v>900</v>
      </c>
      <c r="C287" s="709"/>
    </row>
    <row r="289" spans="2:20" x14ac:dyDescent="0.3">
      <c r="C289" s="504" t="s">
        <v>797</v>
      </c>
      <c r="D289" s="504">
        <v>2019</v>
      </c>
      <c r="E289" s="504">
        <v>2020</v>
      </c>
      <c r="F289" s="504">
        <v>2025</v>
      </c>
      <c r="G289" s="504">
        <v>2030</v>
      </c>
      <c r="H289" s="504">
        <v>2035</v>
      </c>
      <c r="I289" s="504">
        <v>2040</v>
      </c>
      <c r="J289" s="504">
        <v>2045</v>
      </c>
      <c r="K289" s="504">
        <v>2050</v>
      </c>
    </row>
    <row r="290" spans="2:20" x14ac:dyDescent="0.3">
      <c r="C290" s="504" t="s">
        <v>15</v>
      </c>
      <c r="D290" s="504">
        <v>12.94</v>
      </c>
      <c r="E290" s="504"/>
      <c r="F290" s="504">
        <v>11.3</v>
      </c>
      <c r="G290" s="504">
        <v>9.8000000000000007</v>
      </c>
      <c r="H290" s="504">
        <v>8.6</v>
      </c>
      <c r="I290" s="504">
        <v>7.5</v>
      </c>
      <c r="J290" s="504">
        <f>(I290+K290)/2</f>
        <v>7.5</v>
      </c>
      <c r="K290" s="504">
        <v>7.5</v>
      </c>
    </row>
    <row r="291" spans="2:20" x14ac:dyDescent="0.3">
      <c r="C291" t="s">
        <v>1000</v>
      </c>
    </row>
    <row r="292" spans="2:20" x14ac:dyDescent="0.3">
      <c r="C292" t="s">
        <v>1001</v>
      </c>
    </row>
    <row r="293" spans="2:20" x14ac:dyDescent="0.3">
      <c r="B293" s="709" t="s">
        <v>907</v>
      </c>
      <c r="C293" s="709"/>
    </row>
    <row r="295" spans="2:20" ht="36" x14ac:dyDescent="0.3">
      <c r="B295" s="1"/>
      <c r="C295" s="716" t="s">
        <v>494</v>
      </c>
      <c r="D295" s="716"/>
      <c r="E295" s="716"/>
      <c r="F295" s="498" t="s">
        <v>438</v>
      </c>
      <c r="G295" s="498" t="s">
        <v>454</v>
      </c>
      <c r="H295" s="498" t="s">
        <v>440</v>
      </c>
      <c r="I295" s="498" t="s">
        <v>496</v>
      </c>
      <c r="J295" s="498" t="s">
        <v>450</v>
      </c>
      <c r="K295" s="498" t="s">
        <v>451</v>
      </c>
      <c r="L295" s="498" t="s">
        <v>452</v>
      </c>
      <c r="M295" s="498" t="s">
        <v>453</v>
      </c>
      <c r="N295" s="498" t="s">
        <v>443</v>
      </c>
      <c r="O295" s="498" t="s">
        <v>444</v>
      </c>
      <c r="P295" s="498" t="s">
        <v>495</v>
      </c>
      <c r="Q295" s="498" t="s">
        <v>455</v>
      </c>
      <c r="R295" s="498" t="s">
        <v>446</v>
      </c>
      <c r="S295" s="498" t="s">
        <v>447</v>
      </c>
      <c r="T295" s="498" t="s">
        <v>52</v>
      </c>
    </row>
    <row r="296" spans="2:20" x14ac:dyDescent="0.3">
      <c r="B296" s="170"/>
      <c r="C296" s="634" t="s">
        <v>24</v>
      </c>
      <c r="D296" s="634"/>
      <c r="E296" s="634"/>
      <c r="F296" s="177"/>
      <c r="G296" s="177"/>
      <c r="H296" s="177"/>
      <c r="I296" s="177"/>
      <c r="J296" s="177"/>
      <c r="K296" s="177"/>
      <c r="L296" s="177"/>
      <c r="M296" s="177"/>
      <c r="N296" s="177"/>
      <c r="O296" s="177"/>
      <c r="P296" s="177"/>
      <c r="Q296" s="177"/>
      <c r="R296" s="177"/>
      <c r="S296" s="177"/>
      <c r="T296" s="172"/>
    </row>
    <row r="297" spans="2:20" x14ac:dyDescent="0.3">
      <c r="B297" s="175">
        <v>2019</v>
      </c>
      <c r="C297" s="175" t="s">
        <v>15</v>
      </c>
      <c r="D297" s="175">
        <v>2019</v>
      </c>
      <c r="E297" s="176" t="s">
        <v>910</v>
      </c>
      <c r="F297" s="159"/>
      <c r="G297" s="159"/>
      <c r="H297" s="159"/>
      <c r="I297" s="159"/>
      <c r="J297" s="159"/>
      <c r="K297" s="159"/>
      <c r="L297" s="159"/>
      <c r="M297" s="159"/>
      <c r="N297" s="159"/>
      <c r="O297" s="159"/>
      <c r="P297" s="159"/>
      <c r="Q297" s="159"/>
      <c r="R297" s="159"/>
      <c r="S297" s="159"/>
      <c r="T297" s="159"/>
    </row>
    <row r="298" spans="2:20" x14ac:dyDescent="0.3">
      <c r="B298" s="175">
        <v>2030</v>
      </c>
      <c r="C298" s="175" t="s">
        <v>15</v>
      </c>
      <c r="D298" s="175">
        <v>2030</v>
      </c>
      <c r="E298" s="176" t="s">
        <v>910</v>
      </c>
      <c r="F298" s="503"/>
      <c r="G298" s="503"/>
      <c r="H298" s="503"/>
      <c r="I298" s="503"/>
      <c r="J298" s="503"/>
      <c r="K298" s="503"/>
      <c r="L298" s="503"/>
      <c r="M298" s="503"/>
      <c r="N298" s="503"/>
      <c r="O298" s="503"/>
      <c r="P298" s="515"/>
      <c r="Q298" s="503"/>
      <c r="R298" s="503"/>
      <c r="S298" s="503"/>
      <c r="T298" s="172"/>
    </row>
    <row r="299" spans="2:20" x14ac:dyDescent="0.3">
      <c r="B299" s="175">
        <v>2050</v>
      </c>
      <c r="C299" s="175" t="s">
        <v>15</v>
      </c>
      <c r="D299" s="175">
        <v>2050</v>
      </c>
      <c r="E299" s="176" t="s">
        <v>910</v>
      </c>
      <c r="F299" s="503"/>
      <c r="G299" s="503"/>
      <c r="H299" s="503"/>
      <c r="I299" s="503"/>
      <c r="J299" s="503"/>
      <c r="K299" s="503"/>
      <c r="L299" s="503"/>
      <c r="M299" s="503"/>
      <c r="N299" s="503"/>
      <c r="O299" s="503"/>
      <c r="P299" s="515"/>
      <c r="Q299" s="503"/>
      <c r="R299" s="503"/>
      <c r="S299" s="503"/>
      <c r="T299" s="172"/>
    </row>
    <row r="300" spans="2:20" x14ac:dyDescent="0.3">
      <c r="C300" s="531" t="s">
        <v>1002</v>
      </c>
    </row>
    <row r="302" spans="2:20" x14ac:dyDescent="0.3">
      <c r="B302" s="709" t="s">
        <v>911</v>
      </c>
      <c r="C302" s="709"/>
    </row>
    <row r="304" spans="2:20" x14ac:dyDescent="0.3">
      <c r="C304" s="504" t="s">
        <v>912</v>
      </c>
      <c r="D304" s="504">
        <v>2019</v>
      </c>
      <c r="E304" s="504">
        <v>2020</v>
      </c>
      <c r="F304" s="504">
        <v>2025</v>
      </c>
      <c r="G304" s="504">
        <v>2030</v>
      </c>
      <c r="H304" s="504">
        <v>2035</v>
      </c>
      <c r="I304" s="504">
        <v>2040</v>
      </c>
      <c r="J304" s="504">
        <v>2045</v>
      </c>
      <c r="K304" s="504">
        <v>2050</v>
      </c>
    </row>
    <row r="305" spans="2:11" x14ac:dyDescent="0.3">
      <c r="C305" s="504" t="s">
        <v>15</v>
      </c>
      <c r="D305" s="504"/>
      <c r="E305" s="504"/>
      <c r="F305" s="504"/>
      <c r="G305" s="504"/>
      <c r="H305" s="504"/>
      <c r="I305" s="504"/>
      <c r="J305" s="504"/>
      <c r="K305" s="504"/>
    </row>
    <row r="308" spans="2:11" x14ac:dyDescent="0.3">
      <c r="B308" s="709" t="s">
        <v>916</v>
      </c>
      <c r="C308" s="709"/>
    </row>
    <row r="310" spans="2:11" x14ac:dyDescent="0.3">
      <c r="C310" t="s">
        <v>978</v>
      </c>
    </row>
    <row r="313" spans="2:11" x14ac:dyDescent="0.3">
      <c r="B313" s="720" t="s">
        <v>922</v>
      </c>
      <c r="C313" s="720"/>
    </row>
    <row r="315" spans="2:11" x14ac:dyDescent="0.3">
      <c r="B315" s="708" t="s">
        <v>1003</v>
      </c>
      <c r="C315" s="708"/>
      <c r="D315" s="708"/>
      <c r="E315" s="708"/>
      <c r="F315" s="708"/>
      <c r="G315" s="708"/>
      <c r="H315" s="708"/>
      <c r="I315" s="708"/>
      <c r="J315" s="708"/>
      <c r="K315" s="708"/>
    </row>
    <row r="317" spans="2:11" x14ac:dyDescent="0.3">
      <c r="B317" s="720" t="s">
        <v>924</v>
      </c>
      <c r="C317" s="720"/>
    </row>
    <row r="319" spans="2:11" x14ac:dyDescent="0.3">
      <c r="C319" s="504"/>
      <c r="D319" s="504">
        <v>2019</v>
      </c>
      <c r="E319" s="504">
        <v>2020</v>
      </c>
      <c r="F319" s="504">
        <v>2025</v>
      </c>
      <c r="G319" s="504">
        <v>2030</v>
      </c>
      <c r="H319" s="504">
        <v>2035</v>
      </c>
      <c r="I319" s="504">
        <v>2040</v>
      </c>
      <c r="J319" s="504">
        <v>2045</v>
      </c>
      <c r="K319" s="504">
        <v>2050</v>
      </c>
    </row>
    <row r="320" spans="2:11" x14ac:dyDescent="0.3">
      <c r="C320" s="504" t="s">
        <v>925</v>
      </c>
      <c r="D320" s="504">
        <v>0</v>
      </c>
      <c r="E320" s="504">
        <v>0</v>
      </c>
      <c r="F320" s="504">
        <v>0</v>
      </c>
      <c r="G320" s="504">
        <v>1.2</v>
      </c>
      <c r="H320" s="504">
        <v>5</v>
      </c>
      <c r="I320" s="504"/>
      <c r="J320" s="504"/>
      <c r="K320" s="504">
        <v>7</v>
      </c>
    </row>
    <row r="321" spans="2:22" x14ac:dyDescent="0.3">
      <c r="C321" s="504" t="s">
        <v>926</v>
      </c>
      <c r="D321" s="504"/>
      <c r="E321" s="504"/>
      <c r="F321" s="504"/>
      <c r="G321" s="504"/>
      <c r="H321" s="504"/>
      <c r="I321" s="504"/>
      <c r="J321" s="504"/>
      <c r="K321" s="504"/>
    </row>
    <row r="322" spans="2:22" x14ac:dyDescent="0.3">
      <c r="C322" s="504" t="s">
        <v>927</v>
      </c>
      <c r="D322" s="504"/>
      <c r="E322" s="504"/>
      <c r="F322" s="504"/>
      <c r="G322" s="504"/>
      <c r="H322" s="504"/>
      <c r="I322" s="504"/>
      <c r="J322" s="504"/>
      <c r="K322" s="504"/>
    </row>
    <row r="324" spans="2:22" x14ac:dyDescent="0.3">
      <c r="C324" s="528" t="s">
        <v>1004</v>
      </c>
      <c r="D324" s="528"/>
      <c r="E324" s="528"/>
    </row>
    <row r="329" spans="2:22" ht="23.4" x14ac:dyDescent="0.3">
      <c r="B329" s="706" t="s">
        <v>17</v>
      </c>
      <c r="C329" s="707"/>
      <c r="D329" s="707"/>
      <c r="E329" s="707"/>
      <c r="F329" s="707"/>
      <c r="G329" s="707"/>
      <c r="H329" s="707"/>
      <c r="I329" s="707"/>
      <c r="J329" s="707"/>
      <c r="K329" s="707"/>
      <c r="L329" s="707"/>
      <c r="M329" s="707"/>
      <c r="N329" s="707"/>
      <c r="O329" s="707"/>
      <c r="P329" s="707"/>
      <c r="Q329" s="707"/>
      <c r="R329" s="707"/>
      <c r="S329" s="707"/>
      <c r="T329" s="707"/>
      <c r="U329" s="707"/>
      <c r="V329" s="707"/>
    </row>
    <row r="331" spans="2:22" x14ac:dyDescent="0.3">
      <c r="B331" t="s">
        <v>1005</v>
      </c>
    </row>
    <row r="333" spans="2:22" x14ac:dyDescent="0.3">
      <c r="B333" s="709" t="s">
        <v>900</v>
      </c>
      <c r="C333" s="709"/>
    </row>
    <row r="335" spans="2:22" x14ac:dyDescent="0.3">
      <c r="C335" s="504" t="s">
        <v>797</v>
      </c>
      <c r="D335" s="504">
        <v>2019</v>
      </c>
      <c r="E335" s="504">
        <v>2020</v>
      </c>
      <c r="F335" s="504">
        <v>2025</v>
      </c>
      <c r="G335" s="504">
        <v>2030</v>
      </c>
      <c r="H335" s="504">
        <v>2035</v>
      </c>
      <c r="I335" s="504">
        <v>2040</v>
      </c>
      <c r="J335" s="504">
        <v>2045</v>
      </c>
      <c r="K335" s="504">
        <v>2050</v>
      </c>
    </row>
    <row r="336" spans="2:22" x14ac:dyDescent="0.3">
      <c r="C336" s="504" t="s">
        <v>17</v>
      </c>
      <c r="D336" s="5">
        <v>7.32</v>
      </c>
      <c r="E336" s="504"/>
      <c r="F336" s="504"/>
      <c r="G336" s="504"/>
      <c r="H336" s="504"/>
      <c r="I336" s="504"/>
      <c r="J336" s="504"/>
      <c r="K336" s="504"/>
    </row>
    <row r="337" spans="2:20" x14ac:dyDescent="0.3">
      <c r="C337" s="504" t="s">
        <v>1006</v>
      </c>
      <c r="D337" s="504"/>
      <c r="E337" s="504"/>
      <c r="F337" s="504"/>
      <c r="G337" s="504"/>
      <c r="H337" s="504"/>
      <c r="I337" s="504"/>
      <c r="J337" s="504"/>
      <c r="K337" s="504"/>
    </row>
    <row r="340" spans="2:20" x14ac:dyDescent="0.3">
      <c r="B340" s="709" t="s">
        <v>907</v>
      </c>
      <c r="C340" s="709"/>
    </row>
    <row r="342" spans="2:20" ht="36" x14ac:dyDescent="0.3">
      <c r="B342" s="1"/>
      <c r="C342" s="716" t="s">
        <v>494</v>
      </c>
      <c r="D342" s="716"/>
      <c r="E342" s="716"/>
      <c r="F342" s="498" t="s">
        <v>438</v>
      </c>
      <c r="G342" s="498" t="s">
        <v>454</v>
      </c>
      <c r="H342" s="498" t="s">
        <v>440</v>
      </c>
      <c r="I342" s="498" t="s">
        <v>496</v>
      </c>
      <c r="J342" s="498" t="s">
        <v>450</v>
      </c>
      <c r="K342" s="498" t="s">
        <v>451</v>
      </c>
      <c r="L342" s="498" t="s">
        <v>452</v>
      </c>
      <c r="M342" s="498" t="s">
        <v>453</v>
      </c>
      <c r="N342" s="498" t="s">
        <v>443</v>
      </c>
      <c r="O342" s="498" t="s">
        <v>444</v>
      </c>
      <c r="P342" s="498" t="s">
        <v>495</v>
      </c>
      <c r="Q342" s="498" t="s">
        <v>455</v>
      </c>
      <c r="R342" s="498" t="s">
        <v>446</v>
      </c>
      <c r="S342" s="498" t="s">
        <v>447</v>
      </c>
      <c r="T342" s="498" t="s">
        <v>52</v>
      </c>
    </row>
    <row r="343" spans="2:20" x14ac:dyDescent="0.3">
      <c r="B343" s="170"/>
      <c r="C343" s="634" t="s">
        <v>24</v>
      </c>
      <c r="D343" s="634"/>
      <c r="E343" s="634"/>
      <c r="F343" s="171"/>
      <c r="G343" s="171"/>
      <c r="H343" s="171"/>
      <c r="I343" s="171"/>
      <c r="J343" s="171"/>
      <c r="K343" s="171"/>
      <c r="L343" s="171"/>
      <c r="M343" s="171"/>
      <c r="N343" s="171"/>
      <c r="O343" s="171"/>
      <c r="P343" s="192"/>
      <c r="Q343" s="192"/>
      <c r="R343" s="171"/>
      <c r="S343" s="171"/>
      <c r="T343" s="172"/>
    </row>
    <row r="344" spans="2:20" x14ac:dyDescent="0.3">
      <c r="B344" s="175">
        <v>2019</v>
      </c>
      <c r="C344" s="175" t="s">
        <v>1007</v>
      </c>
      <c r="D344" s="175">
        <v>2019</v>
      </c>
      <c r="E344" s="176" t="s">
        <v>910</v>
      </c>
      <c r="F344" s="159">
        <v>111.648</v>
      </c>
      <c r="G344" s="159">
        <v>0</v>
      </c>
      <c r="H344" s="159">
        <v>462.87400000000002</v>
      </c>
      <c r="I344" s="159">
        <v>8878.3420000000006</v>
      </c>
      <c r="J344" s="159">
        <v>6857.0479999999998</v>
      </c>
      <c r="K344" s="159">
        <v>0</v>
      </c>
      <c r="L344" s="159">
        <v>0</v>
      </c>
      <c r="M344" s="159">
        <v>0</v>
      </c>
      <c r="N344" s="159"/>
      <c r="O344" s="159">
        <v>0</v>
      </c>
      <c r="P344" s="159">
        <v>7509.491</v>
      </c>
      <c r="Q344" s="159">
        <v>0</v>
      </c>
      <c r="R344" s="159">
        <v>3067.4409999999998</v>
      </c>
      <c r="S344" s="159">
        <v>0</v>
      </c>
      <c r="T344" s="159">
        <v>26886.844000000001</v>
      </c>
    </row>
    <row r="345" spans="2:20" x14ac:dyDescent="0.3">
      <c r="B345" s="175">
        <v>2025</v>
      </c>
      <c r="C345" s="175" t="s">
        <v>1007</v>
      </c>
      <c r="D345" s="175">
        <v>2025</v>
      </c>
      <c r="E345" s="176" t="s">
        <v>910</v>
      </c>
      <c r="F345" s="503"/>
      <c r="G345" s="503"/>
      <c r="H345" s="503"/>
      <c r="I345" s="503"/>
      <c r="J345" s="503"/>
      <c r="K345" s="503"/>
      <c r="L345" s="503"/>
      <c r="M345" s="503"/>
      <c r="N345" s="503"/>
      <c r="O345" s="503"/>
      <c r="P345" s="503"/>
      <c r="Q345" s="503"/>
      <c r="R345" s="503"/>
      <c r="S345" s="503"/>
      <c r="T345" s="172"/>
    </row>
    <row r="346" spans="2:20" x14ac:dyDescent="0.3">
      <c r="B346" s="175">
        <v>2050</v>
      </c>
      <c r="C346" s="175" t="s">
        <v>1007</v>
      </c>
      <c r="D346" s="175">
        <v>2050</v>
      </c>
      <c r="E346" s="176" t="s">
        <v>910</v>
      </c>
      <c r="F346" s="503"/>
      <c r="G346" s="503"/>
      <c r="H346" s="503"/>
      <c r="I346" s="503"/>
      <c r="J346" s="503"/>
      <c r="K346" s="503"/>
      <c r="L346" s="503"/>
      <c r="M346" s="503"/>
      <c r="N346" s="503"/>
      <c r="O346" s="503"/>
      <c r="P346" s="503"/>
      <c r="Q346" s="503"/>
      <c r="R346" s="503"/>
      <c r="S346" s="503"/>
      <c r="T346" s="172"/>
    </row>
    <row r="347" spans="2:20" x14ac:dyDescent="0.3">
      <c r="B347" s="180"/>
      <c r="C347" s="180"/>
      <c r="D347" s="180"/>
      <c r="E347" s="181"/>
      <c r="F347" s="184"/>
      <c r="G347" s="184"/>
      <c r="H347" s="184"/>
      <c r="I347" s="184"/>
      <c r="J347" s="184"/>
      <c r="K347" s="184"/>
      <c r="L347" s="184"/>
      <c r="M347" s="184"/>
      <c r="N347" s="184"/>
      <c r="O347" s="184"/>
      <c r="P347" s="184"/>
      <c r="Q347" s="184"/>
      <c r="R347" s="184"/>
      <c r="S347" s="184"/>
      <c r="T347" s="185"/>
    </row>
    <row r="348" spans="2:20" x14ac:dyDescent="0.3">
      <c r="B348" s="175">
        <v>2019</v>
      </c>
      <c r="C348" s="175" t="s">
        <v>1008</v>
      </c>
      <c r="D348" s="175">
        <v>2019</v>
      </c>
      <c r="E348" s="176" t="s">
        <v>910</v>
      </c>
      <c r="F348" s="503"/>
      <c r="G348" s="503"/>
      <c r="H348" s="503"/>
      <c r="I348" s="503"/>
      <c r="J348" s="503"/>
      <c r="K348" s="503"/>
      <c r="L348" s="503"/>
      <c r="M348" s="503"/>
      <c r="N348" s="503"/>
      <c r="O348" s="503"/>
      <c r="P348" s="503"/>
      <c r="Q348" s="503"/>
      <c r="R348" s="503"/>
      <c r="S348" s="503"/>
      <c r="T348" s="172"/>
    </row>
    <row r="349" spans="2:20" x14ac:dyDescent="0.3">
      <c r="B349" s="175">
        <v>2025</v>
      </c>
      <c r="C349" s="175" t="s">
        <v>1008</v>
      </c>
      <c r="D349" s="175">
        <v>2025</v>
      </c>
      <c r="E349" s="176" t="s">
        <v>910</v>
      </c>
      <c r="F349" s="503"/>
      <c r="G349" s="503"/>
      <c r="H349" s="503"/>
      <c r="I349" s="503"/>
      <c r="J349" s="503"/>
      <c r="K349" s="503"/>
      <c r="L349" s="503"/>
      <c r="M349" s="503"/>
      <c r="N349" s="503"/>
      <c r="O349" s="503"/>
      <c r="P349" s="503"/>
      <c r="Q349" s="503"/>
      <c r="R349" s="503"/>
      <c r="S349" s="503"/>
      <c r="T349" s="172"/>
    </row>
    <row r="350" spans="2:20" x14ac:dyDescent="0.3">
      <c r="B350" s="175">
        <v>2050</v>
      </c>
      <c r="C350" s="175" t="s">
        <v>1008</v>
      </c>
      <c r="D350" s="175">
        <v>2050</v>
      </c>
      <c r="E350" s="176" t="s">
        <v>910</v>
      </c>
      <c r="F350" s="503"/>
      <c r="G350" s="503"/>
      <c r="H350" s="503"/>
      <c r="I350" s="503"/>
      <c r="J350" s="503"/>
      <c r="K350" s="503"/>
      <c r="L350" s="503"/>
      <c r="M350" s="503"/>
      <c r="N350" s="503"/>
      <c r="O350" s="503"/>
      <c r="P350" s="503"/>
      <c r="Q350" s="503"/>
      <c r="R350" s="503"/>
      <c r="S350" s="503"/>
      <c r="T350" s="172"/>
    </row>
    <row r="351" spans="2:20" x14ac:dyDescent="0.3">
      <c r="B351" s="180"/>
      <c r="C351" s="180"/>
      <c r="D351" s="180"/>
      <c r="E351" s="181"/>
      <c r="F351" s="184"/>
      <c r="G351" s="184"/>
      <c r="H351" s="184"/>
      <c r="I351" s="184"/>
      <c r="J351" s="184"/>
      <c r="K351" s="184"/>
      <c r="L351" s="184"/>
      <c r="M351" s="184"/>
      <c r="N351" s="184"/>
      <c r="O351" s="184"/>
      <c r="P351" s="184"/>
      <c r="Q351" s="184"/>
      <c r="R351" s="184"/>
      <c r="S351" s="184"/>
      <c r="T351" s="185"/>
    </row>
    <row r="352" spans="2:20" x14ac:dyDescent="0.3">
      <c r="B352" s="175">
        <v>2019</v>
      </c>
      <c r="C352" s="175" t="s">
        <v>1009</v>
      </c>
      <c r="D352" s="175">
        <v>2019</v>
      </c>
      <c r="E352" s="176" t="s">
        <v>910</v>
      </c>
      <c r="F352" s="503"/>
      <c r="G352" s="503"/>
      <c r="H352" s="503"/>
      <c r="I352" s="503"/>
      <c r="J352" s="503"/>
      <c r="K352" s="503"/>
      <c r="L352" s="503"/>
      <c r="M352" s="503"/>
      <c r="N352" s="503"/>
      <c r="O352" s="503"/>
      <c r="P352" s="503"/>
      <c r="Q352" s="503"/>
      <c r="R352" s="503"/>
      <c r="S352" s="503"/>
      <c r="T352" s="172"/>
    </row>
    <row r="353" spans="2:20" x14ac:dyDescent="0.3">
      <c r="B353" s="175">
        <v>2025</v>
      </c>
      <c r="C353" s="175" t="s">
        <v>1009</v>
      </c>
      <c r="D353" s="175">
        <v>2025</v>
      </c>
      <c r="E353" s="176" t="s">
        <v>910</v>
      </c>
      <c r="F353" s="503"/>
      <c r="G353" s="503"/>
      <c r="H353" s="503"/>
      <c r="I353" s="503"/>
      <c r="J353" s="503"/>
      <c r="K353" s="503"/>
      <c r="L353" s="503"/>
      <c r="M353" s="503"/>
      <c r="N353" s="503"/>
      <c r="O353" s="503"/>
      <c r="P353" s="503"/>
      <c r="Q353" s="503"/>
      <c r="R353" s="503"/>
      <c r="S353" s="503"/>
      <c r="T353" s="172"/>
    </row>
    <row r="354" spans="2:20" x14ac:dyDescent="0.3">
      <c r="B354" s="175">
        <v>2050</v>
      </c>
      <c r="C354" s="175" t="s">
        <v>1009</v>
      </c>
      <c r="D354" s="175">
        <v>2050</v>
      </c>
      <c r="E354" s="176" t="s">
        <v>910</v>
      </c>
      <c r="F354" s="503"/>
      <c r="G354" s="503"/>
      <c r="H354" s="503"/>
      <c r="I354" s="503"/>
      <c r="J354" s="503"/>
      <c r="K354" s="503"/>
      <c r="L354" s="503"/>
      <c r="M354" s="503"/>
      <c r="N354" s="503"/>
      <c r="O354" s="503"/>
      <c r="P354" s="503"/>
      <c r="Q354" s="503"/>
      <c r="R354" s="503"/>
      <c r="S354" s="503"/>
      <c r="T354" s="172"/>
    </row>
    <row r="357" spans="2:20" x14ac:dyDescent="0.3">
      <c r="B357" s="709" t="s">
        <v>911</v>
      </c>
      <c r="C357" s="709"/>
    </row>
    <row r="359" spans="2:20" x14ac:dyDescent="0.3">
      <c r="C359" s="504" t="s">
        <v>912</v>
      </c>
      <c r="D359" s="504">
        <v>2019</v>
      </c>
      <c r="E359" s="504">
        <v>2020</v>
      </c>
      <c r="F359" s="504">
        <v>2025</v>
      </c>
      <c r="G359" s="504">
        <v>2030</v>
      </c>
      <c r="H359" s="504">
        <v>2035</v>
      </c>
      <c r="I359" s="504">
        <v>2040</v>
      </c>
      <c r="J359" s="504">
        <v>2045</v>
      </c>
      <c r="K359" s="504">
        <v>2050</v>
      </c>
    </row>
    <row r="360" spans="2:20" x14ac:dyDescent="0.3">
      <c r="C360" s="504" t="s">
        <v>1010</v>
      </c>
      <c r="D360" s="504"/>
      <c r="E360" s="504"/>
      <c r="F360" s="504"/>
      <c r="G360" s="504"/>
      <c r="H360" s="504"/>
      <c r="I360" s="504"/>
      <c r="J360" s="504"/>
      <c r="K360" s="504"/>
    </row>
    <row r="361" spans="2:20" x14ac:dyDescent="0.3">
      <c r="C361" s="504" t="s">
        <v>1011</v>
      </c>
      <c r="D361" s="504"/>
      <c r="E361" s="504"/>
      <c r="F361" s="504"/>
      <c r="G361" s="504"/>
      <c r="H361" s="504"/>
      <c r="I361" s="504"/>
      <c r="J361" s="504"/>
      <c r="K361" s="504"/>
    </row>
    <row r="362" spans="2:20" x14ac:dyDescent="0.3">
      <c r="C362" s="504" t="s">
        <v>1012</v>
      </c>
      <c r="D362" s="504"/>
      <c r="E362" s="504"/>
      <c r="F362" s="504"/>
      <c r="G362" s="504"/>
      <c r="H362" s="504"/>
      <c r="I362" s="504"/>
      <c r="J362" s="504"/>
      <c r="K362" s="504"/>
    </row>
    <row r="365" spans="2:20" x14ac:dyDescent="0.3">
      <c r="B365" s="709" t="s">
        <v>916</v>
      </c>
      <c r="C365" s="709"/>
    </row>
    <row r="367" spans="2:20" x14ac:dyDescent="0.3">
      <c r="C367" s="504" t="s">
        <v>944</v>
      </c>
      <c r="D367" s="504">
        <v>2019</v>
      </c>
      <c r="E367" s="504">
        <v>2020</v>
      </c>
      <c r="F367" s="504">
        <v>2025</v>
      </c>
      <c r="G367" s="504">
        <v>2030</v>
      </c>
      <c r="H367" s="504">
        <v>2035</v>
      </c>
      <c r="I367" s="504">
        <v>2040</v>
      </c>
      <c r="J367" s="504">
        <v>2045</v>
      </c>
      <c r="K367" s="504">
        <v>2050</v>
      </c>
    </row>
    <row r="368" spans="2:20" x14ac:dyDescent="0.3">
      <c r="C368" s="504" t="s">
        <v>1010</v>
      </c>
      <c r="D368" s="517">
        <v>0.71</v>
      </c>
      <c r="E368" s="504"/>
      <c r="F368" s="504"/>
      <c r="G368" s="504"/>
      <c r="H368" s="504"/>
      <c r="I368" s="504"/>
      <c r="J368" s="504"/>
      <c r="K368" s="504"/>
    </row>
    <row r="372" spans="2:22" x14ac:dyDescent="0.3">
      <c r="B372" s="720" t="s">
        <v>922</v>
      </c>
      <c r="C372" s="720"/>
    </row>
    <row r="374" spans="2:22" x14ac:dyDescent="0.3">
      <c r="B374" s="708" t="s">
        <v>950</v>
      </c>
      <c r="C374" s="708"/>
      <c r="D374" s="708"/>
      <c r="E374" s="708"/>
      <c r="F374" s="708"/>
      <c r="G374" s="708"/>
      <c r="H374" s="708"/>
      <c r="I374" s="708"/>
      <c r="J374" s="708"/>
      <c r="K374" s="708"/>
    </row>
    <row r="376" spans="2:22" x14ac:dyDescent="0.3">
      <c r="B376" s="720" t="s">
        <v>924</v>
      </c>
      <c r="C376" s="720"/>
    </row>
    <row r="378" spans="2:22" x14ac:dyDescent="0.3">
      <c r="C378" s="504"/>
      <c r="D378" s="504">
        <v>2019</v>
      </c>
      <c r="E378" s="504">
        <v>2020</v>
      </c>
      <c r="F378" s="504">
        <v>2025</v>
      </c>
      <c r="G378" s="504">
        <v>2030</v>
      </c>
      <c r="H378" s="504">
        <v>2035</v>
      </c>
      <c r="I378" s="504">
        <v>2040</v>
      </c>
      <c r="J378" s="504">
        <v>2045</v>
      </c>
      <c r="K378" s="504">
        <v>2050</v>
      </c>
    </row>
    <row r="379" spans="2:22" x14ac:dyDescent="0.3">
      <c r="C379" s="504" t="s">
        <v>925</v>
      </c>
      <c r="D379" s="504"/>
      <c r="E379" s="504"/>
      <c r="F379" s="504"/>
      <c r="G379" s="504"/>
      <c r="H379" s="504"/>
      <c r="I379" s="504"/>
      <c r="J379" s="504"/>
      <c r="K379" s="504"/>
    </row>
    <row r="380" spans="2:22" x14ac:dyDescent="0.3">
      <c r="C380" s="504" t="s">
        <v>926</v>
      </c>
      <c r="D380" s="504"/>
      <c r="E380" s="504"/>
      <c r="F380" s="504"/>
      <c r="G380" s="504"/>
      <c r="H380" s="504"/>
      <c r="I380" s="504"/>
      <c r="J380" s="504"/>
      <c r="K380" s="504"/>
    </row>
    <row r="381" spans="2:22" x14ac:dyDescent="0.3">
      <c r="C381" s="504" t="s">
        <v>927</v>
      </c>
      <c r="D381" s="504"/>
      <c r="E381" s="504"/>
      <c r="F381" s="504"/>
      <c r="G381" s="504"/>
      <c r="H381" s="504"/>
      <c r="I381" s="504"/>
      <c r="J381" s="504"/>
      <c r="K381" s="504"/>
    </row>
    <row r="384" spans="2:22" ht="23.4" x14ac:dyDescent="0.3">
      <c r="B384" s="706" t="s">
        <v>16</v>
      </c>
      <c r="C384" s="707"/>
      <c r="D384" s="707"/>
      <c r="E384" s="707"/>
      <c r="F384" s="707"/>
      <c r="G384" s="707"/>
      <c r="H384" s="707"/>
      <c r="I384" s="707"/>
      <c r="J384" s="707"/>
      <c r="K384" s="707"/>
      <c r="L384" s="707"/>
      <c r="M384" s="707"/>
      <c r="N384" s="707"/>
      <c r="O384" s="707"/>
      <c r="P384" s="707"/>
      <c r="Q384" s="707"/>
      <c r="R384" s="707"/>
      <c r="S384" s="707"/>
      <c r="T384" s="707"/>
      <c r="U384" s="707"/>
      <c r="V384" s="707"/>
    </row>
    <row r="386" spans="2:20" x14ac:dyDescent="0.3">
      <c r="B386" t="s">
        <v>1013</v>
      </c>
    </row>
    <row r="388" spans="2:20" x14ac:dyDescent="0.3">
      <c r="B388" s="709" t="s">
        <v>900</v>
      </c>
      <c r="C388" s="709"/>
    </row>
    <row r="390" spans="2:20" x14ac:dyDescent="0.3">
      <c r="C390" s="504" t="s">
        <v>797</v>
      </c>
      <c r="D390" s="504">
        <v>2019</v>
      </c>
      <c r="E390" s="504">
        <v>2020</v>
      </c>
      <c r="F390" s="504">
        <v>2025</v>
      </c>
      <c r="G390" s="504">
        <v>2030</v>
      </c>
      <c r="H390" s="504">
        <v>2035</v>
      </c>
      <c r="I390" s="504">
        <v>2040</v>
      </c>
      <c r="J390" s="504">
        <v>2045</v>
      </c>
      <c r="K390" s="504">
        <v>2050</v>
      </c>
    </row>
    <row r="391" spans="2:20" x14ac:dyDescent="0.3">
      <c r="C391" s="504" t="s">
        <v>16</v>
      </c>
      <c r="D391" s="16">
        <v>5.6971323500000004</v>
      </c>
      <c r="E391" s="504"/>
      <c r="F391" s="504"/>
      <c r="G391" s="504"/>
      <c r="H391" s="504"/>
      <c r="I391" s="504"/>
      <c r="J391" s="504"/>
      <c r="K391" s="504"/>
    </row>
    <row r="392" spans="2:20" x14ac:dyDescent="0.3">
      <c r="C392" s="504" t="s">
        <v>1014</v>
      </c>
      <c r="D392" s="504"/>
      <c r="E392" s="504"/>
      <c r="F392" s="504"/>
      <c r="G392" s="504"/>
      <c r="H392" s="504"/>
      <c r="I392" s="504"/>
      <c r="J392" s="504"/>
      <c r="K392" s="504"/>
    </row>
    <row r="395" spans="2:20" x14ac:dyDescent="0.3">
      <c r="B395" s="709" t="s">
        <v>907</v>
      </c>
      <c r="C395" s="709"/>
    </row>
    <row r="397" spans="2:20" ht="36" x14ac:dyDescent="0.3">
      <c r="B397" s="1"/>
      <c r="C397" s="716" t="s">
        <v>494</v>
      </c>
      <c r="D397" s="716"/>
      <c r="E397" s="716"/>
      <c r="F397" s="498" t="s">
        <v>438</v>
      </c>
      <c r="G397" s="498" t="s">
        <v>454</v>
      </c>
      <c r="H397" s="498" t="s">
        <v>440</v>
      </c>
      <c r="I397" s="498" t="s">
        <v>496</v>
      </c>
      <c r="J397" s="498" t="s">
        <v>450</v>
      </c>
      <c r="K397" s="498" t="s">
        <v>451</v>
      </c>
      <c r="L397" s="498" t="s">
        <v>452</v>
      </c>
      <c r="M397" s="498" t="s">
        <v>453</v>
      </c>
      <c r="N397" s="498" t="s">
        <v>443</v>
      </c>
      <c r="O397" s="498" t="s">
        <v>444</v>
      </c>
      <c r="P397" s="498" t="s">
        <v>495</v>
      </c>
      <c r="Q397" s="498" t="s">
        <v>455</v>
      </c>
      <c r="R397" s="498" t="s">
        <v>446</v>
      </c>
      <c r="S397" s="498" t="s">
        <v>447</v>
      </c>
      <c r="T397" s="498" t="s">
        <v>52</v>
      </c>
    </row>
    <row r="398" spans="2:20" x14ac:dyDescent="0.3">
      <c r="B398" s="170"/>
      <c r="C398" s="634" t="s">
        <v>24</v>
      </c>
      <c r="D398" s="634"/>
      <c r="E398" s="634"/>
      <c r="F398" s="171"/>
      <c r="G398" s="171"/>
      <c r="H398" s="171"/>
      <c r="I398" s="171"/>
      <c r="J398" s="171"/>
      <c r="K398" s="171"/>
      <c r="L398" s="171"/>
      <c r="M398" s="171"/>
      <c r="N398" s="171"/>
      <c r="O398" s="171"/>
      <c r="P398" s="192"/>
      <c r="Q398" s="192"/>
      <c r="R398" s="171"/>
      <c r="S398" s="171"/>
      <c r="T398" s="172"/>
    </row>
    <row r="399" spans="2:20" x14ac:dyDescent="0.3">
      <c r="B399" s="175">
        <v>2019</v>
      </c>
      <c r="C399" s="175" t="s">
        <v>1015</v>
      </c>
      <c r="D399" s="175">
        <v>2019</v>
      </c>
      <c r="E399" s="176" t="s">
        <v>910</v>
      </c>
      <c r="F399" s="159">
        <v>0</v>
      </c>
      <c r="G399" s="159">
        <v>0</v>
      </c>
      <c r="H399" s="159">
        <v>1376.6639035451999</v>
      </c>
      <c r="I399" s="159">
        <v>10248.4979486143</v>
      </c>
      <c r="J399" s="159">
        <v>0</v>
      </c>
      <c r="K399" s="159">
        <v>0</v>
      </c>
      <c r="L399" s="159">
        <v>0</v>
      </c>
      <c r="M399" s="159">
        <v>0</v>
      </c>
      <c r="N399" s="159"/>
      <c r="O399" s="159">
        <v>0</v>
      </c>
      <c r="P399" s="159">
        <v>3671.1037427872002</v>
      </c>
      <c r="Q399" s="159">
        <v>0</v>
      </c>
      <c r="R399" s="159">
        <v>0</v>
      </c>
      <c r="S399" s="159">
        <v>0</v>
      </c>
      <c r="T399" s="159">
        <f>SUM(F399:S399)</f>
        <v>15296.265594946701</v>
      </c>
    </row>
    <row r="400" spans="2:20" x14ac:dyDescent="0.3">
      <c r="B400" s="175">
        <v>2025</v>
      </c>
      <c r="C400" s="175" t="s">
        <v>1015</v>
      </c>
      <c r="D400" s="175">
        <v>2025</v>
      </c>
      <c r="E400" s="176" t="s">
        <v>910</v>
      </c>
      <c r="F400" s="515"/>
      <c r="G400" s="515"/>
      <c r="H400" s="515"/>
      <c r="I400" s="515">
        <f>0.44*T400</f>
        <v>6393.8390186877205</v>
      </c>
      <c r="J400" s="515"/>
      <c r="K400" s="515"/>
      <c r="L400" s="515"/>
      <c r="M400" s="515">
        <f>0.096*T400</f>
        <v>1395.019422259139</v>
      </c>
      <c r="N400" s="515"/>
      <c r="O400" s="515"/>
      <c r="P400" s="515">
        <f>0.45*T400</f>
        <v>6539.1535418397143</v>
      </c>
      <c r="Q400" s="515"/>
      <c r="R400" s="515"/>
      <c r="S400" s="515">
        <f>0.01*T400</f>
        <v>145.31452315199365</v>
      </c>
      <c r="T400" s="502">
        <f>T399*0.95</f>
        <v>14531.452315199365</v>
      </c>
    </row>
    <row r="401" spans="2:20" x14ac:dyDescent="0.3">
      <c r="B401" s="175">
        <v>2050</v>
      </c>
      <c r="C401" s="175" t="s">
        <v>1015</v>
      </c>
      <c r="D401" s="175">
        <v>2050</v>
      </c>
      <c r="E401" s="176" t="s">
        <v>910</v>
      </c>
      <c r="F401" s="515"/>
      <c r="G401" s="515"/>
      <c r="H401" s="515"/>
      <c r="I401" s="515"/>
      <c r="J401" s="515"/>
      <c r="K401" s="515"/>
      <c r="L401" s="515"/>
      <c r="M401" s="515">
        <f>0.2*T401</f>
        <v>2753.3278070904066</v>
      </c>
      <c r="N401" s="515"/>
      <c r="O401" s="515"/>
      <c r="P401" s="515">
        <f>0.65*T401</f>
        <v>8948.3153730438207</v>
      </c>
      <c r="Q401" s="515"/>
      <c r="R401" s="515"/>
      <c r="S401" s="515">
        <f>0.15*T401</f>
        <v>2064.9958553178049</v>
      </c>
      <c r="T401" s="502">
        <f>0.9*T399</f>
        <v>13766.639035452032</v>
      </c>
    </row>
    <row r="402" spans="2:20" x14ac:dyDescent="0.3">
      <c r="B402" s="180"/>
      <c r="C402" s="180"/>
      <c r="D402" s="180"/>
      <c r="E402" s="181"/>
      <c r="F402" s="184"/>
      <c r="G402" s="184"/>
      <c r="H402" s="184"/>
      <c r="I402" s="184"/>
      <c r="J402" s="184"/>
      <c r="K402" s="184"/>
      <c r="L402" s="184"/>
      <c r="M402" s="184"/>
      <c r="N402" s="184"/>
      <c r="O402" s="184"/>
      <c r="P402" s="184"/>
      <c r="Q402" s="184"/>
      <c r="R402" s="184"/>
      <c r="S402" s="184"/>
      <c r="T402" s="185"/>
    </row>
    <row r="403" spans="2:20" x14ac:dyDescent="0.3">
      <c r="B403" s="175">
        <v>2019</v>
      </c>
      <c r="C403" s="175" t="s">
        <v>1016</v>
      </c>
      <c r="D403" s="175">
        <v>2019</v>
      </c>
      <c r="E403" s="176" t="s">
        <v>910</v>
      </c>
      <c r="F403" s="503"/>
      <c r="G403" s="503"/>
      <c r="H403" s="503">
        <f>H399/$T399</f>
        <v>8.9999999999999789E-2</v>
      </c>
      <c r="I403" s="503">
        <f t="shared" ref="I403:S403" si="13">I399/$T399</f>
        <v>0.67000000000000071</v>
      </c>
      <c r="J403" s="503">
        <f t="shared" si="13"/>
        <v>0</v>
      </c>
      <c r="K403" s="503">
        <f t="shared" si="13"/>
        <v>0</v>
      </c>
      <c r="L403" s="503">
        <f t="shared" si="13"/>
        <v>0</v>
      </c>
      <c r="M403" s="503">
        <f t="shared" si="13"/>
        <v>0</v>
      </c>
      <c r="N403" s="503">
        <f t="shared" si="13"/>
        <v>0</v>
      </c>
      <c r="O403" s="503">
        <f t="shared" si="13"/>
        <v>0</v>
      </c>
      <c r="P403" s="503">
        <f t="shared" si="13"/>
        <v>0.23999999999999949</v>
      </c>
      <c r="Q403" s="503">
        <f t="shared" si="13"/>
        <v>0</v>
      </c>
      <c r="R403" s="503">
        <f t="shared" si="13"/>
        <v>0</v>
      </c>
      <c r="S403" s="503">
        <f t="shared" si="13"/>
        <v>0</v>
      </c>
      <c r="T403" s="172"/>
    </row>
    <row r="404" spans="2:20" x14ac:dyDescent="0.3">
      <c r="B404" s="175">
        <v>2025</v>
      </c>
      <c r="C404" s="175" t="s">
        <v>1016</v>
      </c>
      <c r="D404" s="175">
        <v>2025</v>
      </c>
      <c r="E404" s="176" t="s">
        <v>910</v>
      </c>
      <c r="F404" s="503"/>
      <c r="G404" s="503"/>
      <c r="H404" s="503">
        <f t="shared" ref="H404:S405" si="14">H400/$T400</f>
        <v>0</v>
      </c>
      <c r="I404" s="503">
        <f t="shared" si="14"/>
        <v>0.44</v>
      </c>
      <c r="J404" s="503">
        <f t="shared" si="14"/>
        <v>0</v>
      </c>
      <c r="K404" s="503">
        <f t="shared" si="14"/>
        <v>0</v>
      </c>
      <c r="L404" s="503">
        <f t="shared" si="14"/>
        <v>0</v>
      </c>
      <c r="M404" s="503">
        <f t="shared" si="14"/>
        <v>9.5999999999999988E-2</v>
      </c>
      <c r="N404" s="503">
        <f t="shared" si="14"/>
        <v>0</v>
      </c>
      <c r="O404" s="503">
        <f t="shared" si="14"/>
        <v>0</v>
      </c>
      <c r="P404" s="503">
        <f t="shared" si="14"/>
        <v>0.45</v>
      </c>
      <c r="Q404" s="503">
        <f t="shared" si="14"/>
        <v>0</v>
      </c>
      <c r="R404" s="503">
        <f t="shared" si="14"/>
        <v>0</v>
      </c>
      <c r="S404" s="503">
        <f t="shared" si="14"/>
        <v>0.01</v>
      </c>
      <c r="T404" s="172"/>
    </row>
    <row r="405" spans="2:20" x14ac:dyDescent="0.3">
      <c r="B405" s="175">
        <v>2050</v>
      </c>
      <c r="C405" s="175" t="s">
        <v>1016</v>
      </c>
      <c r="D405" s="175">
        <v>2050</v>
      </c>
      <c r="E405" s="176" t="s">
        <v>910</v>
      </c>
      <c r="F405" s="503"/>
      <c r="G405" s="503"/>
      <c r="H405" s="503">
        <f t="shared" si="14"/>
        <v>0</v>
      </c>
      <c r="I405" s="503">
        <f t="shared" si="14"/>
        <v>0</v>
      </c>
      <c r="J405" s="503">
        <f t="shared" si="14"/>
        <v>0</v>
      </c>
      <c r="K405" s="503">
        <f t="shared" si="14"/>
        <v>0</v>
      </c>
      <c r="L405" s="503">
        <f t="shared" si="14"/>
        <v>0</v>
      </c>
      <c r="M405" s="503">
        <f t="shared" si="14"/>
        <v>0.2</v>
      </c>
      <c r="N405" s="503">
        <f t="shared" si="14"/>
        <v>0</v>
      </c>
      <c r="O405" s="503">
        <f t="shared" si="14"/>
        <v>0</v>
      </c>
      <c r="P405" s="503">
        <f t="shared" si="14"/>
        <v>0.65</v>
      </c>
      <c r="Q405" s="503">
        <f t="shared" si="14"/>
        <v>0</v>
      </c>
      <c r="R405" s="503">
        <f t="shared" si="14"/>
        <v>0</v>
      </c>
      <c r="S405" s="503">
        <f t="shared" si="14"/>
        <v>0.15</v>
      </c>
      <c r="T405" s="172"/>
    </row>
    <row r="406" spans="2:20" x14ac:dyDescent="0.3">
      <c r="B406" s="180"/>
      <c r="C406" s="180"/>
      <c r="D406" s="180"/>
      <c r="E406" s="181"/>
      <c r="F406" s="184"/>
      <c r="G406" s="184"/>
      <c r="H406" s="184"/>
      <c r="I406" s="184"/>
      <c r="J406" s="184"/>
      <c r="K406" s="184"/>
      <c r="L406" s="184"/>
      <c r="M406" s="184"/>
      <c r="N406" s="184"/>
      <c r="O406" s="184"/>
      <c r="P406" s="184"/>
      <c r="Q406" s="184"/>
      <c r="R406" s="184"/>
      <c r="S406" s="184"/>
      <c r="T406" s="185"/>
    </row>
    <row r="407" spans="2:20" x14ac:dyDescent="0.3">
      <c r="B407" s="175">
        <v>2019</v>
      </c>
      <c r="C407" s="175" t="s">
        <v>1017</v>
      </c>
      <c r="D407" s="175">
        <v>2019</v>
      </c>
      <c r="E407" s="176" t="s">
        <v>910</v>
      </c>
      <c r="F407" s="503"/>
      <c r="G407" s="503"/>
      <c r="H407" s="503"/>
      <c r="I407" s="503"/>
      <c r="J407" s="503"/>
      <c r="K407" s="503"/>
      <c r="L407" s="503"/>
      <c r="M407" s="503"/>
      <c r="N407" s="503"/>
      <c r="O407" s="503"/>
      <c r="P407" s="503"/>
      <c r="Q407" s="503"/>
      <c r="R407" s="503"/>
      <c r="S407" s="503"/>
      <c r="T407" s="172"/>
    </row>
    <row r="408" spans="2:20" x14ac:dyDescent="0.3">
      <c r="B408" s="175">
        <v>2025</v>
      </c>
      <c r="C408" s="175" t="s">
        <v>1017</v>
      </c>
      <c r="D408" s="175">
        <v>2025</v>
      </c>
      <c r="E408" s="176" t="s">
        <v>910</v>
      </c>
      <c r="F408" s="503"/>
      <c r="G408" s="503"/>
      <c r="H408" s="503"/>
      <c r="I408" s="503"/>
      <c r="J408" s="503"/>
      <c r="K408" s="503"/>
      <c r="L408" s="503"/>
      <c r="M408" s="503"/>
      <c r="N408" s="503"/>
      <c r="O408" s="503"/>
      <c r="P408" s="503"/>
      <c r="Q408" s="503"/>
      <c r="R408" s="503"/>
      <c r="S408" s="503"/>
      <c r="T408" s="172"/>
    </row>
    <row r="409" spans="2:20" x14ac:dyDescent="0.3">
      <c r="B409" s="175">
        <v>2050</v>
      </c>
      <c r="C409" s="175" t="s">
        <v>1017</v>
      </c>
      <c r="D409" s="175">
        <v>2050</v>
      </c>
      <c r="E409" s="176" t="s">
        <v>910</v>
      </c>
      <c r="F409" s="503"/>
      <c r="G409" s="503"/>
      <c r="H409" s="503"/>
      <c r="I409" s="503"/>
      <c r="J409" s="503"/>
      <c r="K409" s="503"/>
      <c r="L409" s="503"/>
      <c r="M409" s="503"/>
      <c r="N409" s="503"/>
      <c r="O409" s="503"/>
      <c r="P409" s="503"/>
      <c r="Q409" s="503"/>
      <c r="R409" s="503"/>
      <c r="S409" s="503"/>
      <c r="T409" s="172"/>
    </row>
    <row r="412" spans="2:20" x14ac:dyDescent="0.3">
      <c r="B412" s="709" t="s">
        <v>911</v>
      </c>
      <c r="C412" s="709"/>
    </row>
    <row r="414" spans="2:20" x14ac:dyDescent="0.3">
      <c r="C414" s="504" t="s">
        <v>912</v>
      </c>
      <c r="D414" s="504">
        <v>2019</v>
      </c>
      <c r="E414" s="504">
        <v>2020</v>
      </c>
      <c r="F414" s="504">
        <v>2025</v>
      </c>
      <c r="G414" s="504">
        <v>2030</v>
      </c>
      <c r="H414" s="504">
        <v>2035</v>
      </c>
      <c r="I414" s="504">
        <v>2040</v>
      </c>
      <c r="J414" s="504">
        <v>2045</v>
      </c>
      <c r="K414" s="504">
        <v>2050</v>
      </c>
    </row>
    <row r="415" spans="2:20" x14ac:dyDescent="0.3">
      <c r="C415" s="504" t="s">
        <v>1018</v>
      </c>
      <c r="D415" s="504"/>
      <c r="E415" s="504"/>
      <c r="F415" s="504"/>
      <c r="G415" s="504"/>
      <c r="H415" s="504"/>
      <c r="I415" s="504"/>
      <c r="J415" s="504"/>
      <c r="K415" s="504"/>
    </row>
    <row r="416" spans="2:20" x14ac:dyDescent="0.3">
      <c r="C416" s="504" t="s">
        <v>1019</v>
      </c>
      <c r="D416" s="504"/>
      <c r="E416" s="504"/>
      <c r="F416" s="504"/>
      <c r="G416" s="504"/>
      <c r="H416" s="504"/>
      <c r="I416" s="504"/>
      <c r="J416" s="504"/>
      <c r="K416" s="504"/>
    </row>
    <row r="417" spans="2:11" x14ac:dyDescent="0.3">
      <c r="C417" s="504" t="s">
        <v>1020</v>
      </c>
      <c r="D417" s="504"/>
      <c r="E417" s="504"/>
      <c r="F417" s="504"/>
      <c r="G417" s="504"/>
      <c r="H417" s="504"/>
      <c r="I417" s="504"/>
      <c r="J417" s="504"/>
      <c r="K417" s="504"/>
    </row>
    <row r="418" spans="2:11" x14ac:dyDescent="0.3">
      <c r="D418" t="s">
        <v>1021</v>
      </c>
    </row>
    <row r="420" spans="2:11" x14ac:dyDescent="0.3">
      <c r="B420" s="709" t="s">
        <v>916</v>
      </c>
      <c r="C420" s="709"/>
    </row>
    <row r="422" spans="2:11" x14ac:dyDescent="0.3">
      <c r="C422" s="504" t="s">
        <v>944</v>
      </c>
      <c r="D422" s="504">
        <v>2019</v>
      </c>
      <c r="E422" s="504">
        <v>2020</v>
      </c>
      <c r="F422" s="504">
        <v>2025</v>
      </c>
      <c r="G422" s="504">
        <v>2030</v>
      </c>
      <c r="H422" s="504">
        <v>2035</v>
      </c>
      <c r="I422" s="504">
        <v>2040</v>
      </c>
      <c r="J422" s="504">
        <v>2045</v>
      </c>
      <c r="K422" s="504">
        <v>2050</v>
      </c>
    </row>
    <row r="423" spans="2:11" x14ac:dyDescent="0.3">
      <c r="C423" s="504" t="s">
        <v>1018</v>
      </c>
      <c r="D423" s="517">
        <v>0.61</v>
      </c>
      <c r="E423" s="504"/>
      <c r="F423" s="504"/>
      <c r="G423" s="504"/>
      <c r="H423" s="504"/>
      <c r="I423" s="504"/>
      <c r="J423" s="504"/>
      <c r="K423" s="504"/>
    </row>
    <row r="424" spans="2:11" x14ac:dyDescent="0.3">
      <c r="D424" t="s">
        <v>1022</v>
      </c>
    </row>
    <row r="425" spans="2:11" x14ac:dyDescent="0.3">
      <c r="D425" t="s">
        <v>1023</v>
      </c>
    </row>
    <row r="427" spans="2:11" x14ac:dyDescent="0.3">
      <c r="B427" s="720" t="s">
        <v>922</v>
      </c>
      <c r="C427" s="720"/>
    </row>
    <row r="429" spans="2:11" x14ac:dyDescent="0.3">
      <c r="B429" s="708" t="s">
        <v>950</v>
      </c>
      <c r="C429" s="708"/>
      <c r="D429" s="708"/>
      <c r="E429" s="708"/>
      <c r="F429" s="708"/>
      <c r="G429" s="708"/>
      <c r="H429" s="708"/>
      <c r="I429" s="708"/>
      <c r="J429" s="708"/>
      <c r="K429" s="708"/>
    </row>
    <row r="431" spans="2:11" x14ac:dyDescent="0.3">
      <c r="B431" s="720" t="s">
        <v>924</v>
      </c>
      <c r="C431" s="720"/>
    </row>
    <row r="433" spans="2:22" x14ac:dyDescent="0.3">
      <c r="C433" s="504"/>
      <c r="D433" s="504">
        <v>2019</v>
      </c>
      <c r="E433" s="504">
        <v>2020</v>
      </c>
      <c r="F433" s="504">
        <v>2025</v>
      </c>
      <c r="G433" s="504">
        <v>2030</v>
      </c>
      <c r="H433" s="504">
        <v>2035</v>
      </c>
      <c r="I433" s="504">
        <v>2040</v>
      </c>
      <c r="J433" s="504">
        <v>2045</v>
      </c>
      <c r="K433" s="504">
        <v>2050</v>
      </c>
    </row>
    <row r="434" spans="2:22" x14ac:dyDescent="0.3">
      <c r="C434" s="504" t="s">
        <v>925</v>
      </c>
      <c r="D434" s="504"/>
      <c r="E434" s="504"/>
      <c r="F434" s="504"/>
      <c r="G434" s="504"/>
      <c r="H434" s="504"/>
      <c r="I434" s="504"/>
      <c r="J434" s="504"/>
      <c r="K434" s="504"/>
    </row>
    <row r="435" spans="2:22" x14ac:dyDescent="0.3">
      <c r="C435" s="504" t="s">
        <v>926</v>
      </c>
      <c r="D435" s="504"/>
      <c r="E435" s="504"/>
      <c r="F435" s="504"/>
      <c r="G435" s="504"/>
      <c r="H435" s="504"/>
      <c r="I435" s="504"/>
      <c r="J435" s="504"/>
      <c r="K435" s="504"/>
    </row>
    <row r="436" spans="2:22" x14ac:dyDescent="0.3">
      <c r="C436" s="504" t="s">
        <v>927</v>
      </c>
      <c r="D436" s="504"/>
      <c r="E436" s="504"/>
      <c r="F436" s="504"/>
      <c r="G436" s="504"/>
      <c r="H436" s="504"/>
      <c r="I436" s="504"/>
      <c r="J436" s="504"/>
      <c r="K436" s="504"/>
    </row>
    <row r="438" spans="2:22" x14ac:dyDescent="0.3">
      <c r="C438" t="s">
        <v>1024</v>
      </c>
    </row>
    <row r="442" spans="2:22" ht="23.4" x14ac:dyDescent="0.3">
      <c r="B442" s="706" t="s">
        <v>18</v>
      </c>
      <c r="C442" s="707"/>
      <c r="D442" s="707"/>
      <c r="E442" s="707"/>
      <c r="F442" s="707"/>
      <c r="G442" s="707"/>
      <c r="H442" s="707"/>
      <c r="I442" s="707"/>
      <c r="J442" s="707"/>
      <c r="K442" s="707"/>
      <c r="L442" s="707"/>
      <c r="M442" s="707"/>
      <c r="N442" s="707"/>
      <c r="O442" s="707"/>
      <c r="P442" s="707"/>
      <c r="Q442" s="707"/>
      <c r="R442" s="707"/>
      <c r="S442" s="707"/>
      <c r="T442" s="707"/>
      <c r="U442" s="707"/>
      <c r="V442" s="707"/>
    </row>
    <row r="446" spans="2:22" x14ac:dyDescent="0.3">
      <c r="B446" s="709" t="s">
        <v>900</v>
      </c>
      <c r="C446" s="709"/>
    </row>
    <row r="448" spans="2:22" x14ac:dyDescent="0.3">
      <c r="B448" s="504">
        <v>2020</v>
      </c>
      <c r="C448" s="504">
        <v>2025</v>
      </c>
      <c r="D448" s="504">
        <v>2030</v>
      </c>
      <c r="E448" s="504">
        <v>2035</v>
      </c>
      <c r="F448" s="504">
        <v>2040</v>
      </c>
      <c r="G448" s="504">
        <v>2045</v>
      </c>
      <c r="H448" s="504">
        <v>2050</v>
      </c>
      <c r="I448" s="504" t="s">
        <v>951</v>
      </c>
    </row>
    <row r="450" spans="2:20" ht="36" x14ac:dyDescent="0.3">
      <c r="B450" s="1"/>
      <c r="C450" s="728" t="s">
        <v>494</v>
      </c>
      <c r="D450" s="728"/>
      <c r="E450" s="716"/>
      <c r="F450" s="498" t="s">
        <v>438</v>
      </c>
      <c r="G450" s="498" t="s">
        <v>454</v>
      </c>
      <c r="H450" s="498" t="s">
        <v>440</v>
      </c>
      <c r="I450" s="498" t="s">
        <v>496</v>
      </c>
      <c r="J450" s="498" t="s">
        <v>450</v>
      </c>
      <c r="K450" s="498" t="s">
        <v>451</v>
      </c>
      <c r="L450" s="498" t="s">
        <v>452</v>
      </c>
      <c r="M450" s="498" t="s">
        <v>453</v>
      </c>
      <c r="N450" s="498" t="s">
        <v>443</v>
      </c>
      <c r="O450" s="498" t="s">
        <v>444</v>
      </c>
      <c r="P450" s="498" t="s">
        <v>495</v>
      </c>
      <c r="Q450" s="498" t="s">
        <v>455</v>
      </c>
      <c r="R450" s="498" t="s">
        <v>446</v>
      </c>
      <c r="S450" s="498" t="s">
        <v>447</v>
      </c>
      <c r="T450" s="498" t="s">
        <v>52</v>
      </c>
    </row>
    <row r="451" spans="2:20" x14ac:dyDescent="0.3">
      <c r="B451" s="170"/>
      <c r="C451" s="717" t="s">
        <v>24</v>
      </c>
      <c r="D451" s="718"/>
      <c r="E451" s="719"/>
      <c r="F451" s="171"/>
      <c r="G451" s="171"/>
      <c r="H451" s="171"/>
      <c r="I451" s="171"/>
      <c r="J451" s="171"/>
      <c r="K451" s="171"/>
      <c r="L451" s="171"/>
      <c r="M451" s="171"/>
      <c r="N451" s="171"/>
      <c r="O451" s="171"/>
      <c r="P451" s="192"/>
      <c r="Q451" s="192"/>
      <c r="R451" s="171"/>
      <c r="S451" s="171"/>
      <c r="T451" s="172"/>
    </row>
    <row r="452" spans="2:20" x14ac:dyDescent="0.3">
      <c r="B452" s="175">
        <v>2019</v>
      </c>
      <c r="C452" s="175" t="s">
        <v>18</v>
      </c>
      <c r="D452" s="175">
        <v>2019</v>
      </c>
      <c r="E452" s="176" t="s">
        <v>910</v>
      </c>
      <c r="F452" s="159">
        <v>1906.6484837999999</v>
      </c>
      <c r="G452" s="159">
        <v>0</v>
      </c>
      <c r="H452" s="159">
        <v>922.57184700000005</v>
      </c>
      <c r="I452" s="159">
        <v>6868.0348610000001</v>
      </c>
      <c r="J452" s="159">
        <v>41.003193199999998</v>
      </c>
      <c r="K452" s="159">
        <v>0</v>
      </c>
      <c r="L452" s="159">
        <v>0</v>
      </c>
      <c r="M452" s="159">
        <v>0</v>
      </c>
      <c r="N452" s="159"/>
      <c r="O452" s="159">
        <v>0</v>
      </c>
      <c r="P452" s="159">
        <v>512.53991499999995</v>
      </c>
      <c r="Q452" s="159">
        <v>0</v>
      </c>
      <c r="R452" s="159">
        <v>0</v>
      </c>
      <c r="S452" s="159">
        <v>0</v>
      </c>
      <c r="T452" s="159">
        <v>10250.7983</v>
      </c>
    </row>
    <row r="453" spans="2:20" x14ac:dyDescent="0.3">
      <c r="B453" s="175">
        <v>2025</v>
      </c>
      <c r="C453" s="175" t="s">
        <v>18</v>
      </c>
      <c r="D453" s="175">
        <v>2025</v>
      </c>
      <c r="E453" s="176" t="s">
        <v>910</v>
      </c>
      <c r="F453" s="503"/>
      <c r="G453" s="503"/>
      <c r="H453" s="503"/>
      <c r="I453" s="503"/>
      <c r="J453" s="503"/>
      <c r="K453" s="503"/>
      <c r="L453" s="503"/>
      <c r="M453" s="503"/>
      <c r="N453" s="503"/>
      <c r="O453" s="503"/>
      <c r="P453" s="503"/>
      <c r="Q453" s="503"/>
      <c r="R453" s="503"/>
      <c r="S453" s="503"/>
      <c r="T453" s="172"/>
    </row>
    <row r="454" spans="2:20" x14ac:dyDescent="0.3">
      <c r="B454" s="175">
        <v>2050</v>
      </c>
      <c r="C454" s="175" t="s">
        <v>18</v>
      </c>
      <c r="D454" s="175">
        <v>2050</v>
      </c>
      <c r="E454" s="176" t="s">
        <v>910</v>
      </c>
      <c r="F454" s="503"/>
      <c r="G454" s="503"/>
      <c r="H454" s="503"/>
      <c r="I454" s="503"/>
      <c r="J454" s="503"/>
      <c r="K454" s="503"/>
      <c r="L454" s="503"/>
      <c r="M454" s="503"/>
      <c r="N454" s="503"/>
      <c r="O454" s="503"/>
      <c r="P454" s="503"/>
      <c r="Q454" s="503"/>
      <c r="R454" s="503"/>
      <c r="S454" s="503"/>
      <c r="T454" s="172"/>
    </row>
    <row r="457" spans="2:20" x14ac:dyDescent="0.3">
      <c r="B457" s="709" t="s">
        <v>911</v>
      </c>
      <c r="C457" s="709"/>
    </row>
    <row r="459" spans="2:20" x14ac:dyDescent="0.3">
      <c r="C459" s="504" t="s">
        <v>912</v>
      </c>
      <c r="D459" s="504">
        <v>2019</v>
      </c>
      <c r="E459" s="504">
        <v>2020</v>
      </c>
      <c r="F459" s="504">
        <v>2025</v>
      </c>
      <c r="G459" s="504">
        <v>2030</v>
      </c>
      <c r="H459" s="504">
        <v>2035</v>
      </c>
      <c r="I459" s="504">
        <v>2040</v>
      </c>
      <c r="J459" s="504">
        <v>2045</v>
      </c>
      <c r="K459" s="504">
        <v>2050</v>
      </c>
    </row>
    <row r="460" spans="2:20" x14ac:dyDescent="0.3">
      <c r="C460" s="504" t="s">
        <v>18</v>
      </c>
      <c r="D460" s="504"/>
      <c r="E460" s="504"/>
      <c r="F460" s="504"/>
      <c r="G460" s="504"/>
      <c r="H460" s="504"/>
      <c r="I460" s="504"/>
      <c r="J460" s="504"/>
      <c r="K460" s="504"/>
    </row>
    <row r="462" spans="2:20" x14ac:dyDescent="0.3">
      <c r="B462" s="528"/>
      <c r="C462" s="528"/>
    </row>
    <row r="463" spans="2:20" x14ac:dyDescent="0.3">
      <c r="B463" s="709" t="s">
        <v>916</v>
      </c>
      <c r="C463" s="709"/>
    </row>
    <row r="465" spans="2:11" x14ac:dyDescent="0.3">
      <c r="C465" t="s">
        <v>978</v>
      </c>
    </row>
    <row r="468" spans="2:11" x14ac:dyDescent="0.3">
      <c r="B468" s="720" t="s">
        <v>922</v>
      </c>
      <c r="C468" s="720"/>
    </row>
    <row r="470" spans="2:11" x14ac:dyDescent="0.3">
      <c r="B470" s="708" t="s">
        <v>1025</v>
      </c>
      <c r="C470" s="708"/>
      <c r="D470" s="708"/>
      <c r="E470" s="708"/>
      <c r="F470" s="708"/>
      <c r="G470" s="708"/>
      <c r="H470" s="708"/>
      <c r="I470" s="708"/>
      <c r="J470" s="708"/>
      <c r="K470" s="708"/>
    </row>
    <row r="472" spans="2:11" x14ac:dyDescent="0.3">
      <c r="B472" s="720" t="s">
        <v>924</v>
      </c>
      <c r="C472" s="720"/>
    </row>
    <row r="474" spans="2:11" x14ac:dyDescent="0.3">
      <c r="C474" s="504"/>
      <c r="D474" s="504">
        <v>2019</v>
      </c>
      <c r="E474" s="504">
        <v>2020</v>
      </c>
      <c r="F474" s="504">
        <v>2025</v>
      </c>
      <c r="G474" s="504">
        <v>2030</v>
      </c>
      <c r="H474" s="504">
        <v>2035</v>
      </c>
      <c r="I474" s="504">
        <v>2040</v>
      </c>
      <c r="J474" s="504">
        <v>2045</v>
      </c>
      <c r="K474" s="504">
        <v>2050</v>
      </c>
    </row>
    <row r="475" spans="2:11" x14ac:dyDescent="0.3">
      <c r="C475" s="504" t="s">
        <v>925</v>
      </c>
      <c r="D475" s="504"/>
      <c r="E475" s="504"/>
      <c r="F475" s="504"/>
      <c r="G475" s="504"/>
      <c r="H475" s="504"/>
      <c r="I475" s="504"/>
      <c r="J475" s="504"/>
      <c r="K475" s="504"/>
    </row>
    <row r="476" spans="2:11" x14ac:dyDescent="0.3">
      <c r="C476" s="504" t="s">
        <v>926</v>
      </c>
      <c r="D476" s="504"/>
      <c r="E476" s="504"/>
      <c r="F476" s="504"/>
      <c r="G476" s="504"/>
      <c r="H476" s="504"/>
      <c r="I476" s="504"/>
      <c r="J476" s="504"/>
      <c r="K476" s="504"/>
    </row>
    <row r="477" spans="2:11" x14ac:dyDescent="0.3">
      <c r="C477" s="504" t="s">
        <v>927</v>
      </c>
      <c r="D477" s="504"/>
      <c r="E477" s="504"/>
      <c r="F477" s="504"/>
      <c r="G477" s="504"/>
      <c r="H477" s="504"/>
      <c r="I477" s="504"/>
      <c r="J477" s="504"/>
      <c r="K477" s="504"/>
    </row>
  </sheetData>
  <mergeCells count="85">
    <mergeCell ref="B470:K470"/>
    <mergeCell ref="B472:C472"/>
    <mergeCell ref="B442:V442"/>
    <mergeCell ref="B446:C446"/>
    <mergeCell ref="C450:E450"/>
    <mergeCell ref="C451:E451"/>
    <mergeCell ref="B457:C457"/>
    <mergeCell ref="B463:C463"/>
    <mergeCell ref="B468:C468"/>
    <mergeCell ref="B372:C372"/>
    <mergeCell ref="B374:K374"/>
    <mergeCell ref="B420:C420"/>
    <mergeCell ref="B427:C427"/>
    <mergeCell ref="C343:E343"/>
    <mergeCell ref="B357:C357"/>
    <mergeCell ref="B365:C365"/>
    <mergeCell ref="B429:K429"/>
    <mergeCell ref="B376:C376"/>
    <mergeCell ref="B431:C431"/>
    <mergeCell ref="B384:V384"/>
    <mergeCell ref="B388:C388"/>
    <mergeCell ref="B395:C395"/>
    <mergeCell ref="C397:E397"/>
    <mergeCell ref="C398:E398"/>
    <mergeCell ref="B412:C412"/>
    <mergeCell ref="B340:C340"/>
    <mergeCell ref="C342:E342"/>
    <mergeCell ref="A258:A261"/>
    <mergeCell ref="B317:C317"/>
    <mergeCell ref="B283:S283"/>
    <mergeCell ref="B287:C287"/>
    <mergeCell ref="B293:C293"/>
    <mergeCell ref="B333:C333"/>
    <mergeCell ref="B329:V329"/>
    <mergeCell ref="C295:E295"/>
    <mergeCell ref="C296:E296"/>
    <mergeCell ref="B302:C302"/>
    <mergeCell ref="B308:C308"/>
    <mergeCell ref="B313:C313"/>
    <mergeCell ref="B315:K315"/>
    <mergeCell ref="B247:C247"/>
    <mergeCell ref="B243:K243"/>
    <mergeCell ref="C223:E223"/>
    <mergeCell ref="C224:E224"/>
    <mergeCell ref="B230:C230"/>
    <mergeCell ref="B177:C177"/>
    <mergeCell ref="B183:C183"/>
    <mergeCell ref="B207:T207"/>
    <mergeCell ref="B236:C236"/>
    <mergeCell ref="B241:C241"/>
    <mergeCell ref="B192:C192"/>
    <mergeCell ref="B196:C196"/>
    <mergeCell ref="B211:C211"/>
    <mergeCell ref="B221:C221"/>
    <mergeCell ref="B150:C150"/>
    <mergeCell ref="B168:C168"/>
    <mergeCell ref="C170:E170"/>
    <mergeCell ref="C171:E171"/>
    <mergeCell ref="B146:T146"/>
    <mergeCell ref="B68:C68"/>
    <mergeCell ref="B83:C83"/>
    <mergeCell ref="B92:C92"/>
    <mergeCell ref="C94:E94"/>
    <mergeCell ref="C95:E95"/>
    <mergeCell ref="B79:U79"/>
    <mergeCell ref="B112:C112"/>
    <mergeCell ref="B120:C120"/>
    <mergeCell ref="B130:C130"/>
    <mergeCell ref="B132:K132"/>
    <mergeCell ref="B134:C134"/>
    <mergeCell ref="C125:K125"/>
    <mergeCell ref="C131:H131"/>
    <mergeCell ref="J131:S131"/>
    <mergeCell ref="B3:T3"/>
    <mergeCell ref="B66:K66"/>
    <mergeCell ref="B7:C7"/>
    <mergeCell ref="C9:J9"/>
    <mergeCell ref="B11:B14"/>
    <mergeCell ref="B19:C19"/>
    <mergeCell ref="C21:E21"/>
    <mergeCell ref="C22:E22"/>
    <mergeCell ref="B44:C44"/>
    <mergeCell ref="B53:C53"/>
    <mergeCell ref="C54:J54"/>
    <mergeCell ref="B64:C6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A6099"/>
  </sheetPr>
  <dimension ref="A2:AML58"/>
  <sheetViews>
    <sheetView zoomScale="70" zoomScaleNormal="70" workbookViewId="0">
      <selection activeCell="AA34" sqref="AA34"/>
    </sheetView>
  </sheetViews>
  <sheetFormatPr baseColWidth="10" defaultColWidth="8.6640625" defaultRowHeight="14.4" x14ac:dyDescent="0.3"/>
  <cols>
    <col min="1" max="1" width="8.44140625" style="1" customWidth="1"/>
    <col min="2" max="2" width="19.44140625" style="1" customWidth="1"/>
    <col min="3" max="1026" width="8.44140625" style="1" customWidth="1"/>
  </cols>
  <sheetData>
    <row r="2" spans="2:23" x14ac:dyDescent="0.3">
      <c r="B2" s="664" t="s">
        <v>0</v>
      </c>
      <c r="C2" s="664"/>
      <c r="D2" s="664"/>
      <c r="E2" s="664"/>
      <c r="F2" s="664"/>
      <c r="G2" s="664"/>
    </row>
    <row r="4" spans="2:23" x14ac:dyDescent="0.3">
      <c r="B4" s="661" t="s">
        <v>1</v>
      </c>
      <c r="C4" s="661"/>
    </row>
    <row r="5" spans="2:23" ht="15" thickBot="1" x14ac:dyDescent="0.35">
      <c r="E5" s="3"/>
      <c r="F5" s="3"/>
      <c r="G5" s="3"/>
      <c r="H5" s="3"/>
      <c r="I5" s="3"/>
      <c r="J5" s="3"/>
    </row>
    <row r="6" spans="2:23" x14ac:dyDescent="0.3">
      <c r="C6" s="665" t="s">
        <v>2</v>
      </c>
      <c r="D6" s="666"/>
      <c r="E6" s="666"/>
      <c r="F6" s="666"/>
      <c r="G6" s="666"/>
      <c r="H6" s="666"/>
      <c r="I6" s="667"/>
      <c r="J6" s="662" t="s">
        <v>3</v>
      </c>
      <c r="K6" s="662"/>
      <c r="L6" s="662"/>
      <c r="M6" s="662"/>
      <c r="N6" s="662"/>
      <c r="O6" s="662"/>
      <c r="P6" s="662"/>
      <c r="Q6" s="663" t="s">
        <v>4</v>
      </c>
      <c r="R6" s="663"/>
      <c r="S6" s="663"/>
      <c r="T6" s="663"/>
      <c r="U6" s="663"/>
      <c r="V6" s="663"/>
      <c r="W6" s="663"/>
    </row>
    <row r="7" spans="2:23" x14ac:dyDescent="0.3">
      <c r="B7" s="1" t="s">
        <v>5</v>
      </c>
      <c r="C7" s="4">
        <v>2015</v>
      </c>
      <c r="D7" s="5">
        <v>2016</v>
      </c>
      <c r="E7" s="5">
        <v>2017</v>
      </c>
      <c r="F7" s="5">
        <v>2018</v>
      </c>
      <c r="G7" s="5">
        <v>2019</v>
      </c>
      <c r="H7" s="5">
        <v>2020</v>
      </c>
      <c r="I7" s="412">
        <v>2021</v>
      </c>
      <c r="J7" s="4">
        <v>2023</v>
      </c>
      <c r="K7" s="5">
        <v>2025</v>
      </c>
      <c r="L7" s="5">
        <v>2030</v>
      </c>
      <c r="M7" s="5">
        <v>2035</v>
      </c>
      <c r="N7" s="5">
        <v>2040</v>
      </c>
      <c r="O7" s="5">
        <v>2045</v>
      </c>
      <c r="P7" s="6">
        <v>2050</v>
      </c>
      <c r="Q7" s="481">
        <v>2023</v>
      </c>
      <c r="R7" s="470">
        <v>2025</v>
      </c>
      <c r="S7" s="470">
        <v>2030</v>
      </c>
      <c r="T7" s="470">
        <v>2035</v>
      </c>
      <c r="U7" s="470">
        <v>2040</v>
      </c>
      <c r="V7" s="470">
        <v>2045</v>
      </c>
      <c r="W7" s="482">
        <v>2050</v>
      </c>
    </row>
    <row r="8" spans="2:23" x14ac:dyDescent="0.3">
      <c r="B8" s="7" t="s">
        <v>6</v>
      </c>
      <c r="C8" s="4">
        <f>IGCE!C7</f>
        <v>15.09</v>
      </c>
      <c r="D8" s="4">
        <f>IGCE!D7</f>
        <v>14.45</v>
      </c>
      <c r="E8" s="4">
        <f>IGCE!E7</f>
        <v>15.6</v>
      </c>
      <c r="F8" s="4">
        <f>IGCE!F7</f>
        <v>15.45</v>
      </c>
      <c r="G8" s="4">
        <f>IGCE!G7</f>
        <v>14.59</v>
      </c>
      <c r="H8" s="4">
        <f>IGCE!H7</f>
        <v>11.59</v>
      </c>
      <c r="I8" s="4">
        <f>IGCE!I7</f>
        <v>13.542000000000002</v>
      </c>
      <c r="J8" s="4">
        <v>14.2</v>
      </c>
      <c r="K8" s="8">
        <f>IGCE!F101</f>
        <v>14.5663125767295</v>
      </c>
      <c r="L8" s="8">
        <f>IGCE!G101</f>
        <v>14.546573057337417</v>
      </c>
      <c r="M8" s="8">
        <f>IGCE!H101</f>
        <v>14.745979760310806</v>
      </c>
      <c r="N8" s="8">
        <f>IGCE!I101</f>
        <v>14.945386463284192</v>
      </c>
      <c r="O8" s="8">
        <f>IGCE!J101</f>
        <v>15.144793166257578</v>
      </c>
      <c r="P8" s="9">
        <f>IGCE!K101</f>
        <v>15.344199869230966</v>
      </c>
      <c r="Q8" s="586">
        <f>I8+(R8-I8)/2</f>
        <v>14.3598897991637</v>
      </c>
      <c r="R8" s="474">
        <f>IGCE!F120</f>
        <v>15.177779598327399</v>
      </c>
      <c r="S8" s="474">
        <f>IGCE!G120</f>
        <v>15.057539647831272</v>
      </c>
      <c r="T8" s="474">
        <f>IGCE!H120</f>
        <v>15.118732156262196</v>
      </c>
      <c r="U8" s="474">
        <f>IGCE!I120</f>
        <v>15.244137487837913</v>
      </c>
      <c r="V8" s="474">
        <f>IGCE!J120</f>
        <v>15.204751098586414</v>
      </c>
      <c r="W8" s="483">
        <f>IGCE!K120</f>
        <v>15.325228519957239</v>
      </c>
    </row>
    <row r="9" spans="2:23" x14ac:dyDescent="0.3">
      <c r="B9" s="7" t="s">
        <v>7</v>
      </c>
      <c r="C9" s="4">
        <f>IGCE!C8</f>
        <v>9.99</v>
      </c>
      <c r="D9" s="4">
        <f>IGCE!D8</f>
        <v>9.59</v>
      </c>
      <c r="E9" s="4">
        <f>IGCE!E8</f>
        <v>10.73</v>
      </c>
      <c r="F9" s="4">
        <f>IGCE!F8</f>
        <v>10.6</v>
      </c>
      <c r="G9" s="4">
        <f>IGCE!G8</f>
        <v>10.129999999999999</v>
      </c>
      <c r="H9" s="4">
        <f>IGCE!H8</f>
        <v>7.8699999999999992</v>
      </c>
      <c r="I9" s="4">
        <f>IGCE!I8</f>
        <v>8.9380000000000006</v>
      </c>
      <c r="J9" s="4">
        <v>9.6</v>
      </c>
      <c r="K9" s="8">
        <f>IGCE!F102</f>
        <v>9.652101579685322</v>
      </c>
      <c r="L9" s="8">
        <f>IGCE!G102</f>
        <v>9.1781949052247978</v>
      </c>
      <c r="M9" s="8">
        <f>IGCE!H102</f>
        <v>9.2162373501942554</v>
      </c>
      <c r="N9" s="8">
        <f>IGCE!I102</f>
        <v>9.2519059058425963</v>
      </c>
      <c r="O9" s="8">
        <f>IGCE!J102</f>
        <v>9.2852005721698241</v>
      </c>
      <c r="P9" s="9">
        <f>IGCE!K102</f>
        <v>9.316121349175944</v>
      </c>
      <c r="Q9" s="586">
        <f>I9+(R9-I9)/2</f>
        <v>8.8668841613870519</v>
      </c>
      <c r="R9" s="474">
        <f>IGCE!F121</f>
        <v>8.795768322774105</v>
      </c>
      <c r="S9" s="474">
        <f>IGCE!G121</f>
        <v>5.2457955214314094</v>
      </c>
      <c r="T9" s="474">
        <f>IGCE!H121</f>
        <v>3.2393509847532673</v>
      </c>
      <c r="U9" s="474">
        <f>IGCE!I121</f>
        <v>3.3035465711551231</v>
      </c>
      <c r="V9" s="474">
        <f>IGCE!J121</f>
        <v>0</v>
      </c>
      <c r="W9" s="483">
        <f>IGCE!K121</f>
        <v>0</v>
      </c>
    </row>
    <row r="10" spans="2:23" x14ac:dyDescent="0.3">
      <c r="B10" s="7" t="s">
        <v>8</v>
      </c>
      <c r="C10" s="4">
        <f>IGCE!C9</f>
        <v>5.0999999999999996</v>
      </c>
      <c r="D10" s="4">
        <f>IGCE!D9</f>
        <v>4.8600000000000003</v>
      </c>
      <c r="E10" s="4">
        <f>IGCE!E9</f>
        <v>4.87</v>
      </c>
      <c r="F10" s="4">
        <f>IGCE!F9</f>
        <v>4.8499999999999996</v>
      </c>
      <c r="G10" s="4">
        <f>IGCE!G9</f>
        <v>4.46</v>
      </c>
      <c r="H10" s="4">
        <f>IGCE!H9</f>
        <v>3.72</v>
      </c>
      <c r="I10" s="4">
        <f>IGCE!I9</f>
        <v>4.6040000000000001</v>
      </c>
      <c r="J10" s="4">
        <v>4.5999999999999996</v>
      </c>
      <c r="K10" s="8">
        <f>IGCE!F103</f>
        <v>4.9142109970441776</v>
      </c>
      <c r="L10" s="8">
        <f>IGCE!G103</f>
        <v>5.3683781521126193</v>
      </c>
      <c r="M10" s="8">
        <f>IGCE!H103</f>
        <v>5.5297424101165511</v>
      </c>
      <c r="N10" s="8">
        <f>IGCE!I103</f>
        <v>5.6934805574415961</v>
      </c>
      <c r="O10" s="8">
        <f>IGCE!J103</f>
        <v>5.8595925940877542</v>
      </c>
      <c r="P10" s="9">
        <f>IGCE!K103</f>
        <v>6.028078520055022</v>
      </c>
      <c r="Q10" s="586">
        <f>I10+(R10-I10)/2</f>
        <v>5.1930056377766469</v>
      </c>
      <c r="R10" s="474">
        <f>IGCE!F122</f>
        <v>5.7820112755532946</v>
      </c>
      <c r="S10" s="474">
        <f>IGCE!G122</f>
        <v>6.8117441263998622</v>
      </c>
      <c r="T10" s="474">
        <f>IGCE!H122</f>
        <v>7.3793811715089284</v>
      </c>
      <c r="U10" s="474">
        <f>IGCE!I122</f>
        <v>7.4405909166827904</v>
      </c>
      <c r="V10" s="474">
        <f>IGCE!J122</f>
        <v>9.2047510985864136</v>
      </c>
      <c r="W10" s="483">
        <f>IGCE!K122</f>
        <v>9.3252285199572391</v>
      </c>
    </row>
    <row r="11" spans="2:23" x14ac:dyDescent="0.3">
      <c r="B11" s="7" t="s">
        <v>9</v>
      </c>
      <c r="C11" s="4">
        <v>0</v>
      </c>
      <c r="D11" s="4">
        <v>0</v>
      </c>
      <c r="E11" s="4">
        <v>0</v>
      </c>
      <c r="F11" s="4">
        <v>0</v>
      </c>
      <c r="G11" s="4">
        <v>0</v>
      </c>
      <c r="H11" s="4">
        <v>0</v>
      </c>
      <c r="I11" s="4">
        <v>0</v>
      </c>
      <c r="J11" s="4">
        <v>0</v>
      </c>
      <c r="K11" s="8">
        <f>IGCE!F104</f>
        <v>0</v>
      </c>
      <c r="L11" s="8">
        <f>IGCE!G104</f>
        <v>0</v>
      </c>
      <c r="M11" s="8">
        <f>IGCE!H104</f>
        <v>0</v>
      </c>
      <c r="N11" s="8">
        <f>IGCE!I104</f>
        <v>0</v>
      </c>
      <c r="O11" s="8">
        <f>IGCE!J104</f>
        <v>0</v>
      </c>
      <c r="P11" s="9">
        <f>IGCE!K104</f>
        <v>0</v>
      </c>
      <c r="Q11" s="586">
        <v>0</v>
      </c>
      <c r="R11" s="474">
        <f>IGCE!F123</f>
        <v>0.6</v>
      </c>
      <c r="S11" s="474">
        <f>IGCE!G123</f>
        <v>3</v>
      </c>
      <c r="T11" s="474">
        <f>IGCE!H123</f>
        <v>4.5</v>
      </c>
      <c r="U11" s="474">
        <f>IGCE!I123</f>
        <v>4.5</v>
      </c>
      <c r="V11" s="474">
        <f>IGCE!J123</f>
        <v>6</v>
      </c>
      <c r="W11" s="483">
        <f>IGCE!K123</f>
        <v>6</v>
      </c>
    </row>
    <row r="12" spans="2:23" x14ac:dyDescent="0.3">
      <c r="B12" s="7" t="s">
        <v>10</v>
      </c>
      <c r="C12" s="4">
        <f>IGCE!C11</f>
        <v>0.89300000000000002</v>
      </c>
      <c r="D12" s="4">
        <f>IGCE!D11</f>
        <v>0.91800000000000004</v>
      </c>
      <c r="E12" s="4">
        <f>IGCE!E11</f>
        <v>0.94199999999999995</v>
      </c>
      <c r="F12" s="4">
        <f>IGCE!F11</f>
        <v>0.878</v>
      </c>
      <c r="G12" s="4">
        <f>IGCE!G11</f>
        <v>0.89400000000000002</v>
      </c>
      <c r="H12" s="4">
        <f>IGCE!H11</f>
        <v>0.80227758163561269</v>
      </c>
      <c r="I12" s="4">
        <f>IGCE!I11</f>
        <v>0.79959713998695459</v>
      </c>
      <c r="J12" s="4">
        <v>0.9</v>
      </c>
      <c r="K12" s="8">
        <f>IGCE!F105</f>
        <v>0.97003599155980225</v>
      </c>
      <c r="L12" s="8">
        <f>IGCE!G105</f>
        <v>1.0333993178596366</v>
      </c>
      <c r="M12" s="8">
        <f>IGCE!H105</f>
        <v>1.1157722139220803</v>
      </c>
      <c r="N12" s="8">
        <f>IGCE!I105</f>
        <v>1.1981451099845239</v>
      </c>
      <c r="O12" s="8">
        <f>IGCE!J105</f>
        <v>1.2805180060469674</v>
      </c>
      <c r="P12" s="9">
        <f>IGCE!K105</f>
        <v>1.3628909021094111</v>
      </c>
      <c r="Q12" s="586">
        <f>I12+(R12-I12)/2</f>
        <v>0.89751238426030922</v>
      </c>
      <c r="R12" s="474">
        <f>IGCE!F124</f>
        <v>0.99542762853366373</v>
      </c>
      <c r="S12" s="474">
        <f>IGCE!G124</f>
        <v>1.1218831977454322</v>
      </c>
      <c r="T12" s="474">
        <f>IGCE!H124</f>
        <v>1.3021046884749281</v>
      </c>
      <c r="U12" s="474">
        <f>IGCE!I124</f>
        <v>1.4952795663656484</v>
      </c>
      <c r="V12" s="474">
        <f>IGCE!J124</f>
        <v>1.7014078314175929</v>
      </c>
      <c r="W12" s="483">
        <f>IGCE!K124</f>
        <v>1.9204894836307616</v>
      </c>
    </row>
    <row r="13" spans="2:23" x14ac:dyDescent="0.3">
      <c r="B13" s="10" t="s">
        <v>11</v>
      </c>
      <c r="C13" s="11">
        <f>IGCE!C12</f>
        <v>0.47199999999999998</v>
      </c>
      <c r="D13" s="11">
        <f>IGCE!D12</f>
        <v>0.48799999999999999</v>
      </c>
      <c r="E13" s="11">
        <f>IGCE!E12</f>
        <v>0.50800000000000001</v>
      </c>
      <c r="F13" s="11">
        <f>IGCE!F12</f>
        <v>0.496</v>
      </c>
      <c r="G13" s="11">
        <f>IGCE!G12</f>
        <v>0.47599999999999998</v>
      </c>
      <c r="H13" s="11">
        <f>IGCE!H12</f>
        <v>0.40100000000000002</v>
      </c>
      <c r="I13" s="11">
        <f>IGCE!I12</f>
        <v>0.42599999999999999</v>
      </c>
      <c r="J13" s="4">
        <v>0.42</v>
      </c>
      <c r="K13" s="13">
        <f>IGCE!F106</f>
        <v>0.52133466763393566</v>
      </c>
      <c r="L13" s="13">
        <f>IGCE!G106</f>
        <v>0.56055555391817957</v>
      </c>
      <c r="M13" s="13">
        <f>IGCE!H106</f>
        <v>0.61360607395270861</v>
      </c>
      <c r="N13" s="13">
        <f>IGCE!I106</f>
        <v>0.66789218742817447</v>
      </c>
      <c r="O13" s="13">
        <f>IGCE!J106</f>
        <v>0.72341389434457681</v>
      </c>
      <c r="P13" s="14">
        <f>IGCE!K106</f>
        <v>0.78017119470191576</v>
      </c>
      <c r="Q13" s="586">
        <f t="shared" ref="Q13:Q20" si="0">I13+(R13-I13)/2</f>
        <v>0.49481513733989979</v>
      </c>
      <c r="R13" s="484">
        <f>IGCE!F125</f>
        <v>0.56363027467979954</v>
      </c>
      <c r="S13" s="484">
        <f>IGCE!G125</f>
        <v>0.67312991864725935</v>
      </c>
      <c r="T13" s="484">
        <f>IGCE!H125</f>
        <v>0.81381543029683012</v>
      </c>
      <c r="U13" s="484">
        <f>IGCE!I125</f>
        <v>0.97193171813767132</v>
      </c>
      <c r="V13" s="484">
        <f>IGCE!J125</f>
        <v>1.1484502862068751</v>
      </c>
      <c r="W13" s="485">
        <f>IGCE!K125</f>
        <v>1.3443426385415329</v>
      </c>
    </row>
    <row r="14" spans="2:23" x14ac:dyDescent="0.3">
      <c r="B14" s="7" t="s">
        <v>12</v>
      </c>
      <c r="C14" s="4">
        <f>IGCE!C15</f>
        <v>2.5099999999999998</v>
      </c>
      <c r="D14" s="4">
        <f>IGCE!D15</f>
        <v>2.2400000000000002</v>
      </c>
      <c r="E14" s="4">
        <f>IGCE!E15</f>
        <v>2.59</v>
      </c>
      <c r="F14" s="4">
        <f>IGCE!F15</f>
        <v>2.16</v>
      </c>
      <c r="G14" s="4">
        <f>IGCE!G15</f>
        <v>2.34</v>
      </c>
      <c r="H14" s="4">
        <f>IGCE!H15</f>
        <v>2.27</v>
      </c>
      <c r="I14" s="4">
        <f>IGCE!I15</f>
        <v>2.3140000000000001</v>
      </c>
      <c r="J14" s="4">
        <v>2.25</v>
      </c>
      <c r="K14" s="13">
        <f>IGCE!F107</f>
        <v>2.1309733942250184</v>
      </c>
      <c r="L14" s="13">
        <f>IGCE!G107</f>
        <v>1.9567845560792039</v>
      </c>
      <c r="M14" s="13">
        <f>IGCE!H107</f>
        <v>1.7956983450554393</v>
      </c>
      <c r="N14" s="13">
        <f>IGCE!I107</f>
        <v>1.6346121340316748</v>
      </c>
      <c r="O14" s="13">
        <f>IGCE!J107</f>
        <v>1.4735259230079101</v>
      </c>
      <c r="P14" s="14">
        <f>IGCE!K107</f>
        <v>1.3124397119841458</v>
      </c>
      <c r="Q14" s="586">
        <f t="shared" si="0"/>
        <v>2.2643450283866962</v>
      </c>
      <c r="R14" s="484">
        <f>IGCE!F126</f>
        <v>2.2146900567733927</v>
      </c>
      <c r="S14" s="484">
        <f>IGCE!G126</f>
        <v>2.0626037651144449</v>
      </c>
      <c r="T14" s="484">
        <f>IGCE!H126</f>
        <v>2.0137179110739396</v>
      </c>
      <c r="U14" s="484">
        <f>IGCE!I126</f>
        <v>1.9337521834777185</v>
      </c>
      <c r="V14" s="484">
        <f>IGCE!J126</f>
        <v>1.8089472435964005</v>
      </c>
      <c r="W14" s="485">
        <f>IGCE!K126</f>
        <v>1.764486020579539</v>
      </c>
    </row>
    <row r="15" spans="2:23" x14ac:dyDescent="0.3">
      <c r="B15" s="7" t="s">
        <v>13</v>
      </c>
      <c r="C15" s="4">
        <f>IGCE!C16</f>
        <v>0.92</v>
      </c>
      <c r="D15" s="4">
        <f>IGCE!D16</f>
        <v>0.92</v>
      </c>
      <c r="E15" s="4">
        <f>IGCE!E16</f>
        <v>0.97</v>
      </c>
      <c r="F15" s="4">
        <f>IGCE!F16</f>
        <v>0.89</v>
      </c>
      <c r="G15" s="4">
        <f>IGCE!G16</f>
        <v>0.96</v>
      </c>
      <c r="H15" s="4">
        <f>IGCE!H16</f>
        <v>0.89</v>
      </c>
      <c r="I15" s="4">
        <f>IGCE!I16</f>
        <v>0.89700000000000002</v>
      </c>
      <c r="J15" s="4">
        <v>0.95</v>
      </c>
      <c r="K15" s="8">
        <f>IGCE!F108</f>
        <v>0.95478003590606741</v>
      </c>
      <c r="L15" s="8">
        <f>IGCE!G108</f>
        <v>0.95043006582779044</v>
      </c>
      <c r="M15" s="8">
        <f>IGCE!H108</f>
        <v>0.93768662335152986</v>
      </c>
      <c r="N15" s="8">
        <f>IGCE!I108</f>
        <v>0.92494318087526928</v>
      </c>
      <c r="O15" s="8">
        <f>IGCE!J108</f>
        <v>0.9121997383990087</v>
      </c>
      <c r="P15" s="9">
        <f>IGCE!K108</f>
        <v>0.89945629592274823</v>
      </c>
      <c r="Q15" s="586">
        <f>I15+(R15-I15)/2</f>
        <v>1.0315559866165014</v>
      </c>
      <c r="R15" s="474">
        <f>IGCE!F127</f>
        <v>1.1661119732330028</v>
      </c>
      <c r="S15" s="474">
        <f>IGCE!G127</f>
        <v>1.1230745069291304</v>
      </c>
      <c r="T15" s="474">
        <f>IGCE!H127</f>
        <v>1.0859505254322999</v>
      </c>
      <c r="U15" s="474">
        <f>IGCE!I127</f>
        <v>1.0488265439354691</v>
      </c>
      <c r="V15" s="474">
        <f>IGCE!J127</f>
        <v>1.0117025624386387</v>
      </c>
      <c r="W15" s="585">
        <f>IGCE!K127</f>
        <v>1.0011579967856754</v>
      </c>
    </row>
    <row r="16" spans="2:23" x14ac:dyDescent="0.3">
      <c r="B16" s="7" t="s">
        <v>14</v>
      </c>
      <c r="C16" s="4">
        <f>IGCE!C17</f>
        <v>1.07</v>
      </c>
      <c r="D16" s="4">
        <f>IGCE!D17</f>
        <v>1.1000000000000001</v>
      </c>
      <c r="E16" s="4">
        <f>IGCE!E17</f>
        <v>0.91</v>
      </c>
      <c r="F16" s="4">
        <f>IGCE!F17</f>
        <v>1.1100000000000001</v>
      </c>
      <c r="G16" s="4">
        <f>IGCE!G17</f>
        <v>1.07</v>
      </c>
      <c r="H16" s="4">
        <f>IGCE!H17</f>
        <v>1</v>
      </c>
      <c r="I16" s="4">
        <f>IGCE!I17</f>
        <v>0.91649999999999998</v>
      </c>
      <c r="J16" s="4">
        <v>1.05</v>
      </c>
      <c r="K16" s="8">
        <f>IGCE!F109</f>
        <v>1.06741762793201</v>
      </c>
      <c r="L16" s="8">
        <f>IGCE!G109</f>
        <v>1.0689848301965783</v>
      </c>
      <c r="M16" s="8">
        <f>IGCE!H109</f>
        <v>1.0550477752696683</v>
      </c>
      <c r="N16" s="8">
        <f>IGCE!I109</f>
        <v>1.0411107203427583</v>
      </c>
      <c r="O16" s="8">
        <f>IGCE!J109</f>
        <v>1.0271736654158483</v>
      </c>
      <c r="P16" s="9">
        <f>IGCE!K109</f>
        <v>1.0132366104889385</v>
      </c>
      <c r="Q16" s="586">
        <f t="shared" si="0"/>
        <v>1.0593550897157344</v>
      </c>
      <c r="R16" s="474">
        <f>IGCE!F128</f>
        <v>1.202210179431469</v>
      </c>
      <c r="S16" s="474">
        <f>IGCE!G128</f>
        <v>1.2468290105469249</v>
      </c>
      <c r="T16" s="474">
        <f>IGCE!H128</f>
        <v>1.2129063744329609</v>
      </c>
      <c r="U16" s="474">
        <f>IGCE!I128</f>
        <v>1.16743591151571</v>
      </c>
      <c r="V16" s="474">
        <f>IGCE!J128</f>
        <v>1.110417621795172</v>
      </c>
      <c r="W16" s="483">
        <f>IGCE!K128</f>
        <v>1.0418515052713466</v>
      </c>
    </row>
    <row r="17" spans="2:25" x14ac:dyDescent="0.3">
      <c r="B17" s="7" t="s">
        <v>15</v>
      </c>
      <c r="C17" s="4">
        <f>IGCE!C18</f>
        <v>12.54</v>
      </c>
      <c r="D17" s="4">
        <f>IGCE!D18</f>
        <v>12.67</v>
      </c>
      <c r="E17" s="4">
        <f>IGCE!E18</f>
        <v>12.36</v>
      </c>
      <c r="F17" s="4">
        <f>IGCE!F18</f>
        <v>12.84</v>
      </c>
      <c r="G17" s="4">
        <f>IGCE!G18</f>
        <v>12.94</v>
      </c>
      <c r="H17" s="4">
        <f>IGCE!H18</f>
        <v>11.77</v>
      </c>
      <c r="I17" s="4">
        <f>IGCE!I18</f>
        <v>12.222</v>
      </c>
      <c r="J17" s="4">
        <v>12.4</v>
      </c>
      <c r="K17" s="8">
        <f>IGCE!F110</f>
        <v>12.369610904297486</v>
      </c>
      <c r="L17" s="8">
        <f>IGCE!G110</f>
        <v>11.972347828728516</v>
      </c>
      <c r="M17" s="8">
        <f>IGCE!H110</f>
        <v>11.289564897418671</v>
      </c>
      <c r="N17" s="8">
        <f>IGCE!I110</f>
        <v>10.606781966108828</v>
      </c>
      <c r="O17" s="8">
        <f>IGCE!J110</f>
        <v>9.9239990347989835</v>
      </c>
      <c r="P17" s="9">
        <f>IGCE!K110</f>
        <v>9.2412161034891405</v>
      </c>
      <c r="Q17" s="586">
        <f>I17+(R17-I17)/2</f>
        <v>12.252758506394503</v>
      </c>
      <c r="R17" s="474">
        <f>IGCE!F129</f>
        <v>12.283517012789009</v>
      </c>
      <c r="S17" s="474">
        <f>IGCE!G129</f>
        <v>12.199288176760669</v>
      </c>
      <c r="T17" s="474">
        <f>IGCE!H129</f>
        <v>11.765902891000909</v>
      </c>
      <c r="U17" s="474">
        <f>IGCE!I129</f>
        <v>11.030055914908237</v>
      </c>
      <c r="V17" s="474">
        <f>IGCE!J129</f>
        <v>10.294208938815567</v>
      </c>
      <c r="W17" s="483">
        <f>IGCE!K129</f>
        <v>9.5583619627228966</v>
      </c>
    </row>
    <row r="18" spans="2:25" x14ac:dyDescent="0.3">
      <c r="B18" s="7" t="s">
        <v>16</v>
      </c>
      <c r="C18" s="15">
        <f>IGCE!C19</f>
        <v>5.4624895107140601</v>
      </c>
      <c r="D18" s="15">
        <f>IGCE!D19</f>
        <v>5.1683689900000003</v>
      </c>
      <c r="E18" s="15">
        <f>IGCE!E19</f>
        <v>5.5996366200000001</v>
      </c>
      <c r="F18" s="15">
        <f>IGCE!F19</f>
        <v>5.66565545</v>
      </c>
      <c r="G18" s="15">
        <f>IGCE!G19</f>
        <v>5.6971323500000004</v>
      </c>
      <c r="H18" s="15">
        <f>IGCE!H19</f>
        <v>5.0235558500000002</v>
      </c>
      <c r="I18" s="15">
        <f>IGCE!I19</f>
        <v>5.6180000000000003</v>
      </c>
      <c r="J18" s="4">
        <v>5.3</v>
      </c>
      <c r="K18" s="8">
        <f>IGCE!F111</f>
        <v>5.6767464059368375</v>
      </c>
      <c r="L18" s="8">
        <f>IGCE!G111</f>
        <v>5.6597581192175364</v>
      </c>
      <c r="M18" s="8">
        <f>IGCE!H111</f>
        <v>5.4629232119267659</v>
      </c>
      <c r="N18" s="8">
        <f>IGCE!I111</f>
        <v>5.2660883046359963</v>
      </c>
      <c r="O18" s="8">
        <f>IGCE!J111</f>
        <v>5.0692533973452267</v>
      </c>
      <c r="P18" s="9">
        <f>IGCE!K111</f>
        <v>4.8724184900544554</v>
      </c>
      <c r="Q18" s="586">
        <f t="shared" si="0"/>
        <v>5.5839582834525352</v>
      </c>
      <c r="R18" s="474">
        <f>IGCE!F130</f>
        <v>5.5499165669050701</v>
      </c>
      <c r="S18" s="474">
        <f>IGCE!G130</f>
        <v>5.4272367476592942</v>
      </c>
      <c r="T18" s="474">
        <f>IGCE!H130</f>
        <v>5.0797800284290346</v>
      </c>
      <c r="U18" s="474">
        <f>IGCE!I130</f>
        <v>4.7323233091987742</v>
      </c>
      <c r="V18" s="474">
        <f>IGCE!J130</f>
        <v>4.3848665899685129</v>
      </c>
      <c r="W18" s="483">
        <f>IGCE!K130</f>
        <v>4.0374098707382533</v>
      </c>
    </row>
    <row r="19" spans="2:25" x14ac:dyDescent="0.3">
      <c r="B19" s="7" t="s">
        <v>17</v>
      </c>
      <c r="C19" s="4">
        <f>IGCE!C20</f>
        <v>7.99</v>
      </c>
      <c r="D19" s="4">
        <f>IGCE!D20</f>
        <v>7.98</v>
      </c>
      <c r="E19" s="4">
        <f>IGCE!E20</f>
        <v>8.02</v>
      </c>
      <c r="F19" s="4">
        <f>IGCE!F20</f>
        <v>7.87</v>
      </c>
      <c r="G19" s="4">
        <f>IGCE!G20</f>
        <v>7.32</v>
      </c>
      <c r="H19" s="4">
        <f>IGCE!H20</f>
        <v>6.8099151128839308</v>
      </c>
      <c r="I19" s="4">
        <f>IGCE!I20</f>
        <v>7.3736480216582017</v>
      </c>
      <c r="J19" s="4">
        <v>7.9</v>
      </c>
      <c r="K19" s="8">
        <f>IGCE!F112</f>
        <v>7.7735794156205493</v>
      </c>
      <c r="L19" s="8">
        <f>IGCE!G112</f>
        <v>8.1515622619710157</v>
      </c>
      <c r="M19" s="8">
        <f>IGCE!H112</f>
        <v>8.6317465423904842</v>
      </c>
      <c r="N19" s="8">
        <f>IGCE!I112</f>
        <v>9.1119308228099527</v>
      </c>
      <c r="O19" s="8">
        <f>IGCE!J112</f>
        <v>9.5921151032294194</v>
      </c>
      <c r="P19" s="9">
        <f>IGCE!K112</f>
        <v>10.072299383648888</v>
      </c>
      <c r="Q19" s="586">
        <f>I19+(R19-I19)/2</f>
        <v>7.5983123834331323</v>
      </c>
      <c r="R19" s="474">
        <f>IGCE!F131</f>
        <v>7.8229767452080621</v>
      </c>
      <c r="S19" s="474">
        <f>IGCE!G131</f>
        <v>8.3101692038601307</v>
      </c>
      <c r="T19" s="474">
        <f>IGCE!H131</f>
        <v>8.8243105592002529</v>
      </c>
      <c r="U19" s="474">
        <f>IGCE!I131</f>
        <v>9.353765607616026</v>
      </c>
      <c r="V19" s="474">
        <f>IGCE!J131</f>
        <v>9.8985343491074538</v>
      </c>
      <c r="W19" s="483">
        <f>IGCE!K131</f>
        <v>10.458616783674533</v>
      </c>
    </row>
    <row r="20" spans="2:25" ht="15" thickBot="1" x14ac:dyDescent="0.35">
      <c r="B20" s="7" t="s">
        <v>18</v>
      </c>
      <c r="C20" s="17">
        <f>IGCE!C22</f>
        <v>4.5199999999999996</v>
      </c>
      <c r="D20" s="17">
        <f>IGCE!D22</f>
        <v>4.68</v>
      </c>
      <c r="E20" s="17">
        <f>IGCE!E22</f>
        <v>6.24</v>
      </c>
      <c r="F20" s="17">
        <f>IGCE!F22</f>
        <v>5.09</v>
      </c>
      <c r="G20" s="17">
        <f>IGCE!G22</f>
        <v>4.96</v>
      </c>
      <c r="H20" s="17">
        <f>IGCE!H22</f>
        <v>3.38</v>
      </c>
      <c r="I20" s="17">
        <f>IGCE!I22</f>
        <v>4.5599999999999996</v>
      </c>
      <c r="J20" s="17">
        <v>4.9000000000000004</v>
      </c>
      <c r="K20" s="18">
        <f>IGCE!F113</f>
        <v>5.0392902944438003</v>
      </c>
      <c r="L20" s="18">
        <f>IGCE!G113</f>
        <v>5.1053655398136346</v>
      </c>
      <c r="M20" s="18">
        <f>IGCE!H113</f>
        <v>5.1492372804011337</v>
      </c>
      <c r="N20" s="18">
        <f>IGCE!I113</f>
        <v>5.1931090209886337</v>
      </c>
      <c r="O20" s="18">
        <f>IGCE!J113</f>
        <v>5.2369807615761346</v>
      </c>
      <c r="P20" s="19">
        <f>IGCE!K113</f>
        <v>5.2808525021636337</v>
      </c>
      <c r="Q20" s="486">
        <f t="shared" si="0"/>
        <v>4.7372438801566723</v>
      </c>
      <c r="R20" s="486">
        <f>IGCE!F132</f>
        <v>4.9144877603133441</v>
      </c>
      <c r="S20" s="486">
        <f>IGCE!G132</f>
        <v>4.8765608939077971</v>
      </c>
      <c r="T20" s="486">
        <f>IGCE!H132</f>
        <v>4.7394423922431574</v>
      </c>
      <c r="U20" s="486">
        <f>IGCE!I132</f>
        <v>4.6023238905785178</v>
      </c>
      <c r="V20" s="486">
        <f>IGCE!J132</f>
        <v>4.4652053889138781</v>
      </c>
      <c r="W20" s="487">
        <f>IGCE!K132</f>
        <v>4.3280868872492384</v>
      </c>
    </row>
    <row r="21" spans="2:25" x14ac:dyDescent="0.3">
      <c r="Q21" s="20"/>
      <c r="R21" s="20"/>
      <c r="S21" s="20"/>
      <c r="T21" s="20"/>
      <c r="U21" s="20"/>
      <c r="V21" s="20"/>
      <c r="W21" s="20"/>
    </row>
    <row r="22" spans="2:25" x14ac:dyDescent="0.3">
      <c r="B22" s="661" t="s">
        <v>19</v>
      </c>
      <c r="C22" s="661"/>
      <c r="D22" s="661"/>
      <c r="E22" s="661"/>
      <c r="R22" s="21"/>
      <c r="S22" s="21"/>
      <c r="T22" s="21"/>
      <c r="U22" s="21"/>
      <c r="V22" s="21"/>
      <c r="W22" s="21"/>
      <c r="X22" s="21"/>
    </row>
    <row r="23" spans="2:25" ht="15" thickBot="1" x14ac:dyDescent="0.35">
      <c r="O23" s="22"/>
      <c r="P23" s="22"/>
      <c r="Q23" s="22"/>
      <c r="S23" s="21"/>
      <c r="T23" s="21"/>
      <c r="U23" s="21"/>
      <c r="V23" s="21"/>
      <c r="W23" s="21"/>
      <c r="X23" s="21"/>
      <c r="Y23" s="21"/>
    </row>
    <row r="24" spans="2:25" x14ac:dyDescent="0.3">
      <c r="B24" s="1" t="s">
        <v>20</v>
      </c>
      <c r="C24" s="665" t="s">
        <v>2</v>
      </c>
      <c r="D24" s="666"/>
      <c r="E24" s="666"/>
      <c r="F24" s="666"/>
      <c r="G24" s="666"/>
      <c r="H24" s="666"/>
      <c r="I24" s="667"/>
      <c r="J24" s="662" t="s">
        <v>21</v>
      </c>
      <c r="K24" s="662"/>
      <c r="L24" s="662"/>
      <c r="M24" s="662"/>
      <c r="N24" s="662"/>
      <c r="O24" s="662"/>
      <c r="P24" s="662"/>
      <c r="Q24" s="663" t="s">
        <v>22</v>
      </c>
      <c r="R24" s="663"/>
      <c r="S24" s="663"/>
      <c r="T24" s="663"/>
      <c r="U24" s="663"/>
      <c r="V24" s="663"/>
      <c r="W24" s="663"/>
    </row>
    <row r="25" spans="2:25" x14ac:dyDescent="0.3">
      <c r="B25" s="1" t="s">
        <v>23</v>
      </c>
      <c r="C25" s="4">
        <v>2015</v>
      </c>
      <c r="D25" s="5">
        <v>2016</v>
      </c>
      <c r="E25" s="5">
        <v>2017</v>
      </c>
      <c r="F25" s="5">
        <v>2018</v>
      </c>
      <c r="G25" s="5">
        <v>2019</v>
      </c>
      <c r="H25" s="5">
        <v>2020</v>
      </c>
      <c r="I25" s="423">
        <v>2021</v>
      </c>
      <c r="J25" s="414">
        <v>2023</v>
      </c>
      <c r="K25" s="5">
        <v>2025</v>
      </c>
      <c r="L25" s="5">
        <v>2030</v>
      </c>
      <c r="M25" s="5">
        <v>2035</v>
      </c>
      <c r="N25" s="5">
        <v>2040</v>
      </c>
      <c r="O25" s="5">
        <v>2045</v>
      </c>
      <c r="P25" s="6">
        <v>2050</v>
      </c>
      <c r="Q25" s="470">
        <v>2023</v>
      </c>
      <c r="R25" s="470">
        <v>2025</v>
      </c>
      <c r="S25" s="470">
        <v>2030</v>
      </c>
      <c r="T25" s="470">
        <v>2035</v>
      </c>
      <c r="U25" s="470">
        <v>2040</v>
      </c>
      <c r="V25" s="470">
        <v>2045</v>
      </c>
      <c r="W25" s="482">
        <v>2050</v>
      </c>
    </row>
    <row r="26" spans="2:25" x14ac:dyDescent="0.3">
      <c r="B26" s="23" t="s">
        <v>24</v>
      </c>
      <c r="C26" s="24">
        <f>'VA historique'!R5</f>
        <v>25.623999999999999</v>
      </c>
      <c r="D26" s="25">
        <f>'VA historique'!S5</f>
        <v>26.013999999999999</v>
      </c>
      <c r="E26" s="25">
        <f>'VA historique'!T5</f>
        <v>26.658000000000001</v>
      </c>
      <c r="F26" s="25">
        <f>'VA historique'!U5</f>
        <v>25.46</v>
      </c>
      <c r="G26" s="25">
        <f>'VA historique'!V5</f>
        <v>25.805</v>
      </c>
      <c r="H26" s="25">
        <f>'VA historique'!W5</f>
        <v>22.829000000000001</v>
      </c>
      <c r="I26" s="420">
        <f>'VA historique'!X5</f>
        <v>24.457000000000001</v>
      </c>
      <c r="J26" s="415">
        <v>24</v>
      </c>
      <c r="K26" s="8">
        <f>Diffus!F30</f>
        <v>20.467083139535564</v>
      </c>
      <c r="L26" s="8">
        <f>Diffus!G30</f>
        <v>20.198349700996829</v>
      </c>
      <c r="M26" s="8">
        <f>Diffus!H30</f>
        <v>20.065608797957402</v>
      </c>
      <c r="N26" s="8">
        <f>Diffus!I30</f>
        <v>19.968848901607149</v>
      </c>
      <c r="O26" s="8">
        <f>Diffus!J30</f>
        <v>20.059422416299597</v>
      </c>
      <c r="P26" s="9">
        <f>Diffus!K30</f>
        <v>20.293275700328554</v>
      </c>
      <c r="Q26" s="474">
        <f t="shared" ref="Q26:Q33" si="1">I26+(R26-I26)/2</f>
        <v>25.114451328922176</v>
      </c>
      <c r="R26" s="474">
        <f>Diffus!F54</f>
        <v>25.77190265784435</v>
      </c>
      <c r="S26" s="474">
        <f>Diffus!G54</f>
        <v>27.082898366625777</v>
      </c>
      <c r="T26" s="474">
        <f>Diffus!H54</f>
        <v>27.438939471138458</v>
      </c>
      <c r="U26" s="474">
        <f>Diffus!I54</f>
        <v>29.218665916644596</v>
      </c>
      <c r="V26" s="474">
        <f>Diffus!J54</f>
        <v>31.687726779080499</v>
      </c>
      <c r="W26" s="483">
        <f>Diffus!K54</f>
        <v>34.388980543378466</v>
      </c>
    </row>
    <row r="27" spans="2:25" x14ac:dyDescent="0.3">
      <c r="B27" s="23" t="s">
        <v>25</v>
      </c>
      <c r="C27" s="24">
        <f>'VA historique'!R6</f>
        <v>41.414999999999999</v>
      </c>
      <c r="D27" s="25">
        <f>'VA historique'!S6</f>
        <v>42.558999999999997</v>
      </c>
      <c r="E27" s="25">
        <f>'VA historique'!T6</f>
        <v>43.824999999999996</v>
      </c>
      <c r="F27" s="25">
        <f>'VA historique'!U6</f>
        <v>45.193000000000005</v>
      </c>
      <c r="G27" s="25">
        <f>'VA historique'!V6</f>
        <v>47.174999999999997</v>
      </c>
      <c r="H27" s="25">
        <f>'VA historique'!W6</f>
        <v>45.88900000000001</v>
      </c>
      <c r="I27" s="420">
        <f>'VA historique'!X6</f>
        <v>46.328000000000003</v>
      </c>
      <c r="J27" s="415">
        <v>40</v>
      </c>
      <c r="K27" s="8">
        <f>Diffus!F31</f>
        <v>42.175020951058201</v>
      </c>
      <c r="L27" s="8">
        <f>Diffus!G31</f>
        <v>42.485149465060665</v>
      </c>
      <c r="M27" s="8">
        <f>Diffus!H31</f>
        <v>43.469805430606748</v>
      </c>
      <c r="N27" s="8">
        <f>Diffus!I31</f>
        <v>44.74434164503694</v>
      </c>
      <c r="O27" s="8">
        <f>Diffus!J31</f>
        <v>46.536334195478979</v>
      </c>
      <c r="P27" s="9">
        <f>Diffus!K31</f>
        <v>48.783864936847223</v>
      </c>
      <c r="Q27" s="474">
        <f t="shared" si="1"/>
        <v>46.999323949051238</v>
      </c>
      <c r="R27" s="474">
        <f>Diffus!F55</f>
        <v>47.670647898102473</v>
      </c>
      <c r="S27" s="474">
        <f>Diffus!G55</f>
        <v>50.768484577814355</v>
      </c>
      <c r="T27" s="474">
        <f>Diffus!H55</f>
        <v>52.267060592292097</v>
      </c>
      <c r="U27" s="474">
        <f>Diffus!I55</f>
        <v>56.52403676918361</v>
      </c>
      <c r="V27" s="474">
        <f>Diffus!J55</f>
        <v>61.70701482151938</v>
      </c>
      <c r="W27" s="483">
        <f>Diffus!K55</f>
        <v>67.06385348684033</v>
      </c>
    </row>
    <row r="28" spans="2:25" x14ac:dyDescent="0.3">
      <c r="B28" s="23" t="s">
        <v>26</v>
      </c>
      <c r="C28" s="24">
        <f>'VA historique'!R7</f>
        <v>8.0229999999999997</v>
      </c>
      <c r="D28" s="25">
        <f>'VA historique'!S7</f>
        <v>8.1</v>
      </c>
      <c r="E28" s="25">
        <f>'VA historique'!T7</f>
        <v>8.2919999999999998</v>
      </c>
      <c r="F28" s="25">
        <f>'VA historique'!U7</f>
        <v>8.2710000000000008</v>
      </c>
      <c r="G28" s="25">
        <f>'VA historique'!V7</f>
        <v>8.359</v>
      </c>
      <c r="H28" s="25">
        <f>'VA historique'!W7</f>
        <v>7.4640000000000004</v>
      </c>
      <c r="I28" s="420">
        <f>'VA historique'!X7</f>
        <v>8.1720000000000006</v>
      </c>
      <c r="J28" s="415">
        <v>8</v>
      </c>
      <c r="K28" s="8">
        <f>Diffus!F32</f>
        <v>7.3189315434740116</v>
      </c>
      <c r="L28" s="8">
        <f>Diffus!G32</f>
        <v>7.5662495687434648</v>
      </c>
      <c r="M28" s="8">
        <f>Diffus!H32</f>
        <v>7.8864667397409471</v>
      </c>
      <c r="N28" s="8">
        <f>Diffus!I32</f>
        <v>8.3158982023174044</v>
      </c>
      <c r="O28" s="8">
        <f>Diffus!J32</f>
        <v>8.9077703231051935</v>
      </c>
      <c r="P28" s="9">
        <f>Diffus!K32</f>
        <v>9.5520529920404194</v>
      </c>
      <c r="Q28" s="474">
        <f t="shared" si="1"/>
        <v>8.3448724327718384</v>
      </c>
      <c r="R28" s="474">
        <f>Diffus!F56</f>
        <v>8.5177448655436763</v>
      </c>
      <c r="S28" s="474">
        <f>Diffus!G56</f>
        <v>8.7279362639683153</v>
      </c>
      <c r="T28" s="474">
        <f>Diffus!H56</f>
        <v>8.9041513310580065</v>
      </c>
      <c r="U28" s="474">
        <f>Diffus!I56</f>
        <v>9.3350747571229089</v>
      </c>
      <c r="V28" s="474">
        <f>Diffus!J56</f>
        <v>9.8976398286457101</v>
      </c>
      <c r="W28" s="483">
        <f>Diffus!K56</f>
        <v>10.585064441817908</v>
      </c>
    </row>
    <row r="29" spans="2:25" x14ac:dyDescent="0.3">
      <c r="B29" s="23" t="s">
        <v>27</v>
      </c>
      <c r="C29" s="24">
        <f>'VA historique'!R8</f>
        <v>43.508000000000003</v>
      </c>
      <c r="D29" s="25">
        <f>'VA historique'!S8</f>
        <v>44.673999999999999</v>
      </c>
      <c r="E29" s="25">
        <f>'VA historique'!T8</f>
        <v>45.484999999999999</v>
      </c>
      <c r="F29" s="25">
        <f>'VA historique'!U8</f>
        <v>45.279000000000003</v>
      </c>
      <c r="G29" s="25">
        <f>'VA historique'!V8</f>
        <v>45.597999999999999</v>
      </c>
      <c r="H29" s="25">
        <f>'VA historique'!W8</f>
        <v>44.088999999999999</v>
      </c>
      <c r="I29" s="420">
        <f>'VA historique'!X8</f>
        <v>44.859000000000002</v>
      </c>
      <c r="J29" s="415">
        <v>45.5</v>
      </c>
      <c r="K29" s="8">
        <f>Diffus!F33</f>
        <v>44.222336350073945</v>
      </c>
      <c r="L29" s="8">
        <f>Diffus!G33</f>
        <v>45.110374379041644</v>
      </c>
      <c r="M29" s="8">
        <f>Diffus!H33</f>
        <v>46.898963646818778</v>
      </c>
      <c r="N29" s="8">
        <f>Diffus!I33</f>
        <v>49.613832473416196</v>
      </c>
      <c r="O29" s="8">
        <f>Diffus!J33</f>
        <v>53.645641361855631</v>
      </c>
      <c r="P29" s="9">
        <f>Diffus!K33</f>
        <v>58.248641329298806</v>
      </c>
      <c r="Q29" s="474">
        <f t="shared" si="1"/>
        <v>46.206775351886037</v>
      </c>
      <c r="R29" s="474">
        <f>Diffus!F57</f>
        <v>47.554550703772072</v>
      </c>
      <c r="S29" s="474">
        <f>Diffus!G57</f>
        <v>51.504271192773466</v>
      </c>
      <c r="T29" s="474">
        <f>Diffus!H57</f>
        <v>55.265992829105748</v>
      </c>
      <c r="U29" s="474">
        <f>Diffus!I57</f>
        <v>60.06038361296261</v>
      </c>
      <c r="V29" s="474">
        <f>Diffus!J57</f>
        <v>65.270121236797962</v>
      </c>
      <c r="W29" s="483">
        <f>Diffus!K57</f>
        <v>70.679031587662848</v>
      </c>
    </row>
    <row r="30" spans="2:25" x14ac:dyDescent="0.3">
      <c r="B30" s="23" t="s">
        <v>28</v>
      </c>
      <c r="C30" s="24">
        <f>'VA historique'!R9</f>
        <v>60.172999999999995</v>
      </c>
      <c r="D30" s="25">
        <f>'VA historique'!S9</f>
        <v>59.025999999999996</v>
      </c>
      <c r="E30" s="25">
        <f>'VA historique'!T9</f>
        <v>60.472999999999999</v>
      </c>
      <c r="F30" s="25">
        <f>'VA historique'!U9</f>
        <v>63.185999999999993</v>
      </c>
      <c r="G30" s="25">
        <f>'VA historique'!V9</f>
        <v>63.614999999999995</v>
      </c>
      <c r="H30" s="25">
        <f>'VA historique'!W9</f>
        <v>49.807000000000002</v>
      </c>
      <c r="I30" s="420">
        <f>'VA historique'!X9</f>
        <v>52.09</v>
      </c>
      <c r="J30" s="415">
        <v>62</v>
      </c>
      <c r="K30" s="8">
        <f>Diffus!F34</f>
        <v>52.274698226151173</v>
      </c>
      <c r="L30" s="8">
        <f>Diffus!G34</f>
        <v>55.001731879277067</v>
      </c>
      <c r="M30" s="8">
        <f>Diffus!H34</f>
        <v>58.475676836751411</v>
      </c>
      <c r="N30" s="8">
        <f>Diffus!I34</f>
        <v>63.34081178914159</v>
      </c>
      <c r="O30" s="8">
        <f>Diffus!J34</f>
        <v>68.983255697306447</v>
      </c>
      <c r="P30" s="9">
        <f>Diffus!K34</f>
        <v>74.914629308251932</v>
      </c>
      <c r="Q30" s="474">
        <f t="shared" si="1"/>
        <v>53.822535337149461</v>
      </c>
      <c r="R30" s="474">
        <f>Diffus!F58</f>
        <v>55.555070674298925</v>
      </c>
      <c r="S30" s="474">
        <f>Diffus!G58</f>
        <v>60.438282748543116</v>
      </c>
      <c r="T30" s="474">
        <f>Diffus!H58</f>
        <v>64.996534643297508</v>
      </c>
      <c r="U30" s="474">
        <f>Diffus!I58</f>
        <v>70.538499204248893</v>
      </c>
      <c r="V30" s="474">
        <f>Diffus!J58</f>
        <v>76.917602576443542</v>
      </c>
      <c r="W30" s="483">
        <f>Diffus!K58</f>
        <v>83.98307746923723</v>
      </c>
    </row>
    <row r="31" spans="2:25" x14ac:dyDescent="0.3">
      <c r="B31" s="23" t="s">
        <v>29</v>
      </c>
      <c r="C31" s="24">
        <f>'VA historique'!R11</f>
        <v>23.295999999999999</v>
      </c>
      <c r="D31" s="25">
        <f>'VA historique'!S11</f>
        <v>23.045999999999999</v>
      </c>
      <c r="E31" s="25">
        <f>'VA historique'!T11</f>
        <v>23.308</v>
      </c>
      <c r="F31" s="25">
        <f>'VA historique'!U11</f>
        <v>23.242000000000004</v>
      </c>
      <c r="G31" s="25">
        <f>'VA historique'!V11</f>
        <v>23.724</v>
      </c>
      <c r="H31" s="25">
        <f>'VA historique'!W11</f>
        <v>22.257999999999999</v>
      </c>
      <c r="I31" s="420">
        <f>'VA historique'!X11</f>
        <v>23.780999999999999</v>
      </c>
      <c r="J31" s="415">
        <v>23.5</v>
      </c>
      <c r="K31" s="8">
        <f>Diffus!F35</f>
        <v>23.360777262587039</v>
      </c>
      <c r="L31" s="8">
        <f>Diffus!G35</f>
        <v>24.579447631235546</v>
      </c>
      <c r="M31" s="8">
        <f>Diffus!H35</f>
        <v>26.131901440207457</v>
      </c>
      <c r="N31" s="8">
        <f>Diffus!I35</f>
        <v>28.306057156679049</v>
      </c>
      <c r="O31" s="8">
        <f>Diffus!J35</f>
        <v>30.82758056720234</v>
      </c>
      <c r="P31" s="9">
        <f>Diffus!K35</f>
        <v>33.478222321020567</v>
      </c>
      <c r="Q31" s="474">
        <f t="shared" si="1"/>
        <v>24.571966075115206</v>
      </c>
      <c r="R31" s="474">
        <f>Diffus!F59</f>
        <v>25.362932150230417</v>
      </c>
      <c r="S31" s="474">
        <f>Diffus!G59</f>
        <v>27.592297985085498</v>
      </c>
      <c r="T31" s="474">
        <f>Diffus!H59</f>
        <v>29.673307551396771</v>
      </c>
      <c r="U31" s="474">
        <f>Diffus!I59</f>
        <v>32.203418114345226</v>
      </c>
      <c r="V31" s="474">
        <f>Diffus!J59</f>
        <v>35.115713320606716</v>
      </c>
      <c r="W31" s="483">
        <f>Diffus!K59</f>
        <v>38.341362359299872</v>
      </c>
    </row>
    <row r="32" spans="2:25" x14ac:dyDescent="0.3">
      <c r="B32" s="26" t="s">
        <v>30</v>
      </c>
      <c r="C32" s="27">
        <f t="shared" ref="C32:J32" si="2">SUM(C26:C31)</f>
        <v>202.03899999999999</v>
      </c>
      <c r="D32" s="8">
        <f t="shared" si="2"/>
        <v>203.41899999999998</v>
      </c>
      <c r="E32" s="8">
        <f t="shared" si="2"/>
        <v>208.041</v>
      </c>
      <c r="F32" s="8">
        <f t="shared" si="2"/>
        <v>210.63100000000003</v>
      </c>
      <c r="G32" s="8">
        <f t="shared" si="2"/>
        <v>214.27599999999995</v>
      </c>
      <c r="H32" s="419">
        <f t="shared" ref="H32:I32" si="3">SUM(H26:H31)</f>
        <v>192.33600000000004</v>
      </c>
      <c r="I32" s="421">
        <f t="shared" si="3"/>
        <v>199.68700000000001</v>
      </c>
      <c r="J32" s="415">
        <f t="shared" si="2"/>
        <v>203</v>
      </c>
      <c r="K32" s="8">
        <f>Diffus!F36</f>
        <v>189.81884747287992</v>
      </c>
      <c r="L32" s="8">
        <f>Diffus!G36</f>
        <v>194.94130262435522</v>
      </c>
      <c r="M32" s="8">
        <f>Diffus!H36</f>
        <v>202.92842289208275</v>
      </c>
      <c r="N32" s="8">
        <f>Diffus!I36</f>
        <v>214.28979016819832</v>
      </c>
      <c r="O32" s="8">
        <f>Diffus!J36</f>
        <v>228.96000456124818</v>
      </c>
      <c r="P32" s="9">
        <f>Diffus!K36</f>
        <v>245.27068658778751</v>
      </c>
      <c r="Q32" s="474">
        <f t="shared" si="1"/>
        <v>205.05992447489598</v>
      </c>
      <c r="R32" s="474">
        <f>Diffus!F60</f>
        <v>210.43284894979192</v>
      </c>
      <c r="S32" s="474">
        <f>Diffus!G60</f>
        <v>226.11417113481053</v>
      </c>
      <c r="T32" s="474">
        <f>Diffus!H60</f>
        <v>238.54598641828858</v>
      </c>
      <c r="U32" s="474">
        <f>Diffus!I60</f>
        <v>257.88007837450783</v>
      </c>
      <c r="V32" s="474">
        <f>Diffus!J60</f>
        <v>280.59581856309376</v>
      </c>
      <c r="W32" s="483">
        <f>Diffus!K60</f>
        <v>305.04136988823666</v>
      </c>
    </row>
    <row r="33" spans="2:27" ht="15" thickBot="1" x14ac:dyDescent="0.35">
      <c r="B33" s="28" t="s">
        <v>31</v>
      </c>
      <c r="C33" s="29">
        <f>'VA historique'!R10</f>
        <v>109.505</v>
      </c>
      <c r="D33" s="30">
        <f>'VA historique'!S10</f>
        <v>108.449</v>
      </c>
      <c r="E33" s="30">
        <f>'VA historique'!T10</f>
        <v>110.801</v>
      </c>
      <c r="F33" s="30">
        <f>'VA historique'!U10</f>
        <v>111.943</v>
      </c>
      <c r="G33" s="30">
        <f>'VA historique'!V10</f>
        <v>114.88200000000001</v>
      </c>
      <c r="H33" s="30">
        <f>'VA historique'!W10</f>
        <v>101.443</v>
      </c>
      <c r="I33" s="422">
        <f>'VA historique'!X10</f>
        <v>108.227</v>
      </c>
      <c r="J33" s="416">
        <v>108</v>
      </c>
      <c r="K33" s="18">
        <f>Diffus!F37</f>
        <v>114.07709031300605</v>
      </c>
      <c r="L33" s="18">
        <f>Diffus!G37</f>
        <v>117.30882926786353</v>
      </c>
      <c r="M33" s="18">
        <f>Diffus!H37</f>
        <v>121.98493624758126</v>
      </c>
      <c r="N33" s="18">
        <f>Diffus!I37</f>
        <v>127.46802251378823</v>
      </c>
      <c r="O33" s="18">
        <f>Diffus!J37</f>
        <v>134.81295783795625</v>
      </c>
      <c r="P33" s="19">
        <f>Diffus!K37</f>
        <v>143.1910367337596</v>
      </c>
      <c r="Q33" s="474">
        <f t="shared" si="1"/>
        <v>110.06573099405142</v>
      </c>
      <c r="R33" s="486">
        <f>Diffus!F61</f>
        <v>111.90446198810282</v>
      </c>
      <c r="S33" s="486">
        <f>Diffus!G61</f>
        <v>111.60902686751734</v>
      </c>
      <c r="T33" s="486">
        <f>Diffus!H61</f>
        <v>110.28798392659493</v>
      </c>
      <c r="U33" s="486">
        <f>Diffus!I61</f>
        <v>110.67153195519023</v>
      </c>
      <c r="V33" s="486">
        <f>Diffus!J61</f>
        <v>112.51428931843975</v>
      </c>
      <c r="W33" s="487">
        <f>Diffus!K61</f>
        <v>116.70087476600506</v>
      </c>
      <c r="AA33" s="1">
        <f>W32/I32-1</f>
        <v>0.52759753959064248</v>
      </c>
    </row>
    <row r="34" spans="2:27" x14ac:dyDescent="0.3">
      <c r="B34" s="31"/>
      <c r="D34" s="32"/>
      <c r="E34" s="32"/>
      <c r="F34" s="32"/>
      <c r="G34" s="32"/>
      <c r="H34" s="32"/>
      <c r="I34" s="32"/>
      <c r="J34" s="32"/>
    </row>
    <row r="35" spans="2:27" x14ac:dyDescent="0.3">
      <c r="J35" s="33"/>
    </row>
    <row r="36" spans="2:27" x14ac:dyDescent="0.3">
      <c r="B36" s="1" t="s">
        <v>32</v>
      </c>
      <c r="C36" s="34" t="s">
        <v>21</v>
      </c>
      <c r="D36" s="35"/>
      <c r="E36" s="35"/>
      <c r="F36" s="35"/>
      <c r="G36" s="35"/>
      <c r="H36" s="35"/>
      <c r="I36" s="413"/>
    </row>
    <row r="37" spans="2:27" x14ac:dyDescent="0.3">
      <c r="B37" s="5"/>
      <c r="C37" s="1">
        <v>2019</v>
      </c>
      <c r="D37" s="5">
        <v>2020</v>
      </c>
      <c r="E37" s="5">
        <v>2021</v>
      </c>
      <c r="F37" s="5">
        <v>2025</v>
      </c>
      <c r="G37" s="5">
        <v>2030</v>
      </c>
      <c r="H37" s="5">
        <v>2035</v>
      </c>
      <c r="I37" s="5">
        <v>2040</v>
      </c>
      <c r="J37" s="5">
        <v>2045</v>
      </c>
      <c r="K37" s="5">
        <v>2050</v>
      </c>
    </row>
    <row r="38" spans="2:27" x14ac:dyDescent="0.3">
      <c r="B38" s="36" t="s">
        <v>24</v>
      </c>
      <c r="C38" s="25">
        <f>Diffus!C84</f>
        <v>25.805</v>
      </c>
      <c r="D38" s="25">
        <f>Diffus!D84</f>
        <v>22.681716129032257</v>
      </c>
      <c r="E38" s="25">
        <f>Diffus!E84</f>
        <v>23.967860000000002</v>
      </c>
      <c r="F38" s="25">
        <f>Diffus!F84</f>
        <v>20.057741476744852</v>
      </c>
      <c r="G38" s="25">
        <f>Diffus!G84</f>
        <v>19.390415712956955</v>
      </c>
      <c r="H38" s="25">
        <f>Diffus!H84</f>
        <v>18.861672270079957</v>
      </c>
      <c r="I38" s="25">
        <f>Diffus!I84</f>
        <v>18.571029478494651</v>
      </c>
      <c r="J38" s="25">
        <f>Diffus!J84</f>
        <v>18.45466862299563</v>
      </c>
      <c r="K38" s="25">
        <f>Diffus!K84</f>
        <v>18.66981364430227</v>
      </c>
    </row>
    <row r="39" spans="2:27" x14ac:dyDescent="0.3">
      <c r="B39" s="36" t="s">
        <v>25</v>
      </c>
      <c r="C39" s="25">
        <f>Diffus!C85</f>
        <v>47.174999999999997</v>
      </c>
      <c r="D39" s="25">
        <f>Diffus!D85</f>
        <v>45.592941935483879</v>
      </c>
      <c r="E39" s="25">
        <f>Diffus!E85</f>
        <v>45.864720000000005</v>
      </c>
      <c r="F39" s="25">
        <f>Diffus!F85</f>
        <v>41.753270741547617</v>
      </c>
      <c r="G39" s="25">
        <f>Diffus!G85</f>
        <v>41.635446475759451</v>
      </c>
      <c r="H39" s="25">
        <f>Diffus!H85</f>
        <v>41.731013213382475</v>
      </c>
      <c r="I39" s="25">
        <f>Diffus!I85</f>
        <v>42.059681146334718</v>
      </c>
      <c r="J39" s="25">
        <f>Diffus!J85</f>
        <v>42.813427459840661</v>
      </c>
      <c r="K39" s="25">
        <f>Diffus!K85</f>
        <v>43.905478443162501</v>
      </c>
    </row>
    <row r="40" spans="2:27" x14ac:dyDescent="0.3">
      <c r="B40" s="36" t="s">
        <v>26</v>
      </c>
      <c r="C40" s="25">
        <f>Diffus!C86</f>
        <v>8.359</v>
      </c>
      <c r="D40" s="25">
        <f>Diffus!D86</f>
        <v>7.4158451612903225</v>
      </c>
      <c r="E40" s="25">
        <f>Diffus!E86</f>
        <v>8.0902799999999999</v>
      </c>
      <c r="F40" s="25">
        <f>Diffus!F86</f>
        <v>7.2457422280392718</v>
      </c>
      <c r="G40" s="25">
        <f>Diffus!G86</f>
        <v>7.4149245773685957</v>
      </c>
      <c r="H40" s="25">
        <f>Diffus!H86</f>
        <v>7.5315757364526048</v>
      </c>
      <c r="I40" s="25">
        <f>Diffus!I86</f>
        <v>7.7337853281551867</v>
      </c>
      <c r="J40" s="25">
        <f>Diffus!J86</f>
        <v>8.1506098456412523</v>
      </c>
      <c r="K40" s="25">
        <f>Diffus!K86</f>
        <v>8.5968476928363771</v>
      </c>
    </row>
    <row r="41" spans="2:27" x14ac:dyDescent="0.3">
      <c r="B41" s="36" t="s">
        <v>27</v>
      </c>
      <c r="C41" s="25">
        <f>Diffus!C87</f>
        <v>45.597999999999999</v>
      </c>
      <c r="D41" s="25">
        <f>Diffus!D87</f>
        <v>43.804554838709677</v>
      </c>
      <c r="E41" s="25">
        <f>Diffus!E87</f>
        <v>44.096397000000003</v>
      </c>
      <c r="F41" s="25">
        <f>Diffus!F87</f>
        <v>43.470556632122687</v>
      </c>
      <c r="G41" s="25">
        <f>Diffus!G87</f>
        <v>42.854855660089562</v>
      </c>
      <c r="H41" s="25">
        <f>Diffus!H87</f>
        <v>43.381541373307371</v>
      </c>
      <c r="I41" s="25">
        <f>Diffus!I87</f>
        <v>44.65244922607458</v>
      </c>
      <c r="J41" s="25">
        <f>Diffus!J87</f>
        <v>48.281077225670067</v>
      </c>
      <c r="K41" s="25">
        <f>Diffus!K87</f>
        <v>52.423777196368924</v>
      </c>
    </row>
    <row r="42" spans="2:27" x14ac:dyDescent="0.3">
      <c r="B42" s="36" t="s">
        <v>28</v>
      </c>
      <c r="C42" s="25">
        <f>Diffus!C88</f>
        <v>63.614999999999995</v>
      </c>
      <c r="D42" s="25">
        <f>Diffus!D88</f>
        <v>49.485664516129034</v>
      </c>
      <c r="E42" s="25">
        <f>Diffus!E88</f>
        <v>51.204470000000001</v>
      </c>
      <c r="F42" s="25">
        <f>Diffus!F88</f>
        <v>51.386028356306603</v>
      </c>
      <c r="G42" s="25">
        <f>Diffus!G88</f>
        <v>52.251645285313209</v>
      </c>
      <c r="H42" s="25">
        <f>Diffus!H88</f>
        <v>54.090001073995055</v>
      </c>
      <c r="I42" s="25">
        <f>Diffus!I88</f>
        <v>57.006730610227429</v>
      </c>
      <c r="J42" s="25">
        <f>Diffus!J88</f>
        <v>60.360348735143141</v>
      </c>
      <c r="K42" s="25">
        <f>Diffus!K88</f>
        <v>63.677434912014142</v>
      </c>
    </row>
    <row r="43" spans="2:27" x14ac:dyDescent="0.3">
      <c r="B43" s="36" t="s">
        <v>29</v>
      </c>
      <c r="C43" s="25">
        <f>Diffus!C89</f>
        <v>23.724</v>
      </c>
      <c r="D43" s="25">
        <f>Diffus!D89</f>
        <v>22.1144</v>
      </c>
      <c r="E43" s="25">
        <f>Diffus!E89</f>
        <v>22.860445161290322</v>
      </c>
      <c r="F43" s="25">
        <f>Diffus!F89</f>
        <v>22.456489110486896</v>
      </c>
      <c r="G43" s="25">
        <f>Diffus!G89</f>
        <v>22.835099734825281</v>
      </c>
      <c r="H43" s="25">
        <f>Diffus!H89</f>
        <v>23.434414839927978</v>
      </c>
      <c r="I43" s="25">
        <f>Diffus!I89</f>
        <v>24.471042961258018</v>
      </c>
      <c r="J43" s="25">
        <f>Diffus!J89</f>
        <v>25.656502536574852</v>
      </c>
      <c r="K43" s="25">
        <f>Diffus!K89</f>
        <v>26.782577856816456</v>
      </c>
    </row>
    <row r="44" spans="2:27" x14ac:dyDescent="0.3">
      <c r="B44" s="36" t="s">
        <v>30</v>
      </c>
      <c r="C44" s="25">
        <f>Diffus!C90</f>
        <v>214.27599999999995</v>
      </c>
      <c r="D44" s="25">
        <f>Diffus!D90</f>
        <v>191.09512258064521</v>
      </c>
      <c r="E44" s="25">
        <f>Diffus!E90</f>
        <v>196.08386869326526</v>
      </c>
      <c r="F44" s="25">
        <f>Diffus!F90</f>
        <v>186.39377607645531</v>
      </c>
      <c r="G44" s="25">
        <f>Diffus!G90</f>
        <v>186.52070212257473</v>
      </c>
      <c r="H44" s="25">
        <f>Diffus!H90</f>
        <v>189.21216038788336</v>
      </c>
      <c r="I44" s="25">
        <f>Diffus!I90</f>
        <v>194.88429647997427</v>
      </c>
      <c r="J44" s="25">
        <f>Diffus!J90</f>
        <v>204.40978397886622</v>
      </c>
      <c r="K44" s="25">
        <f>Diffus!K90</f>
        <v>215.23235389802414</v>
      </c>
    </row>
    <row r="45" spans="2:27" x14ac:dyDescent="0.3">
      <c r="B45" s="37" t="s">
        <v>31</v>
      </c>
      <c r="C45" s="25">
        <f>Diffus!C91</f>
        <v>114.88200000000001</v>
      </c>
      <c r="D45" s="25">
        <f>Diffus!D91</f>
        <v>101.443</v>
      </c>
      <c r="E45" s="25">
        <f>Diffus!E91</f>
        <v>108.227</v>
      </c>
      <c r="F45" s="25">
        <f>Diffus!F91</f>
        <v>114.07709031300605</v>
      </c>
      <c r="G45" s="25">
        <f>Diffus!G91</f>
        <v>117.30882926786353</v>
      </c>
      <c r="H45" s="25">
        <f>Diffus!H91</f>
        <v>121.98493624758126</v>
      </c>
      <c r="I45" s="25">
        <f>Diffus!I91</f>
        <v>127.46802251378823</v>
      </c>
      <c r="J45" s="25">
        <f>Diffus!J91</f>
        <v>134.81295783795625</v>
      </c>
      <c r="K45" s="25">
        <f>Diffus!K91</f>
        <v>143.1910367337596</v>
      </c>
    </row>
    <row r="46" spans="2:27" x14ac:dyDescent="0.3">
      <c r="B46" s="31" t="s">
        <v>33</v>
      </c>
      <c r="C46" s="31"/>
      <c r="D46" s="32"/>
      <c r="E46" s="32"/>
      <c r="F46" s="32"/>
      <c r="G46" s="32"/>
      <c r="H46" s="32"/>
      <c r="I46" s="32"/>
    </row>
    <row r="47" spans="2:27" x14ac:dyDescent="0.3">
      <c r="B47" s="31"/>
      <c r="C47" s="31"/>
      <c r="J47" s="33"/>
    </row>
    <row r="48" spans="2:27" x14ac:dyDescent="0.3">
      <c r="B48" s="435" t="s">
        <v>32</v>
      </c>
      <c r="C48" s="477" t="s">
        <v>22</v>
      </c>
      <c r="D48" s="478"/>
      <c r="E48" s="478"/>
      <c r="F48" s="478"/>
      <c r="G48" s="478"/>
      <c r="H48" s="478"/>
      <c r="I48" s="479"/>
      <c r="J48" s="435"/>
      <c r="K48" s="435"/>
    </row>
    <row r="49" spans="2:11" x14ac:dyDescent="0.3">
      <c r="B49" s="470"/>
      <c r="C49" s="435">
        <v>2019</v>
      </c>
      <c r="D49" s="470">
        <v>2020</v>
      </c>
      <c r="E49" s="470">
        <v>2021</v>
      </c>
      <c r="F49" s="470">
        <v>2025</v>
      </c>
      <c r="G49" s="470">
        <v>2030</v>
      </c>
      <c r="H49" s="470">
        <v>2035</v>
      </c>
      <c r="I49" s="470">
        <v>2040</v>
      </c>
      <c r="J49" s="470">
        <v>2045</v>
      </c>
      <c r="K49" s="470">
        <v>2050</v>
      </c>
    </row>
    <row r="50" spans="2:11" x14ac:dyDescent="0.3">
      <c r="B50" s="463" t="s">
        <v>24</v>
      </c>
      <c r="C50" s="472">
        <f>Diffus!C97</f>
        <v>25.805</v>
      </c>
      <c r="D50" s="472">
        <f>Diffus!D97</f>
        <v>22.681716129032257</v>
      </c>
      <c r="E50" s="472">
        <f>Diffus!E97</f>
        <v>24.457000000000001</v>
      </c>
      <c r="F50" s="472">
        <f>Diffus!F97</f>
        <v>25.256464604687462</v>
      </c>
      <c r="G50" s="472">
        <f>Diffus!G97</f>
        <v>25.999582431960746</v>
      </c>
      <c r="H50" s="472">
        <f>Diffus!H97</f>
        <v>25.792603102870149</v>
      </c>
      <c r="I50" s="472">
        <f>Diffus!I97</f>
        <v>27.173359302479476</v>
      </c>
      <c r="J50" s="472">
        <f>Diffus!J97</f>
        <v>29.15270863675406</v>
      </c>
      <c r="K50" s="472">
        <f>Diffus!K97</f>
        <v>31.63786209990819</v>
      </c>
    </row>
    <row r="51" spans="2:11" x14ac:dyDescent="0.3">
      <c r="B51" s="463" t="s">
        <v>25</v>
      </c>
      <c r="C51" s="472">
        <f>Diffus!C98</f>
        <v>47.174999999999997</v>
      </c>
      <c r="D51" s="472">
        <f>Diffus!D98</f>
        <v>45.592941935483879</v>
      </c>
      <c r="E51" s="472">
        <f>Diffus!E98</f>
        <v>46.328000000000003</v>
      </c>
      <c r="F51" s="472">
        <f>Diffus!F98</f>
        <v>47.193941419121451</v>
      </c>
      <c r="G51" s="472">
        <f>Diffus!G98</f>
        <v>49.753114886258068</v>
      </c>
      <c r="H51" s="472">
        <f>Diffus!H98</f>
        <v>50.176378168600408</v>
      </c>
      <c r="I51" s="472">
        <f>Diffus!I98</f>
        <v>53.13259456303259</v>
      </c>
      <c r="J51" s="472">
        <f>Diffus!J98</f>
        <v>56.770453635797828</v>
      </c>
      <c r="K51" s="472">
        <f>Diffus!K98</f>
        <v>60.3574681381563</v>
      </c>
    </row>
    <row r="52" spans="2:11" x14ac:dyDescent="0.3">
      <c r="B52" s="463" t="s">
        <v>26</v>
      </c>
      <c r="C52" s="472">
        <f>Diffus!C99</f>
        <v>8.359</v>
      </c>
      <c r="D52" s="472">
        <f>Diffus!D99</f>
        <v>7.4158451612903225</v>
      </c>
      <c r="E52" s="472">
        <f>Diffus!E99</f>
        <v>8.1720000000000006</v>
      </c>
      <c r="F52" s="472">
        <f>Diffus!F99</f>
        <v>8.4325674168882401</v>
      </c>
      <c r="G52" s="472">
        <f>Diffus!G99</f>
        <v>8.5533775386889488</v>
      </c>
      <c r="H52" s="472">
        <f>Diffus!H99</f>
        <v>8.5034645211603976</v>
      </c>
      <c r="I52" s="472">
        <f>Diffus!I99</f>
        <v>8.6816195241243062</v>
      </c>
      <c r="J52" s="472">
        <f>Diffus!J99</f>
        <v>9.056340443210825</v>
      </c>
      <c r="K52" s="472">
        <f>Diffus!K99</f>
        <v>9.5265579976361163</v>
      </c>
    </row>
    <row r="53" spans="2:11" x14ac:dyDescent="0.3">
      <c r="B53" s="463" t="s">
        <v>27</v>
      </c>
      <c r="C53" s="472">
        <f>Diffus!C100</f>
        <v>45.597999999999999</v>
      </c>
      <c r="D53" s="472">
        <f>Diffus!D100</f>
        <v>43.804554838709677</v>
      </c>
      <c r="E53" s="472">
        <f>Diffus!E100</f>
        <v>44.859000000000002</v>
      </c>
      <c r="F53" s="472">
        <f>Diffus!F100</f>
        <v>46.746123341807944</v>
      </c>
      <c r="G53" s="472">
        <f>Diffus!G100</f>
        <v>48.929057633134789</v>
      </c>
      <c r="H53" s="472">
        <f>Diffus!H100</f>
        <v>51.121043366922819</v>
      </c>
      <c r="I53" s="472">
        <f>Diffus!I100</f>
        <v>54.054345251666348</v>
      </c>
      <c r="J53" s="472">
        <f>Diffus!J100</f>
        <v>58.743109113118166</v>
      </c>
      <c r="K53" s="472">
        <f>Diffus!K100</f>
        <v>63.611128428896563</v>
      </c>
    </row>
    <row r="54" spans="2:11" x14ac:dyDescent="0.3">
      <c r="B54" s="463" t="s">
        <v>28</v>
      </c>
      <c r="C54" s="472">
        <f>Diffus!C101</f>
        <v>63.614999999999995</v>
      </c>
      <c r="D54" s="472">
        <f>Diffus!D101</f>
        <v>49.485664516129034</v>
      </c>
      <c r="E54" s="472">
        <f>Diffus!E101</f>
        <v>52.09</v>
      </c>
      <c r="F54" s="472">
        <f>Diffus!F101</f>
        <v>54.610634472835841</v>
      </c>
      <c r="G54" s="472">
        <f>Diffus!G101</f>
        <v>57.416368611115956</v>
      </c>
      <c r="H54" s="472">
        <f>Diffus!H101</f>
        <v>60.1217945450502</v>
      </c>
      <c r="I54" s="472">
        <f>Diffus!I101</f>
        <v>63.484649283824005</v>
      </c>
      <c r="J54" s="472">
        <f>Diffus!J101</f>
        <v>67.302902254388101</v>
      </c>
      <c r="K54" s="472">
        <f>Diffus!K101</f>
        <v>71.385615848851643</v>
      </c>
    </row>
    <row r="55" spans="2:11" x14ac:dyDescent="0.3">
      <c r="B55" s="463" t="s">
        <v>29</v>
      </c>
      <c r="C55" s="472">
        <f>Diffus!C102</f>
        <v>23.724</v>
      </c>
      <c r="D55" s="472">
        <f>Diffus!D102</f>
        <v>22.1144</v>
      </c>
      <c r="E55" s="472">
        <f>Diffus!E102</f>
        <v>23.780999999999999</v>
      </c>
      <c r="F55" s="472">
        <f>Diffus!F102</f>
        <v>24.381141228286015</v>
      </c>
      <c r="G55" s="472">
        <f>Diffus!G102</f>
        <v>25.634134902272979</v>
      </c>
      <c r="H55" s="472">
        <f>Diffus!H102</f>
        <v>26.610256449317106</v>
      </c>
      <c r="I55" s="472">
        <f>Diffus!I102</f>
        <v>27.840374369821035</v>
      </c>
      <c r="J55" s="472">
        <f>Diffus!J102</f>
        <v>29.225335602311397</v>
      </c>
      <c r="K55" s="472">
        <f>Diffus!K102</f>
        <v>30.6730898874399</v>
      </c>
    </row>
    <row r="56" spans="2:11" x14ac:dyDescent="0.3">
      <c r="B56" s="463" t="s">
        <v>30</v>
      </c>
      <c r="C56" s="472">
        <f>Diffus!C103</f>
        <v>214.27599999999995</v>
      </c>
      <c r="D56" s="472">
        <f>Diffus!D103</f>
        <v>191.09512258064521</v>
      </c>
      <c r="E56" s="472">
        <f>Diffus!E103</f>
        <v>199.68700000000001</v>
      </c>
      <c r="F56" s="472">
        <f>Diffus!F103</f>
        <v>206.63582067045283</v>
      </c>
      <c r="G56" s="472">
        <f>Diffus!G103</f>
        <v>216.34704083822871</v>
      </c>
      <c r="H56" s="472">
        <f>Diffus!H103</f>
        <v>222.42227480408826</v>
      </c>
      <c r="I56" s="472">
        <f>Diffus!I103</f>
        <v>234.52716814351962</v>
      </c>
      <c r="J56" s="472">
        <f>Diffus!J103</f>
        <v>250.50895141169477</v>
      </c>
      <c r="K56" s="472">
        <f>Diffus!K103</f>
        <v>267.68291388878964</v>
      </c>
    </row>
    <row r="57" spans="2:11" x14ac:dyDescent="0.3">
      <c r="B57" s="480" t="s">
        <v>31</v>
      </c>
      <c r="C57" s="472">
        <f>Diffus!C104</f>
        <v>114.88200000000001</v>
      </c>
      <c r="D57" s="472">
        <f>Diffus!D104</f>
        <v>101.443</v>
      </c>
      <c r="E57" s="472">
        <f>Diffus!E104</f>
        <v>108.227</v>
      </c>
      <c r="F57" s="472">
        <f>Diffus!F104</f>
        <v>111.90446198810282</v>
      </c>
      <c r="G57" s="472">
        <f>Diffus!G104</f>
        <v>111.60902686751734</v>
      </c>
      <c r="H57" s="472">
        <f>Diffus!H104</f>
        <v>110.28798392659493</v>
      </c>
      <c r="I57" s="472">
        <f>Diffus!I104</f>
        <v>110.67153195519023</v>
      </c>
      <c r="J57" s="472">
        <f>Diffus!J104</f>
        <v>112.51428931843975</v>
      </c>
      <c r="K57" s="472">
        <f>Diffus!K104</f>
        <v>116.70087476600506</v>
      </c>
    </row>
    <row r="58" spans="2:11" x14ac:dyDescent="0.3">
      <c r="B58" s="31" t="s">
        <v>33</v>
      </c>
      <c r="D58" s="32"/>
      <c r="E58" s="32"/>
      <c r="F58" s="32"/>
      <c r="G58" s="32"/>
      <c r="H58" s="32"/>
      <c r="I58" s="32"/>
    </row>
  </sheetData>
  <mergeCells count="9">
    <mergeCell ref="B22:E22"/>
    <mergeCell ref="J24:P24"/>
    <mergeCell ref="Q24:W24"/>
    <mergeCell ref="B2:G2"/>
    <mergeCell ref="B4:C4"/>
    <mergeCell ref="J6:P6"/>
    <mergeCell ref="Q6:W6"/>
    <mergeCell ref="C24:I24"/>
    <mergeCell ref="C6:I6"/>
  </mergeCell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DC3E6"/>
  </sheetPr>
  <dimension ref="A1:AMM145"/>
  <sheetViews>
    <sheetView topLeftCell="A136" workbookViewId="0">
      <selection activeCell="K130" sqref="K130"/>
    </sheetView>
  </sheetViews>
  <sheetFormatPr baseColWidth="10" defaultColWidth="8.6640625" defaultRowHeight="14.4" x14ac:dyDescent="0.3"/>
  <cols>
    <col min="1" max="1" width="10.44140625" style="38" customWidth="1"/>
    <col min="2" max="2" width="13.33203125" style="38" customWidth="1"/>
    <col min="3" max="1027" width="10.44140625" style="38" customWidth="1"/>
  </cols>
  <sheetData>
    <row r="1" spans="1:10 1027:1027" x14ac:dyDescent="0.3">
      <c r="A1" s="38" t="s">
        <v>34</v>
      </c>
    </row>
    <row r="2" spans="1:10 1027:1027" x14ac:dyDescent="0.3">
      <c r="B2" s="661" t="s">
        <v>35</v>
      </c>
      <c r="C2" s="661"/>
      <c r="D2" s="661"/>
      <c r="E2" s="661"/>
    </row>
    <row r="3" spans="1:10 1027:1027" ht="14.7" customHeight="1" x14ac:dyDescent="0.3">
      <c r="B3" s="2"/>
      <c r="C3" s="38">
        <f t="shared" ref="C3:F3" si="0">(C9+0.16*C8)/C7</f>
        <v>0.44389662027832999</v>
      </c>
      <c r="D3" s="38">
        <f t="shared" si="0"/>
        <v>0.44251903114186852</v>
      </c>
      <c r="E3" s="38">
        <f t="shared" si="0"/>
        <v>0.42223076923076924</v>
      </c>
      <c r="F3" s="38">
        <f t="shared" si="0"/>
        <v>0.4236893203883495</v>
      </c>
      <c r="G3" s="38">
        <f>(G9+0.16*G8)/G7</f>
        <v>0.41677861549006168</v>
      </c>
      <c r="H3" s="38">
        <f>(H9+0.16*H8)/H7</f>
        <v>0.429611734253667</v>
      </c>
      <c r="I3" s="38">
        <f>(I9+0.16*I8)/I7</f>
        <v>0.44558263181213997</v>
      </c>
    </row>
    <row r="5" spans="1:10 1027:1027" x14ac:dyDescent="0.3">
      <c r="B5" s="1"/>
      <c r="C5" s="668" t="s">
        <v>2</v>
      </c>
      <c r="D5" s="668"/>
      <c r="E5" s="668"/>
      <c r="F5" s="668"/>
      <c r="G5" s="668"/>
      <c r="H5" s="668"/>
      <c r="I5" s="668"/>
      <c r="J5" s="1"/>
    </row>
    <row r="6" spans="1:10 1027:1027" x14ac:dyDescent="0.3">
      <c r="B6" s="1" t="s">
        <v>5</v>
      </c>
      <c r="C6" s="5">
        <v>2015</v>
      </c>
      <c r="D6" s="5">
        <v>2016</v>
      </c>
      <c r="E6" s="5">
        <v>2017</v>
      </c>
      <c r="F6" s="5">
        <v>2018</v>
      </c>
      <c r="G6" s="5">
        <v>2019</v>
      </c>
      <c r="H6" s="5">
        <v>2020</v>
      </c>
      <c r="I6" s="5">
        <v>2021</v>
      </c>
      <c r="J6" s="1" t="s">
        <v>36</v>
      </c>
      <c r="AMM6"/>
    </row>
    <row r="7" spans="1:10 1027:1027" x14ac:dyDescent="0.3">
      <c r="B7" s="39" t="s">
        <v>6</v>
      </c>
      <c r="C7" s="5">
        <v>15.09</v>
      </c>
      <c r="D7" s="40">
        <v>14.45</v>
      </c>
      <c r="E7" s="5">
        <v>15.6</v>
      </c>
      <c r="F7" s="5">
        <v>15.45</v>
      </c>
      <c r="G7" s="5">
        <v>14.59</v>
      </c>
      <c r="H7" s="5">
        <v>11.59</v>
      </c>
      <c r="I7" s="5">
        <f>I8+I9</f>
        <v>13.542000000000002</v>
      </c>
      <c r="J7" s="1" t="s">
        <v>37</v>
      </c>
      <c r="AMM7"/>
    </row>
    <row r="8" spans="1:10 1027:1027" x14ac:dyDescent="0.3">
      <c r="B8" s="39" t="s">
        <v>7</v>
      </c>
      <c r="C8" s="5">
        <f t="shared" ref="C8:H8" si="1">C7-C9</f>
        <v>9.99</v>
      </c>
      <c r="D8" s="5">
        <f t="shared" si="1"/>
        <v>9.59</v>
      </c>
      <c r="E8" s="5">
        <f t="shared" si="1"/>
        <v>10.73</v>
      </c>
      <c r="F8" s="5">
        <f t="shared" si="1"/>
        <v>10.6</v>
      </c>
      <c r="G8" s="5">
        <f t="shared" si="1"/>
        <v>10.129999999999999</v>
      </c>
      <c r="H8" s="5">
        <f t="shared" si="1"/>
        <v>7.8699999999999992</v>
      </c>
      <c r="I8" s="5">
        <v>8.9380000000000006</v>
      </c>
      <c r="J8" s="1" t="s">
        <v>37</v>
      </c>
      <c r="AMM8"/>
    </row>
    <row r="9" spans="1:10 1027:1027" x14ac:dyDescent="0.3">
      <c r="B9" s="39" t="s">
        <v>8</v>
      </c>
      <c r="C9" s="5">
        <v>5.0999999999999996</v>
      </c>
      <c r="D9" s="5">
        <v>4.8600000000000003</v>
      </c>
      <c r="E9" s="5">
        <v>4.87</v>
      </c>
      <c r="F9" s="5">
        <v>4.8499999999999996</v>
      </c>
      <c r="G9" s="5">
        <v>4.46</v>
      </c>
      <c r="H9" s="5">
        <v>3.72</v>
      </c>
      <c r="I9" s="5">
        <v>4.6040000000000001</v>
      </c>
      <c r="J9" s="1" t="s">
        <v>37</v>
      </c>
      <c r="AMM9"/>
    </row>
    <row r="10" spans="1:10 1027:1027" x14ac:dyDescent="0.3">
      <c r="B10" s="39" t="s">
        <v>38</v>
      </c>
      <c r="C10" s="41">
        <v>0</v>
      </c>
      <c r="D10" s="41">
        <v>0</v>
      </c>
      <c r="E10" s="41">
        <v>0</v>
      </c>
      <c r="F10" s="41">
        <v>0</v>
      </c>
      <c r="G10" s="41">
        <v>0</v>
      </c>
      <c r="H10" s="41">
        <v>0</v>
      </c>
      <c r="I10" s="41">
        <v>0</v>
      </c>
      <c r="AMM10"/>
    </row>
    <row r="11" spans="1:10 1027:1027" x14ac:dyDescent="0.3">
      <c r="B11" s="39" t="s">
        <v>10</v>
      </c>
      <c r="C11" s="5">
        <v>0.89300000000000002</v>
      </c>
      <c r="D11" s="5">
        <v>0.91800000000000004</v>
      </c>
      <c r="E11" s="5">
        <v>0.94199999999999995</v>
      </c>
      <c r="F11" s="5">
        <v>0.878</v>
      </c>
      <c r="G11" s="5">
        <v>0.89400000000000002</v>
      </c>
      <c r="H11" s="42">
        <f>G11*0.897402216594645</f>
        <v>0.80227758163561269</v>
      </c>
      <c r="I11" s="42">
        <f>I12/0.53276828879972</f>
        <v>0.79959713998695459</v>
      </c>
      <c r="J11" s="43" t="s">
        <v>876</v>
      </c>
      <c r="AMM11"/>
    </row>
    <row r="12" spans="1:10 1027:1027" x14ac:dyDescent="0.3">
      <c r="B12" s="44" t="s">
        <v>40</v>
      </c>
      <c r="C12" s="12">
        <v>0.47199999999999998</v>
      </c>
      <c r="D12" s="12">
        <v>0.48799999999999999</v>
      </c>
      <c r="E12" s="12">
        <v>0.50800000000000001</v>
      </c>
      <c r="F12" s="12">
        <v>0.496</v>
      </c>
      <c r="G12" s="12">
        <v>0.47599999999999998</v>
      </c>
      <c r="H12" s="12">
        <v>0.40100000000000002</v>
      </c>
      <c r="I12" s="12">
        <v>0.42599999999999999</v>
      </c>
      <c r="J12" s="43" t="s">
        <v>39</v>
      </c>
      <c r="AMM12"/>
    </row>
    <row r="13" spans="1:10 1027:1027" x14ac:dyDescent="0.3">
      <c r="B13" s="45" t="s">
        <v>10</v>
      </c>
      <c r="C13" s="46">
        <v>0.59606630876712297</v>
      </c>
      <c r="D13" s="46">
        <v>0.62261217300000005</v>
      </c>
      <c r="E13" s="46">
        <v>0.63699879999999998</v>
      </c>
      <c r="F13" s="46">
        <v>0.58305099999999999</v>
      </c>
      <c r="G13" s="46">
        <v>0.60604567600000003</v>
      </c>
      <c r="H13" s="46">
        <v>0.54386673299999999</v>
      </c>
      <c r="I13" s="46">
        <f>0.426+0.151</f>
        <v>0.57699999999999996</v>
      </c>
      <c r="J13" s="47" t="s">
        <v>37</v>
      </c>
      <c r="AMM13"/>
    </row>
    <row r="14" spans="1:10 1027:1027" x14ac:dyDescent="0.3">
      <c r="B14" s="45" t="s">
        <v>41</v>
      </c>
      <c r="C14" s="48">
        <v>0.17699999999999999</v>
      </c>
      <c r="D14" s="48">
        <v>0.19400000000000001</v>
      </c>
      <c r="E14" s="48">
        <v>0.20499999999999999</v>
      </c>
      <c r="F14" s="48">
        <v>0.2</v>
      </c>
      <c r="G14" s="48">
        <v>0.184</v>
      </c>
      <c r="H14" s="48">
        <v>0.125</v>
      </c>
      <c r="I14" s="48">
        <v>0.151</v>
      </c>
      <c r="J14" s="47" t="s">
        <v>37</v>
      </c>
      <c r="AMM14"/>
    </row>
    <row r="15" spans="1:10 1027:1027" x14ac:dyDescent="0.3">
      <c r="B15" s="39" t="s">
        <v>12</v>
      </c>
      <c r="C15" s="5">
        <v>2.5099999999999998</v>
      </c>
      <c r="D15" s="5">
        <v>2.2400000000000002</v>
      </c>
      <c r="E15" s="5">
        <v>2.59</v>
      </c>
      <c r="F15" s="5">
        <v>2.16</v>
      </c>
      <c r="G15" s="5">
        <v>2.34</v>
      </c>
      <c r="H15" s="5">
        <v>2.27</v>
      </c>
      <c r="I15" s="5">
        <v>2.3140000000000001</v>
      </c>
      <c r="J15" s="1" t="s">
        <v>37</v>
      </c>
      <c r="AMM15"/>
    </row>
    <row r="16" spans="1:10 1027:1027" x14ac:dyDescent="0.3">
      <c r="B16" s="39" t="s">
        <v>13</v>
      </c>
      <c r="C16" s="5">
        <v>0.92</v>
      </c>
      <c r="D16" s="5">
        <v>0.92</v>
      </c>
      <c r="E16" s="5">
        <v>0.97</v>
      </c>
      <c r="F16" s="5">
        <v>0.89</v>
      </c>
      <c r="G16" s="5">
        <v>0.96</v>
      </c>
      <c r="H16" s="5">
        <v>0.89</v>
      </c>
      <c r="I16" s="5">
        <v>0.89700000000000002</v>
      </c>
      <c r="J16" s="1" t="s">
        <v>37</v>
      </c>
      <c r="AMM16"/>
    </row>
    <row r="17" spans="2:25 1027:1027" x14ac:dyDescent="0.3">
      <c r="B17" s="39" t="s">
        <v>14</v>
      </c>
      <c r="C17" s="5">
        <v>1.07</v>
      </c>
      <c r="D17" s="5">
        <v>1.1000000000000001</v>
      </c>
      <c r="E17" s="5">
        <v>0.91</v>
      </c>
      <c r="F17" s="5">
        <v>1.1100000000000001</v>
      </c>
      <c r="G17" s="5">
        <v>1.07</v>
      </c>
      <c r="H17" s="5">
        <v>1</v>
      </c>
      <c r="I17" s="5">
        <v>0.91649999999999998</v>
      </c>
      <c r="J17" s="1" t="s">
        <v>37</v>
      </c>
      <c r="AMM17"/>
    </row>
    <row r="18" spans="2:25 1027:1027" x14ac:dyDescent="0.3">
      <c r="B18" s="39" t="s">
        <v>15</v>
      </c>
      <c r="C18" s="5">
        <v>12.54</v>
      </c>
      <c r="D18" s="5">
        <v>12.67</v>
      </c>
      <c r="E18" s="5">
        <v>12.36</v>
      </c>
      <c r="F18" s="5">
        <v>12.84</v>
      </c>
      <c r="G18" s="5">
        <v>12.94</v>
      </c>
      <c r="H18" s="5">
        <v>11.77</v>
      </c>
      <c r="I18" s="5">
        <v>12.222</v>
      </c>
      <c r="J18" s="1" t="s">
        <v>37</v>
      </c>
      <c r="AMM18"/>
    </row>
    <row r="19" spans="2:25 1027:1027" x14ac:dyDescent="0.3">
      <c r="B19" s="39" t="s">
        <v>16</v>
      </c>
      <c r="C19" s="16">
        <v>5.4624895107140601</v>
      </c>
      <c r="D19" s="16">
        <v>5.1683689900000003</v>
      </c>
      <c r="E19" s="16">
        <v>5.5996366200000001</v>
      </c>
      <c r="F19" s="16">
        <v>5.66565545</v>
      </c>
      <c r="G19" s="16">
        <v>5.6971323500000004</v>
      </c>
      <c r="H19" s="16">
        <v>5.0235558500000002</v>
      </c>
      <c r="I19" s="16">
        <v>5.6180000000000003</v>
      </c>
      <c r="J19" s="49" t="s">
        <v>37</v>
      </c>
      <c r="AMM19"/>
    </row>
    <row r="20" spans="2:25 1027:1027" x14ac:dyDescent="0.3">
      <c r="B20" s="39" t="s">
        <v>17</v>
      </c>
      <c r="C20" s="5">
        <v>7.99</v>
      </c>
      <c r="D20" s="5">
        <v>7.98</v>
      </c>
      <c r="E20" s="5">
        <v>8.02</v>
      </c>
      <c r="F20" s="5">
        <v>7.87</v>
      </c>
      <c r="G20" s="5">
        <v>7.32</v>
      </c>
      <c r="H20" s="16">
        <f>G20*0.930316272251903</f>
        <v>6.8099151128839308</v>
      </c>
      <c r="I20" s="16">
        <f>I21/0.181999465672652</f>
        <v>7.3736480216582017</v>
      </c>
      <c r="J20" s="43" t="s">
        <v>877</v>
      </c>
      <c r="AMM20"/>
    </row>
    <row r="21" spans="2:25 1027:1027" x14ac:dyDescent="0.3">
      <c r="B21" s="50" t="s">
        <v>17</v>
      </c>
      <c r="C21" s="51">
        <v>1.4770000000000001</v>
      </c>
      <c r="D21" s="51">
        <v>1.423</v>
      </c>
      <c r="E21" s="51">
        <v>1.4059999999999999</v>
      </c>
      <c r="F21" s="51">
        <v>1.3029999999999999</v>
      </c>
      <c r="G21" s="51">
        <v>1.351</v>
      </c>
      <c r="H21" s="51">
        <v>1.385</v>
      </c>
      <c r="I21" s="51">
        <v>1.3420000000000001</v>
      </c>
      <c r="J21" s="47" t="s">
        <v>42</v>
      </c>
      <c r="AMM21"/>
    </row>
    <row r="22" spans="2:25 1027:1027" x14ac:dyDescent="0.3">
      <c r="B22" s="39" t="s">
        <v>18</v>
      </c>
      <c r="C22" s="5">
        <v>4.5199999999999996</v>
      </c>
      <c r="D22" s="5">
        <v>4.68</v>
      </c>
      <c r="E22" s="5">
        <v>6.24</v>
      </c>
      <c r="F22" s="5">
        <v>5.09</v>
      </c>
      <c r="G22" s="5">
        <v>4.96</v>
      </c>
      <c r="H22" s="5">
        <v>3.38</v>
      </c>
      <c r="I22" s="5">
        <v>4.5599999999999996</v>
      </c>
      <c r="J22" s="1" t="s">
        <v>37</v>
      </c>
      <c r="AMM22"/>
    </row>
    <row r="25" spans="2:25 1027:1027" x14ac:dyDescent="0.3">
      <c r="B25" s="661" t="s">
        <v>43</v>
      </c>
      <c r="C25" s="661"/>
      <c r="D25" s="661"/>
      <c r="E25" s="661"/>
      <c r="H25" s="52"/>
    </row>
    <row r="26" spans="2:25 1027:1027" x14ac:dyDescent="0.3">
      <c r="B26" s="53"/>
      <c r="C26" s="53"/>
      <c r="D26" s="53"/>
      <c r="E26" s="53"/>
      <c r="H26" s="52"/>
      <c r="N26" s="54"/>
    </row>
    <row r="27" spans="2:25 1027:1027" x14ac:dyDescent="0.3">
      <c r="B27" s="38" t="s">
        <v>3</v>
      </c>
      <c r="D27" s="55" t="s">
        <v>44</v>
      </c>
      <c r="E27" s="55"/>
      <c r="F27" s="55"/>
      <c r="G27" s="55"/>
      <c r="H27" s="55"/>
      <c r="I27" s="55"/>
      <c r="J27" s="55"/>
      <c r="K27" s="55"/>
      <c r="L27" s="55"/>
      <c r="M27" s="55"/>
      <c r="N27" s="55" t="s">
        <v>45</v>
      </c>
      <c r="O27" s="55"/>
      <c r="P27" s="55"/>
      <c r="Q27" s="55"/>
      <c r="R27" s="55"/>
      <c r="S27" s="55"/>
      <c r="T27" s="55"/>
      <c r="U27" s="55"/>
      <c r="V27" s="55"/>
      <c r="W27" s="55"/>
    </row>
    <row r="28" spans="2:25 1027:1027" x14ac:dyDescent="0.3">
      <c r="B28" s="56" t="s">
        <v>46</v>
      </c>
      <c r="C28" s="57"/>
      <c r="D28" s="58">
        <v>2015</v>
      </c>
      <c r="E28" s="58">
        <v>2019</v>
      </c>
      <c r="F28" s="59">
        <v>2020</v>
      </c>
      <c r="G28" s="59">
        <v>2021</v>
      </c>
      <c r="H28" s="59">
        <v>2025</v>
      </c>
      <c r="I28" s="59">
        <v>2030</v>
      </c>
      <c r="J28" s="59">
        <v>2035</v>
      </c>
      <c r="K28" s="59">
        <v>2040</v>
      </c>
      <c r="L28" s="59">
        <v>2045</v>
      </c>
      <c r="M28" s="60">
        <v>2050</v>
      </c>
      <c r="N28" s="58">
        <v>2015</v>
      </c>
      <c r="O28" s="61">
        <v>2019</v>
      </c>
      <c r="P28" s="59">
        <v>2020</v>
      </c>
      <c r="Q28" s="59">
        <v>2021</v>
      </c>
      <c r="R28" s="59">
        <v>2025</v>
      </c>
      <c r="S28" s="59">
        <v>2030</v>
      </c>
      <c r="T28" s="59">
        <v>2035</v>
      </c>
      <c r="U28" s="59">
        <v>2040</v>
      </c>
      <c r="V28" s="59">
        <v>2045</v>
      </c>
      <c r="W28" s="60">
        <v>2050</v>
      </c>
    </row>
    <row r="29" spans="2:25 1027:1027" x14ac:dyDescent="0.3">
      <c r="B29" s="62" t="s">
        <v>6</v>
      </c>
      <c r="C29" s="63"/>
      <c r="D29" s="64">
        <f>'Pepit0 AME'!D52</f>
        <v>12.452717393481137</v>
      </c>
      <c r="E29" s="64">
        <f>'Pepit0 AME'!M52</f>
        <v>12.240883970856911</v>
      </c>
      <c r="F29" s="65">
        <f t="shared" ref="F29:F37" si="2">$E29+($I29-$E29)*1/11</f>
        <v>12.23757171360511</v>
      </c>
      <c r="G29" s="65">
        <f t="shared" ref="G29:G37" si="3">$E29+($I29-$E29)*2/11</f>
        <v>12.234259456353307</v>
      </c>
      <c r="H29" s="65">
        <f t="shared" ref="H29:H37" si="4">$E29+($I29-$E29)*6/11</f>
        <v>12.2210104273461</v>
      </c>
      <c r="I29" s="65">
        <f>'Pepit0 AME'!V52</f>
        <v>12.204449141087089</v>
      </c>
      <c r="J29" s="65">
        <f t="shared" ref="J29:J37" si="5">$I29+($M29-$I29)*5/20</f>
        <v>12.371749642396779</v>
      </c>
      <c r="K29" s="65">
        <f t="shared" ref="K29:K37" si="6">$I29+($M29-$I29)*10/20</f>
        <v>12.539050143706467</v>
      </c>
      <c r="L29" s="65">
        <f t="shared" ref="L29:L37" si="7">$I29+($M29-$I29)*15/20</f>
        <v>12.706350645016155</v>
      </c>
      <c r="M29" s="66">
        <f>'Pepit0 AME'!AW52</f>
        <v>12.873651146325845</v>
      </c>
      <c r="N29" s="64">
        <f t="shared" ref="N29:N38" si="8">D29/$D29</f>
        <v>1</v>
      </c>
      <c r="O29" s="64">
        <f t="shared" ref="O29:O38" si="9">E29/$D29</f>
        <v>0.98298898016146108</v>
      </c>
      <c r="P29" s="64">
        <f t="shared" ref="P29:Q38" si="10">F29/$D29</f>
        <v>0.98272299345774494</v>
      </c>
      <c r="Q29" s="64">
        <f t="shared" si="10"/>
        <v>0.98245700675402858</v>
      </c>
      <c r="R29" s="64">
        <f t="shared" ref="R29:R38" si="11">H29/$D29</f>
        <v>0.9813930599391637</v>
      </c>
      <c r="S29" s="64">
        <f t="shared" ref="S29:S38" si="12">I29/$D29</f>
        <v>0.98006312642058235</v>
      </c>
      <c r="T29" s="64">
        <f t="shared" ref="T29:T38" si="13">J29/$D29</f>
        <v>0.99349798533718081</v>
      </c>
      <c r="U29" s="64">
        <f t="shared" ref="U29:U38" si="14">K29/$D29</f>
        <v>1.006932844253779</v>
      </c>
      <c r="V29" s="64">
        <f t="shared" ref="V29:V38" si="15">L29/$D29</f>
        <v>1.0203677031703773</v>
      </c>
      <c r="W29" s="64">
        <f t="shared" ref="W29:W38" si="16">M29/$D29</f>
        <v>1.0338025620869755</v>
      </c>
    </row>
    <row r="30" spans="2:25 1027:1027" x14ac:dyDescent="0.3">
      <c r="B30" s="62" t="s">
        <v>47</v>
      </c>
      <c r="C30" s="63"/>
      <c r="D30" s="64">
        <f>'Pepit0 AME'!E52</f>
        <v>1.3666520990067765</v>
      </c>
      <c r="E30" s="64">
        <f>'Pepit0 AME'!N52</f>
        <v>1.4419885947101787</v>
      </c>
      <c r="F30" s="65">
        <f t="shared" si="2"/>
        <v>1.4624291302464787</v>
      </c>
      <c r="G30" s="65">
        <f t="shared" si="3"/>
        <v>1.4828696657827785</v>
      </c>
      <c r="H30" s="65">
        <f t="shared" si="4"/>
        <v>1.5646318079279782</v>
      </c>
      <c r="I30" s="65">
        <f>'Pepit0 AME'!W52</f>
        <v>1.6668344856094777</v>
      </c>
      <c r="J30" s="65">
        <f t="shared" si="5"/>
        <v>1.7996988890046572</v>
      </c>
      <c r="K30" s="65">
        <f t="shared" si="6"/>
        <v>1.9325632923998368</v>
      </c>
      <c r="L30" s="65">
        <f t="shared" si="7"/>
        <v>2.0654276957950164</v>
      </c>
      <c r="M30" s="66">
        <f>'Pepit0 AME'!AX52</f>
        <v>2.198292099190196</v>
      </c>
      <c r="N30" s="64">
        <f t="shared" si="8"/>
        <v>1</v>
      </c>
      <c r="O30" s="64">
        <f t="shared" si="9"/>
        <v>1.0551248527391526</v>
      </c>
      <c r="P30" s="64">
        <f t="shared" si="10"/>
        <v>1.070081501582816</v>
      </c>
      <c r="Q30" s="64">
        <f t="shared" si="10"/>
        <v>1.0850381504264792</v>
      </c>
      <c r="R30" s="64">
        <f t="shared" si="11"/>
        <v>1.1448647458011332</v>
      </c>
      <c r="S30" s="64">
        <f t="shared" si="12"/>
        <v>1.2196479900194501</v>
      </c>
      <c r="T30" s="64">
        <f t="shared" si="13"/>
        <v>1.3168668824440399</v>
      </c>
      <c r="U30" s="64">
        <f t="shared" si="14"/>
        <v>1.4140857748686297</v>
      </c>
      <c r="V30" s="64">
        <f t="shared" si="15"/>
        <v>1.5113046672932193</v>
      </c>
      <c r="W30" s="64">
        <f t="shared" si="16"/>
        <v>1.6085235597178091</v>
      </c>
    </row>
    <row r="31" spans="2:25 1027:1027" x14ac:dyDescent="0.3">
      <c r="B31" s="62" t="s">
        <v>16</v>
      </c>
      <c r="C31" s="63"/>
      <c r="D31" s="64">
        <f>'Pepit0 AME'!F52</f>
        <v>4.9308939854919993</v>
      </c>
      <c r="E31" s="64">
        <f>'Pepit0 AME'!O52</f>
        <v>4.8770763930889203</v>
      </c>
      <c r="F31" s="65">
        <f t="shared" si="2"/>
        <v>4.8741678009401799</v>
      </c>
      <c r="G31" s="65">
        <f t="shared" si="3"/>
        <v>4.8712592087914395</v>
      </c>
      <c r="H31" s="65">
        <f t="shared" si="4"/>
        <v>4.859624840196477</v>
      </c>
      <c r="I31" s="65">
        <f>'Pepit0 AME'!X52</f>
        <v>4.8450818794527741</v>
      </c>
      <c r="J31" s="65">
        <f t="shared" si="5"/>
        <v>4.6765797593144445</v>
      </c>
      <c r="K31" s="65">
        <f t="shared" si="6"/>
        <v>4.5080776391761157</v>
      </c>
      <c r="L31" s="65">
        <f t="shared" si="7"/>
        <v>4.3395755190377869</v>
      </c>
      <c r="M31" s="66">
        <f>'Pepit0 AME'!AY52</f>
        <v>4.1710733988994573</v>
      </c>
      <c r="N31" s="64">
        <f t="shared" si="8"/>
        <v>1</v>
      </c>
      <c r="O31" s="64">
        <f t="shared" si="9"/>
        <v>0.98908563182225684</v>
      </c>
      <c r="P31" s="64">
        <f t="shared" si="10"/>
        <v>0.98849576066353828</v>
      </c>
      <c r="Q31" s="64">
        <f t="shared" si="10"/>
        <v>0.98790588950481972</v>
      </c>
      <c r="R31" s="64">
        <f t="shared" si="11"/>
        <v>0.98554640486994549</v>
      </c>
      <c r="S31" s="64">
        <f t="shared" si="12"/>
        <v>0.98259704907635259</v>
      </c>
      <c r="T31" s="64">
        <f t="shared" si="13"/>
        <v>0.94842431678194361</v>
      </c>
      <c r="U31" s="64">
        <f t="shared" si="14"/>
        <v>0.91425158448753474</v>
      </c>
      <c r="V31" s="64">
        <f t="shared" si="15"/>
        <v>0.88007885219312598</v>
      </c>
      <c r="W31" s="64">
        <f t="shared" si="16"/>
        <v>0.84590611989871689</v>
      </c>
    </row>
    <row r="32" spans="2:25 1027:1027" x14ac:dyDescent="0.3">
      <c r="B32" s="62" t="s">
        <v>15</v>
      </c>
      <c r="C32" s="63"/>
      <c r="D32" s="64">
        <f>'Pepit0 AME'!G52</f>
        <v>13.307546795161608</v>
      </c>
      <c r="E32" s="64">
        <f>'Pepit0 AME'!P52</f>
        <v>12.378305742126296</v>
      </c>
      <c r="F32" s="65">
        <f t="shared" si="2"/>
        <v>12.301747766224116</v>
      </c>
      <c r="G32" s="65">
        <f t="shared" si="3"/>
        <v>12.225189790321936</v>
      </c>
      <c r="H32" s="65">
        <f t="shared" si="4"/>
        <v>11.918957886713219</v>
      </c>
      <c r="I32" s="65">
        <f>'Pepit0 AME'!Y52</f>
        <v>11.53616800720232</v>
      </c>
      <c r="J32" s="65">
        <f t="shared" si="5"/>
        <v>10.87826040873281</v>
      </c>
      <c r="K32" s="65">
        <f t="shared" si="6"/>
        <v>10.2203528102633</v>
      </c>
      <c r="L32" s="65">
        <f t="shared" si="7"/>
        <v>9.5624452117937881</v>
      </c>
      <c r="M32" s="66">
        <f>'Pepit0 AME'!AZ52</f>
        <v>8.904537613324278</v>
      </c>
      <c r="N32" s="64">
        <f t="shared" si="8"/>
        <v>1</v>
      </c>
      <c r="O32" s="64">
        <f t="shared" si="9"/>
        <v>0.93017187409980262</v>
      </c>
      <c r="P32" s="64">
        <f t="shared" si="10"/>
        <v>0.9244188997101116</v>
      </c>
      <c r="Q32" s="64">
        <f t="shared" si="10"/>
        <v>0.91866592532042057</v>
      </c>
      <c r="R32" s="64">
        <f t="shared" si="11"/>
        <v>0.89565402776165659</v>
      </c>
      <c r="S32" s="64">
        <f t="shared" si="12"/>
        <v>0.86688915581320147</v>
      </c>
      <c r="T32" s="64">
        <f t="shared" si="13"/>
        <v>0.81745047198992049</v>
      </c>
      <c r="U32" s="64">
        <f t="shared" si="14"/>
        <v>0.76801178816663962</v>
      </c>
      <c r="V32" s="64">
        <f t="shared" si="15"/>
        <v>0.71857310434335853</v>
      </c>
      <c r="W32" s="64">
        <f t="shared" si="16"/>
        <v>0.66913442052007754</v>
      </c>
      <c r="Y32" s="38" t="s">
        <v>48</v>
      </c>
    </row>
    <row r="33" spans="2:25" x14ac:dyDescent="0.3">
      <c r="B33" s="62" t="s">
        <v>49</v>
      </c>
      <c r="C33" s="63"/>
      <c r="D33" s="64">
        <f>'Pepit0 AME'!H52</f>
        <v>2.1547622741316497</v>
      </c>
      <c r="E33" s="64">
        <f>'Pepit0 AME'!Q52</f>
        <v>2.0974804950457488</v>
      </c>
      <c r="F33" s="65">
        <f t="shared" si="2"/>
        <v>2.0980974940288601</v>
      </c>
      <c r="G33" s="65">
        <f t="shared" si="3"/>
        <v>2.098714493011971</v>
      </c>
      <c r="H33" s="65">
        <f t="shared" si="4"/>
        <v>2.1011824889444153</v>
      </c>
      <c r="I33" s="65">
        <f>'Pepit0 AME'!Z52</f>
        <v>2.1042674838599709</v>
      </c>
      <c r="J33" s="65">
        <f t="shared" si="5"/>
        <v>2.0768327713411097</v>
      </c>
      <c r="K33" s="65">
        <f t="shared" si="6"/>
        <v>2.049398058822248</v>
      </c>
      <c r="L33" s="65">
        <f t="shared" si="7"/>
        <v>2.0219633463033864</v>
      </c>
      <c r="M33" s="66">
        <f>'Pepit0 AME'!BA52</f>
        <v>1.9945286337845252</v>
      </c>
      <c r="N33" s="64">
        <f t="shared" si="8"/>
        <v>1</v>
      </c>
      <c r="O33" s="64">
        <f t="shared" si="9"/>
        <v>0.97341619547846181</v>
      </c>
      <c r="P33" s="64">
        <f t="shared" si="10"/>
        <v>0.97370253749888724</v>
      </c>
      <c r="Q33" s="64">
        <f t="shared" si="10"/>
        <v>0.97398887951931246</v>
      </c>
      <c r="R33" s="64">
        <f t="shared" si="11"/>
        <v>0.97513424760101364</v>
      </c>
      <c r="S33" s="64">
        <f t="shared" si="12"/>
        <v>0.97656595770314025</v>
      </c>
      <c r="T33" s="64">
        <f t="shared" si="13"/>
        <v>0.96383382810897555</v>
      </c>
      <c r="U33" s="64">
        <f t="shared" si="14"/>
        <v>0.95110169851481063</v>
      </c>
      <c r="V33" s="64">
        <f t="shared" si="15"/>
        <v>0.93836956892064571</v>
      </c>
      <c r="W33" s="64">
        <f t="shared" si="16"/>
        <v>0.92563743932648102</v>
      </c>
    </row>
    <row r="34" spans="2:25" x14ac:dyDescent="0.3">
      <c r="B34" s="62" t="s">
        <v>50</v>
      </c>
      <c r="C34" s="63"/>
      <c r="D34" s="64">
        <f>'Pepit0 AME'!I52</f>
        <v>1.1275837860370581</v>
      </c>
      <c r="E34" s="64">
        <f>'Pepit0 AME'!R52</f>
        <v>1.1070517570887719</v>
      </c>
      <c r="F34" s="65">
        <f t="shared" si="2"/>
        <v>1.1060484983349301</v>
      </c>
      <c r="G34" s="65">
        <f t="shared" si="3"/>
        <v>1.1050452395810886</v>
      </c>
      <c r="H34" s="65">
        <f t="shared" si="4"/>
        <v>1.1010322045657217</v>
      </c>
      <c r="I34" s="65">
        <f>'Pepit0 AME'!AA52</f>
        <v>1.0960159107965133</v>
      </c>
      <c r="J34" s="65">
        <f t="shared" si="5"/>
        <v>1.08132044164578</v>
      </c>
      <c r="K34" s="65">
        <f t="shared" si="6"/>
        <v>1.0666249724950467</v>
      </c>
      <c r="L34" s="65">
        <f t="shared" si="7"/>
        <v>1.0519295033443135</v>
      </c>
      <c r="M34" s="66">
        <f>'Pepit0 AME'!BB52</f>
        <v>1.0372340341935802</v>
      </c>
      <c r="N34" s="64">
        <f t="shared" si="8"/>
        <v>1</v>
      </c>
      <c r="O34" s="64">
        <f t="shared" si="9"/>
        <v>0.98179112789440959</v>
      </c>
      <c r="P34" s="64">
        <f t="shared" si="10"/>
        <v>0.98090138580493902</v>
      </c>
      <c r="Q34" s="64">
        <f t="shared" si="10"/>
        <v>0.98001164371546856</v>
      </c>
      <c r="R34" s="64">
        <f t="shared" si="11"/>
        <v>0.9764526753575864</v>
      </c>
      <c r="S34" s="64">
        <f t="shared" si="12"/>
        <v>0.97200396491023389</v>
      </c>
      <c r="T34" s="64">
        <f t="shared" si="13"/>
        <v>0.95897125786645743</v>
      </c>
      <c r="U34" s="64">
        <f t="shared" si="14"/>
        <v>0.94593855082268097</v>
      </c>
      <c r="V34" s="64">
        <f t="shared" si="15"/>
        <v>0.93290584377890451</v>
      </c>
      <c r="W34" s="64">
        <f t="shared" si="16"/>
        <v>0.91987313673512805</v>
      </c>
    </row>
    <row r="35" spans="2:25" x14ac:dyDescent="0.3">
      <c r="B35" s="62" t="s">
        <v>12</v>
      </c>
      <c r="C35" s="63"/>
      <c r="D35" s="64">
        <f>'Pepit0 AME'!J52</f>
        <v>3.2018183148017663</v>
      </c>
      <c r="E35" s="64">
        <f>'Pepit0 AME'!S52</f>
        <v>3.1799100639802989</v>
      </c>
      <c r="F35" s="65">
        <f t="shared" si="2"/>
        <v>3.1325677700099646</v>
      </c>
      <c r="G35" s="65">
        <f t="shared" si="3"/>
        <v>3.0852254760396298</v>
      </c>
      <c r="H35" s="65">
        <f t="shared" si="4"/>
        <v>2.8958563001582922</v>
      </c>
      <c r="I35" s="65">
        <f>'Pepit0 AME'!AB52</f>
        <v>2.6591448303066203</v>
      </c>
      <c r="J35" s="65">
        <f t="shared" si="5"/>
        <v>2.4402389911600717</v>
      </c>
      <c r="K35" s="65">
        <f t="shared" si="6"/>
        <v>2.2213331520135231</v>
      </c>
      <c r="L35" s="65">
        <f t="shared" si="7"/>
        <v>2.0024273128669741</v>
      </c>
      <c r="M35" s="66">
        <f>'Pepit0 AME'!BC52</f>
        <v>1.7835214737204257</v>
      </c>
      <c r="N35" s="64">
        <f t="shared" si="8"/>
        <v>1</v>
      </c>
      <c r="O35" s="64">
        <f t="shared" si="9"/>
        <v>0.99315755965284247</v>
      </c>
      <c r="P35" s="64">
        <f t="shared" si="10"/>
        <v>0.97837149457492278</v>
      </c>
      <c r="Q35" s="64">
        <f t="shared" si="10"/>
        <v>0.96358542949700288</v>
      </c>
      <c r="R35" s="64">
        <f t="shared" si="11"/>
        <v>0.90444116918532369</v>
      </c>
      <c r="S35" s="64">
        <f t="shared" si="12"/>
        <v>0.83051084379572471</v>
      </c>
      <c r="T35" s="64">
        <f t="shared" si="13"/>
        <v>0.76214161805466274</v>
      </c>
      <c r="U35" s="64">
        <f t="shared" si="14"/>
        <v>0.69377239231360077</v>
      </c>
      <c r="V35" s="64">
        <f t="shared" si="15"/>
        <v>0.62540316657253869</v>
      </c>
      <c r="W35" s="64">
        <f t="shared" si="16"/>
        <v>0.55703394083147673</v>
      </c>
    </row>
    <row r="36" spans="2:25" x14ac:dyDescent="0.3">
      <c r="B36" s="62" t="s">
        <v>51</v>
      </c>
      <c r="C36" s="63"/>
      <c r="D36" s="64">
        <f>'Pepit0 AME'!K52</f>
        <v>8.3467850000000006</v>
      </c>
      <c r="E36" s="64">
        <f>'Pepit0 AME'!T52</f>
        <v>8.7020144402068702</v>
      </c>
      <c r="F36" s="65">
        <f t="shared" si="2"/>
        <v>8.79188362564655</v>
      </c>
      <c r="G36" s="65">
        <f t="shared" si="3"/>
        <v>8.881752811086228</v>
      </c>
      <c r="H36" s="65">
        <f t="shared" si="4"/>
        <v>9.2412295528449437</v>
      </c>
      <c r="I36" s="65">
        <f>'Pepit0 AME'!AC52</f>
        <v>9.6905754800433392</v>
      </c>
      <c r="J36" s="65">
        <f t="shared" si="5"/>
        <v>10.26141845028522</v>
      </c>
      <c r="K36" s="65">
        <f t="shared" si="6"/>
        <v>10.8322614205271</v>
      </c>
      <c r="L36" s="65">
        <f t="shared" si="7"/>
        <v>11.403104390768979</v>
      </c>
      <c r="M36" s="66">
        <f>'Pepit0 AME'!BD52</f>
        <v>11.973947361010859</v>
      </c>
      <c r="N36" s="64">
        <f t="shared" si="8"/>
        <v>1</v>
      </c>
      <c r="O36" s="64">
        <f t="shared" si="9"/>
        <v>1.0425588343544094</v>
      </c>
      <c r="P36" s="64">
        <f t="shared" si="10"/>
        <v>1.0533257566412157</v>
      </c>
      <c r="Q36" s="64">
        <f t="shared" si="10"/>
        <v>1.0640926789280216</v>
      </c>
      <c r="R36" s="64">
        <f t="shared" si="11"/>
        <v>1.1071603680752462</v>
      </c>
      <c r="S36" s="64">
        <f t="shared" si="12"/>
        <v>1.1609949795092767</v>
      </c>
      <c r="T36" s="64">
        <f t="shared" si="13"/>
        <v>1.2293857395734069</v>
      </c>
      <c r="U36" s="64">
        <f t="shared" si="14"/>
        <v>1.2977764996375369</v>
      </c>
      <c r="V36" s="64">
        <f t="shared" si="15"/>
        <v>1.366167259701667</v>
      </c>
      <c r="W36" s="64">
        <f t="shared" si="16"/>
        <v>1.434558019765797</v>
      </c>
    </row>
    <row r="37" spans="2:25" x14ac:dyDescent="0.3">
      <c r="B37" s="62" t="s">
        <v>18</v>
      </c>
      <c r="C37" s="63"/>
      <c r="D37" s="64">
        <f>'Pepit0 AME'!L52</f>
        <v>3.7597692307692299</v>
      </c>
      <c r="E37" s="64">
        <f>'Pepit0 AME'!U52</f>
        <v>3.7715222059604399</v>
      </c>
      <c r="F37" s="65">
        <f t="shared" si="2"/>
        <v>3.7815707646369163</v>
      </c>
      <c r="G37" s="65">
        <f t="shared" si="3"/>
        <v>3.7916193233133924</v>
      </c>
      <c r="H37" s="65">
        <f t="shared" si="4"/>
        <v>3.8318135580192978</v>
      </c>
      <c r="I37" s="65">
        <f>'Pepit0 AME'!AD52</f>
        <v>3.8820563514016797</v>
      </c>
      <c r="J37" s="65">
        <f t="shared" si="5"/>
        <v>3.9154158763693996</v>
      </c>
      <c r="K37" s="65">
        <f t="shared" si="6"/>
        <v>3.9487754013371199</v>
      </c>
      <c r="L37" s="65">
        <f t="shared" si="7"/>
        <v>3.9821349263048402</v>
      </c>
      <c r="M37" s="66">
        <f>'Pepit0 AME'!BE52</f>
        <v>4.0154944512725601</v>
      </c>
      <c r="N37" s="64">
        <f t="shared" si="8"/>
        <v>1</v>
      </c>
      <c r="O37" s="64">
        <f t="shared" si="9"/>
        <v>1.003125983130833</v>
      </c>
      <c r="P37" s="64">
        <f t="shared" si="10"/>
        <v>1.0057986361740681</v>
      </c>
      <c r="Q37" s="64">
        <f t="shared" si="10"/>
        <v>1.0084712892173029</v>
      </c>
      <c r="R37" s="64">
        <f t="shared" si="11"/>
        <v>1.0191619013902424</v>
      </c>
      <c r="S37" s="64">
        <f t="shared" si="12"/>
        <v>1.032525166606417</v>
      </c>
      <c r="T37" s="64">
        <f t="shared" si="13"/>
        <v>1.0413979252573236</v>
      </c>
      <c r="U37" s="64">
        <f t="shared" si="14"/>
        <v>1.0502706839082303</v>
      </c>
      <c r="V37" s="64">
        <f t="shared" si="15"/>
        <v>1.0591434425591368</v>
      </c>
      <c r="W37" s="64">
        <f t="shared" si="16"/>
        <v>1.0680162012100434</v>
      </c>
    </row>
    <row r="38" spans="2:25" x14ac:dyDescent="0.3">
      <c r="B38" s="67" t="s">
        <v>52</v>
      </c>
      <c r="C38" s="68"/>
      <c r="D38" s="69">
        <f t="shared" ref="D38:M38" si="17">SUM(D29:D37)</f>
        <v>50.648528878881216</v>
      </c>
      <c r="E38" s="69">
        <f t="shared" si="17"/>
        <v>49.796233663064427</v>
      </c>
      <c r="F38" s="69">
        <f t="shared" si="17"/>
        <v>49.786084563673107</v>
      </c>
      <c r="G38" s="69">
        <f t="shared" ref="G38" si="18">SUM(G29:G37)</f>
        <v>49.775935464281773</v>
      </c>
      <c r="H38" s="69">
        <f t="shared" si="17"/>
        <v>49.735339066716442</v>
      </c>
      <c r="I38" s="69">
        <f t="shared" si="17"/>
        <v>49.684593569759791</v>
      </c>
      <c r="J38" s="69">
        <f t="shared" si="17"/>
        <v>49.501515230250277</v>
      </c>
      <c r="K38" s="69">
        <f t="shared" si="17"/>
        <v>49.318436890740763</v>
      </c>
      <c r="L38" s="69">
        <f t="shared" si="17"/>
        <v>49.135358551231242</v>
      </c>
      <c r="M38" s="69">
        <f t="shared" si="17"/>
        <v>48.952280211721728</v>
      </c>
      <c r="N38" s="64">
        <f t="shared" si="8"/>
        <v>1</v>
      </c>
      <c r="O38" s="64">
        <f t="shared" si="9"/>
        <v>0.98317235989509322</v>
      </c>
      <c r="P38" s="64">
        <f t="shared" si="10"/>
        <v>0.98297197698929184</v>
      </c>
      <c r="Q38" s="64">
        <f t="shared" si="10"/>
        <v>0.98277159408349002</v>
      </c>
      <c r="R38" s="64">
        <f t="shared" si="11"/>
        <v>0.98197006246028318</v>
      </c>
      <c r="S38" s="64">
        <f t="shared" si="12"/>
        <v>0.98096814793127474</v>
      </c>
      <c r="T38" s="64">
        <f t="shared" si="13"/>
        <v>0.97735346565792935</v>
      </c>
      <c r="U38" s="64">
        <f t="shared" si="14"/>
        <v>0.97373878338458397</v>
      </c>
      <c r="V38" s="64">
        <f t="shared" si="15"/>
        <v>0.97012410111123848</v>
      </c>
      <c r="W38" s="64">
        <f t="shared" si="16"/>
        <v>0.9665094188378931</v>
      </c>
    </row>
    <row r="39" spans="2:25" x14ac:dyDescent="0.3">
      <c r="B39" s="53"/>
      <c r="C39" s="53"/>
      <c r="D39" s="53"/>
      <c r="E39" s="53"/>
      <c r="H39" s="52"/>
    </row>
    <row r="40" spans="2:25" x14ac:dyDescent="0.3">
      <c r="B40" s="431" t="s">
        <v>4</v>
      </c>
      <c r="C40" s="431"/>
      <c r="D40" s="436" t="s">
        <v>44</v>
      </c>
      <c r="E40" s="436"/>
      <c r="F40" s="436"/>
      <c r="G40" s="436"/>
      <c r="H40" s="436"/>
      <c r="I40" s="436"/>
      <c r="J40" s="436"/>
      <c r="K40" s="436"/>
      <c r="L40" s="436"/>
      <c r="M40" s="436"/>
      <c r="N40" s="436" t="s">
        <v>45</v>
      </c>
      <c r="O40" s="436"/>
      <c r="P40" s="436"/>
      <c r="Q40" s="436"/>
      <c r="R40" s="436"/>
      <c r="S40" s="436"/>
      <c r="T40" s="436"/>
      <c r="U40" s="436"/>
      <c r="V40" s="436"/>
      <c r="W40" s="436"/>
    </row>
    <row r="41" spans="2:25" x14ac:dyDescent="0.3">
      <c r="B41" s="448" t="s">
        <v>46</v>
      </c>
      <c r="C41" s="449"/>
      <c r="D41" s="450">
        <v>2015</v>
      </c>
      <c r="E41" s="450">
        <v>2019</v>
      </c>
      <c r="F41" s="451">
        <v>2020</v>
      </c>
      <c r="G41" s="451">
        <v>2021</v>
      </c>
      <c r="H41" s="451">
        <v>2025</v>
      </c>
      <c r="I41" s="451">
        <v>2030</v>
      </c>
      <c r="J41" s="451">
        <v>2035</v>
      </c>
      <c r="K41" s="451">
        <v>2040</v>
      </c>
      <c r="L41" s="451">
        <v>2045</v>
      </c>
      <c r="M41" s="452">
        <v>2050</v>
      </c>
      <c r="N41" s="450">
        <v>2015</v>
      </c>
      <c r="O41" s="453">
        <v>2019</v>
      </c>
      <c r="P41" s="451">
        <v>2020</v>
      </c>
      <c r="Q41" s="451">
        <v>2021</v>
      </c>
      <c r="R41" s="451">
        <v>2025</v>
      </c>
      <c r="S41" s="451">
        <v>2030</v>
      </c>
      <c r="T41" s="451">
        <v>2035</v>
      </c>
      <c r="U41" s="451">
        <v>2040</v>
      </c>
      <c r="V41" s="451">
        <v>2045</v>
      </c>
      <c r="W41" s="452">
        <v>2050</v>
      </c>
    </row>
    <row r="42" spans="2:25" x14ac:dyDescent="0.3">
      <c r="B42" s="454" t="s">
        <v>6</v>
      </c>
      <c r="C42" s="455"/>
      <c r="D42" s="456">
        <f>'Pepit0 AMS'!D52</f>
        <v>12.452717393481137</v>
      </c>
      <c r="E42" s="456">
        <f>'Pepit0 AMS'!AE52</f>
        <v>12.240883970856911</v>
      </c>
      <c r="F42" s="457">
        <f t="shared" ref="F42:F50" si="19">$E42+($I42-$E42)*1/11</f>
        <v>12.189213733043371</v>
      </c>
      <c r="G42" s="457">
        <f t="shared" ref="G42:G50" si="20">$E42+($I42-$E42)*2/11</f>
        <v>12.13754349522983</v>
      </c>
      <c r="H42" s="457">
        <f t="shared" ref="H42:H50" si="21">$E42+($I42-$E42)*6/11</f>
        <v>11.930862543975667</v>
      </c>
      <c r="I42" s="457">
        <f>'Pepit0 AMS'!AN52</f>
        <v>11.672511354907963</v>
      </c>
      <c r="J42" s="457">
        <f t="shared" ref="J42:J50" si="22">$I42+($M42-$I42)*5/20</f>
        <v>11.592388797654534</v>
      </c>
      <c r="K42" s="457">
        <f t="shared" ref="K42:K50" si="23">$I42+($M42-$I42)*10/20</f>
        <v>11.512266240401107</v>
      </c>
      <c r="L42" s="457">
        <f t="shared" ref="L42:L50" si="24">$I42+($M42-$I42)*15/20</f>
        <v>11.432143683147679</v>
      </c>
      <c r="M42" s="458">
        <f>'Pepit0 AMS'!BO52</f>
        <v>11.35202112589425</v>
      </c>
      <c r="N42" s="456">
        <f t="shared" ref="N42:N51" si="25">D42/$D42</f>
        <v>1</v>
      </c>
      <c r="O42" s="456">
        <f t="shared" ref="O42:O51" si="26">E42/$D42</f>
        <v>0.98298898016146108</v>
      </c>
      <c r="P42" s="456">
        <f t="shared" ref="P42:Q51" si="27">F42/$D42</f>
        <v>0.97883966590491256</v>
      </c>
      <c r="Q42" s="456">
        <f t="shared" si="27"/>
        <v>0.97469035164836404</v>
      </c>
      <c r="R42" s="456">
        <f t="shared" ref="R42:R51" si="28">H42/$D42</f>
        <v>0.95809309462217018</v>
      </c>
      <c r="S42" s="456">
        <f t="shared" ref="S42:S51" si="29">I42/$D42</f>
        <v>0.93734652333942758</v>
      </c>
      <c r="T42" s="456">
        <f t="shared" ref="T42:T51" si="30">J42/$D42</f>
        <v>0.93091238091719841</v>
      </c>
      <c r="U42" s="456">
        <f t="shared" ref="U42:U51" si="31">K42/$D42</f>
        <v>0.92447823849496935</v>
      </c>
      <c r="V42" s="456">
        <f t="shared" ref="V42:V51" si="32">L42/$D42</f>
        <v>0.91804409607274007</v>
      </c>
      <c r="W42" s="456">
        <f t="shared" ref="W42:W51" si="33">M42/$D42</f>
        <v>0.9116099536505109</v>
      </c>
    </row>
    <row r="43" spans="2:25" x14ac:dyDescent="0.3">
      <c r="B43" s="454" t="s">
        <v>47</v>
      </c>
      <c r="C43" s="455"/>
      <c r="D43" s="456">
        <f>'Pepit0 AMS'!E52</f>
        <v>1.3666520990067765</v>
      </c>
      <c r="E43" s="456">
        <f>'Pepit0 AMS'!AF52</f>
        <v>1.4419885947101772</v>
      </c>
      <c r="F43" s="457">
        <f t="shared" si="19"/>
        <v>1.4608831071891226</v>
      </c>
      <c r="G43" s="457">
        <f t="shared" si="20"/>
        <v>1.4797776196680679</v>
      </c>
      <c r="H43" s="457">
        <f t="shared" si="21"/>
        <v>1.5553556695838495</v>
      </c>
      <c r="I43" s="457">
        <f>'Pepit0 AMS'!AO52</f>
        <v>1.6498282319785766</v>
      </c>
      <c r="J43" s="457">
        <f t="shared" si="22"/>
        <v>1.802221022110627</v>
      </c>
      <c r="K43" s="457">
        <f t="shared" si="23"/>
        <v>1.9546138122426775</v>
      </c>
      <c r="L43" s="457">
        <f t="shared" si="24"/>
        <v>2.107006602374728</v>
      </c>
      <c r="M43" s="458">
        <f>'Pepit0 AMS'!BP52</f>
        <v>2.2593993925067783</v>
      </c>
      <c r="N43" s="456">
        <f t="shared" si="25"/>
        <v>1</v>
      </c>
      <c r="O43" s="456">
        <f t="shared" si="26"/>
        <v>1.0551248527391512</v>
      </c>
      <c r="P43" s="456">
        <f t="shared" si="27"/>
        <v>1.0689502531411097</v>
      </c>
      <c r="Q43" s="456">
        <f t="shared" si="27"/>
        <v>1.0827756535430677</v>
      </c>
      <c r="R43" s="456">
        <f t="shared" si="28"/>
        <v>1.1380772551509009</v>
      </c>
      <c r="S43" s="456">
        <f t="shared" si="29"/>
        <v>1.2072042571606925</v>
      </c>
      <c r="T43" s="456">
        <f t="shared" si="30"/>
        <v>1.3187123653637989</v>
      </c>
      <c r="U43" s="456">
        <f t="shared" si="31"/>
        <v>1.4302204735669055</v>
      </c>
      <c r="V43" s="456">
        <f t="shared" si="32"/>
        <v>1.5417285817700124</v>
      </c>
      <c r="W43" s="456">
        <f t="shared" si="33"/>
        <v>1.6532366899731188</v>
      </c>
    </row>
    <row r="44" spans="2:25" x14ac:dyDescent="0.3">
      <c r="B44" s="454" t="s">
        <v>16</v>
      </c>
      <c r="C44" s="455"/>
      <c r="D44" s="456">
        <f>'Pepit0 AMS'!F52</f>
        <v>4.9308939854919993</v>
      </c>
      <c r="E44" s="456">
        <f>'Pepit0 AMS'!AG52</f>
        <v>4.8770763930889212</v>
      </c>
      <c r="F44" s="457">
        <f t="shared" si="19"/>
        <v>4.856072182072058</v>
      </c>
      <c r="G44" s="457">
        <f t="shared" si="20"/>
        <v>4.8350679710551949</v>
      </c>
      <c r="H44" s="457">
        <f t="shared" si="21"/>
        <v>4.7510511269877425</v>
      </c>
      <c r="I44" s="457">
        <f>'Pepit0 AMS'!AP52</f>
        <v>4.6460300719034269</v>
      </c>
      <c r="J44" s="457">
        <f t="shared" si="22"/>
        <v>4.3485869270240514</v>
      </c>
      <c r="K44" s="457">
        <f t="shared" si="23"/>
        <v>4.0511437821446759</v>
      </c>
      <c r="L44" s="457">
        <f t="shared" si="24"/>
        <v>3.7537006372652995</v>
      </c>
      <c r="M44" s="458">
        <f>'Pepit0 AMS'!BQ52</f>
        <v>3.4562574923859239</v>
      </c>
      <c r="N44" s="456">
        <f t="shared" si="25"/>
        <v>1</v>
      </c>
      <c r="O44" s="456">
        <f t="shared" si="26"/>
        <v>0.98908563182225706</v>
      </c>
      <c r="P44" s="456">
        <f t="shared" si="27"/>
        <v>0.98482591521130103</v>
      </c>
      <c r="Q44" s="456">
        <f t="shared" si="27"/>
        <v>0.98056619860034511</v>
      </c>
      <c r="R44" s="456">
        <f t="shared" si="28"/>
        <v>0.9635273321565212</v>
      </c>
      <c r="S44" s="456">
        <f t="shared" si="29"/>
        <v>0.94222874910174148</v>
      </c>
      <c r="T44" s="456">
        <f t="shared" si="30"/>
        <v>0.88190639259711323</v>
      </c>
      <c r="U44" s="456">
        <f t="shared" si="31"/>
        <v>0.82158403609248498</v>
      </c>
      <c r="V44" s="456">
        <f t="shared" si="32"/>
        <v>0.76126167958785662</v>
      </c>
      <c r="W44" s="456">
        <f t="shared" si="33"/>
        <v>0.70093932308322837</v>
      </c>
    </row>
    <row r="45" spans="2:25" x14ac:dyDescent="0.3">
      <c r="B45" s="454" t="s">
        <v>15</v>
      </c>
      <c r="C45" s="455"/>
      <c r="D45" s="456">
        <f>'Pepit0 AMS'!G52</f>
        <v>13.307546795161608</v>
      </c>
      <c r="E45" s="456">
        <f>'Pepit0 AMS'!AH52</f>
        <v>12.468566412261648</v>
      </c>
      <c r="F45" s="457">
        <f t="shared" si="19"/>
        <v>12.251610951549708</v>
      </c>
      <c r="G45" s="457">
        <f t="shared" si="20"/>
        <v>12.034655490837768</v>
      </c>
      <c r="H45" s="457">
        <f t="shared" si="21"/>
        <v>11.166833647990007</v>
      </c>
      <c r="I45" s="457">
        <f>'Pepit0 AMS'!AQ52</f>
        <v>10.082056344430306</v>
      </c>
      <c r="J45" s="457">
        <f t="shared" si="22"/>
        <v>9.4886313637104109</v>
      </c>
      <c r="K45" s="457">
        <f t="shared" si="23"/>
        <v>8.8952063829905139</v>
      </c>
      <c r="L45" s="457">
        <f t="shared" si="24"/>
        <v>8.3017814022706187</v>
      </c>
      <c r="M45" s="458">
        <f>'Pepit0 AMS'!BR52</f>
        <v>7.7083564215507225</v>
      </c>
      <c r="N45" s="456">
        <f t="shared" si="25"/>
        <v>1</v>
      </c>
      <c r="O45" s="456">
        <f t="shared" si="26"/>
        <v>0.93695454197425787</v>
      </c>
      <c r="P45" s="456">
        <f t="shared" si="27"/>
        <v>0.9206513522089721</v>
      </c>
      <c r="Q45" s="456">
        <f t="shared" si="27"/>
        <v>0.90434816244368632</v>
      </c>
      <c r="R45" s="456">
        <f t="shared" si="28"/>
        <v>0.83913540338254333</v>
      </c>
      <c r="S45" s="456">
        <f t="shared" si="29"/>
        <v>0.75761945455611446</v>
      </c>
      <c r="T45" s="456">
        <f t="shared" si="30"/>
        <v>0.71302633834511941</v>
      </c>
      <c r="U45" s="456">
        <f t="shared" si="31"/>
        <v>0.66843322213412437</v>
      </c>
      <c r="V45" s="456">
        <f t="shared" si="32"/>
        <v>0.62384010592312944</v>
      </c>
      <c r="W45" s="456">
        <f t="shared" si="33"/>
        <v>0.5792469897121344</v>
      </c>
      <c r="Y45" s="38" t="s">
        <v>53</v>
      </c>
    </row>
    <row r="46" spans="2:25" x14ac:dyDescent="0.3">
      <c r="B46" s="454" t="s">
        <v>49</v>
      </c>
      <c r="C46" s="455"/>
      <c r="D46" s="456">
        <f>'Pepit0 AMS'!H52</f>
        <v>2.1547622741316497</v>
      </c>
      <c r="E46" s="456">
        <f>'Pepit0 AMS'!AI52</f>
        <v>2.1062658179313196</v>
      </c>
      <c r="F46" s="457">
        <f t="shared" si="19"/>
        <v>2.0891687870070634</v>
      </c>
      <c r="G46" s="457">
        <f t="shared" si="20"/>
        <v>2.0720717560828068</v>
      </c>
      <c r="H46" s="457">
        <f t="shared" si="21"/>
        <v>2.0036836323857816</v>
      </c>
      <c r="I46" s="457">
        <f>'Pepit0 AMS'!AR52</f>
        <v>1.9181984777644996</v>
      </c>
      <c r="J46" s="457">
        <f t="shared" si="22"/>
        <v>1.7642274537206704</v>
      </c>
      <c r="K46" s="457">
        <f t="shared" si="23"/>
        <v>1.6102564296768413</v>
      </c>
      <c r="L46" s="457">
        <f t="shared" si="24"/>
        <v>1.4562854056330123</v>
      </c>
      <c r="M46" s="458">
        <f>'Pepit0 AMS'!BS52</f>
        <v>1.3023143815891831</v>
      </c>
      <c r="N46" s="456">
        <f t="shared" si="25"/>
        <v>1</v>
      </c>
      <c r="O46" s="456">
        <f t="shared" si="26"/>
        <v>0.97749336120158603</v>
      </c>
      <c r="P46" s="456">
        <f t="shared" si="27"/>
        <v>0.96955882887312017</v>
      </c>
      <c r="Q46" s="456">
        <f t="shared" si="27"/>
        <v>0.96162429654465409</v>
      </c>
      <c r="R46" s="456">
        <f t="shared" si="28"/>
        <v>0.92988616723079054</v>
      </c>
      <c r="S46" s="456">
        <f t="shared" si="29"/>
        <v>0.89021350558846069</v>
      </c>
      <c r="T46" s="456">
        <f t="shared" si="30"/>
        <v>0.81875735198289501</v>
      </c>
      <c r="U46" s="456">
        <f t="shared" si="31"/>
        <v>0.74730119837732945</v>
      </c>
      <c r="V46" s="456">
        <f t="shared" si="32"/>
        <v>0.67584504477176377</v>
      </c>
      <c r="W46" s="456">
        <f t="shared" si="33"/>
        <v>0.60438889116619809</v>
      </c>
    </row>
    <row r="47" spans="2:25" x14ac:dyDescent="0.3">
      <c r="B47" s="454" t="s">
        <v>50</v>
      </c>
      <c r="C47" s="455"/>
      <c r="D47" s="456">
        <f>'Pepit0 AMS'!I52</f>
        <v>1.1275837860370581</v>
      </c>
      <c r="E47" s="456">
        <f>'Pepit0 AMS'!AJ52</f>
        <v>1.1070517570887721</v>
      </c>
      <c r="F47" s="457">
        <f t="shared" si="19"/>
        <v>1.0992267632153407</v>
      </c>
      <c r="G47" s="457">
        <f t="shared" si="20"/>
        <v>1.0914017693419096</v>
      </c>
      <c r="H47" s="457">
        <f t="shared" si="21"/>
        <v>1.0601017938481843</v>
      </c>
      <c r="I47" s="457">
        <f>'Pepit0 AMS'!AS52</f>
        <v>1.0209768244810276</v>
      </c>
      <c r="J47" s="457">
        <f t="shared" si="22"/>
        <v>0.98722775039299981</v>
      </c>
      <c r="K47" s="457">
        <f t="shared" si="23"/>
        <v>0.95347867630497196</v>
      </c>
      <c r="L47" s="457">
        <f t="shared" si="24"/>
        <v>0.91972960221694411</v>
      </c>
      <c r="M47" s="458">
        <f>'Pepit0 AMS'!BT52</f>
        <v>0.88598052812891637</v>
      </c>
      <c r="N47" s="456">
        <f t="shared" si="25"/>
        <v>1</v>
      </c>
      <c r="O47" s="456">
        <f t="shared" si="26"/>
        <v>0.98179112789440981</v>
      </c>
      <c r="P47" s="456">
        <f t="shared" si="27"/>
        <v>0.97485151598234721</v>
      </c>
      <c r="Q47" s="456">
        <f t="shared" si="27"/>
        <v>0.96791190407028482</v>
      </c>
      <c r="R47" s="456">
        <f t="shared" si="28"/>
        <v>0.94015345642203474</v>
      </c>
      <c r="S47" s="456">
        <f t="shared" si="29"/>
        <v>0.90545539686172205</v>
      </c>
      <c r="T47" s="456">
        <f t="shared" si="30"/>
        <v>0.87552496108750766</v>
      </c>
      <c r="U47" s="456">
        <f t="shared" si="31"/>
        <v>0.84559452531329304</v>
      </c>
      <c r="V47" s="456">
        <f t="shared" si="32"/>
        <v>0.81566408953907854</v>
      </c>
      <c r="W47" s="456">
        <f t="shared" si="33"/>
        <v>0.78573365376486404</v>
      </c>
    </row>
    <row r="48" spans="2:25" x14ac:dyDescent="0.3">
      <c r="B48" s="454" t="s">
        <v>12</v>
      </c>
      <c r="C48" s="455"/>
      <c r="D48" s="456">
        <f>'Pepit0 AMS'!J52</f>
        <v>3.2018183148017663</v>
      </c>
      <c r="E48" s="456">
        <f>'Pepit0 AMS'!AK52</f>
        <v>3.1799100639803037</v>
      </c>
      <c r="F48" s="457">
        <f t="shared" si="19"/>
        <v>3.0946419321870788</v>
      </c>
      <c r="G48" s="457">
        <f t="shared" si="20"/>
        <v>3.0093738003938544</v>
      </c>
      <c r="H48" s="457">
        <f t="shared" si="21"/>
        <v>2.6683012732209552</v>
      </c>
      <c r="I48" s="457">
        <f>'Pepit0 AMS'!AT52</f>
        <v>2.2419606142548312</v>
      </c>
      <c r="J48" s="457">
        <f t="shared" si="22"/>
        <v>2.097622824035354</v>
      </c>
      <c r="K48" s="457">
        <f t="shared" si="23"/>
        <v>1.9532850338158774</v>
      </c>
      <c r="L48" s="457">
        <f t="shared" si="24"/>
        <v>1.8089472435964005</v>
      </c>
      <c r="M48" s="458">
        <f>'Pepit0 AMS'!BU52</f>
        <v>1.6646094533769236</v>
      </c>
      <c r="N48" s="456">
        <f t="shared" si="25"/>
        <v>1</v>
      </c>
      <c r="O48" s="456">
        <f t="shared" si="26"/>
        <v>0.99315755965284402</v>
      </c>
      <c r="P48" s="456">
        <f t="shared" si="27"/>
        <v>0.96652640091437447</v>
      </c>
      <c r="Q48" s="456">
        <f t="shared" si="27"/>
        <v>0.93989524217590503</v>
      </c>
      <c r="R48" s="456">
        <f t="shared" si="28"/>
        <v>0.83337060722202705</v>
      </c>
      <c r="S48" s="456">
        <f t="shared" si="29"/>
        <v>0.7002148135296794</v>
      </c>
      <c r="T48" s="456">
        <f t="shared" si="30"/>
        <v>0.65513486956402267</v>
      </c>
      <c r="U48" s="456">
        <f t="shared" si="31"/>
        <v>0.61005492559836605</v>
      </c>
      <c r="V48" s="456">
        <f t="shared" si="32"/>
        <v>0.56497498163270943</v>
      </c>
      <c r="W48" s="456">
        <f t="shared" si="33"/>
        <v>0.5198950376670527</v>
      </c>
    </row>
    <row r="49" spans="2:35 1027:1027" x14ac:dyDescent="0.3">
      <c r="B49" s="454" t="s">
        <v>51</v>
      </c>
      <c r="C49" s="455"/>
      <c r="D49" s="456">
        <f>'Pepit0 AMS'!K52</f>
        <v>8.3467850000000006</v>
      </c>
      <c r="E49" s="456">
        <f>'Pepit0 AMS'!AL52</f>
        <v>8.7020144402068809</v>
      </c>
      <c r="F49" s="457">
        <f t="shared" si="19"/>
        <v>8.7503332490628338</v>
      </c>
      <c r="G49" s="457">
        <f t="shared" si="20"/>
        <v>8.7986520579187868</v>
      </c>
      <c r="H49" s="457">
        <f t="shared" si="21"/>
        <v>8.9919272933426004</v>
      </c>
      <c r="I49" s="457">
        <f>'Pepit0 AMS'!AU52</f>
        <v>9.233521337622367</v>
      </c>
      <c r="J49" s="457">
        <f t="shared" si="22"/>
        <v>9.5397951991354084</v>
      </c>
      <c r="K49" s="457">
        <f t="shared" si="23"/>
        <v>9.8460690606484498</v>
      </c>
      <c r="L49" s="457">
        <f t="shared" si="24"/>
        <v>10.152342922161491</v>
      </c>
      <c r="M49" s="458">
        <f>'Pepit0 AMS'!BV52</f>
        <v>10.458616783674533</v>
      </c>
      <c r="N49" s="456">
        <f t="shared" si="25"/>
        <v>1</v>
      </c>
      <c r="O49" s="456">
        <f t="shared" si="26"/>
        <v>1.0425588343544108</v>
      </c>
      <c r="P49" s="456">
        <f t="shared" si="27"/>
        <v>1.0483477469544062</v>
      </c>
      <c r="Q49" s="456">
        <f t="shared" si="27"/>
        <v>1.0541366595544017</v>
      </c>
      <c r="R49" s="456">
        <f t="shared" si="28"/>
        <v>1.0772923099543836</v>
      </c>
      <c r="S49" s="456">
        <f t="shared" si="29"/>
        <v>1.106236872954361</v>
      </c>
      <c r="T49" s="456">
        <f t="shared" si="30"/>
        <v>1.1429305054743122</v>
      </c>
      <c r="U49" s="456">
        <f t="shared" si="31"/>
        <v>1.1796241379942636</v>
      </c>
      <c r="V49" s="456">
        <f t="shared" si="32"/>
        <v>1.2163177705142147</v>
      </c>
      <c r="W49" s="456">
        <f t="shared" si="33"/>
        <v>1.2530114030341661</v>
      </c>
    </row>
    <row r="50" spans="2:35 1027:1027" x14ac:dyDescent="0.3">
      <c r="B50" s="454" t="s">
        <v>18</v>
      </c>
      <c r="C50" s="455"/>
      <c r="D50" s="456">
        <f>'Pepit0 AMS'!L52</f>
        <v>3.7597692307692299</v>
      </c>
      <c r="E50" s="456">
        <f>'Pepit0 AMS'!AM52</f>
        <v>3.7715222059604399</v>
      </c>
      <c r="F50" s="457">
        <f t="shared" si="19"/>
        <v>3.7657543826196731</v>
      </c>
      <c r="G50" s="457">
        <f t="shared" si="20"/>
        <v>3.7599865592789063</v>
      </c>
      <c r="H50" s="457">
        <f t="shared" si="21"/>
        <v>3.7369152659158398</v>
      </c>
      <c r="I50" s="457">
        <f>'Pepit0 AMS'!AV52</f>
        <v>3.7080761492120065</v>
      </c>
      <c r="J50" s="457">
        <f t="shared" si="22"/>
        <v>3.6038129488337378</v>
      </c>
      <c r="K50" s="457">
        <f t="shared" si="23"/>
        <v>3.4995497484554692</v>
      </c>
      <c r="L50" s="457">
        <f t="shared" si="24"/>
        <v>3.3952865480772005</v>
      </c>
      <c r="M50" s="458">
        <f>'Pepit0 AMS'!BW52</f>
        <v>3.2910233476989319</v>
      </c>
      <c r="N50" s="456">
        <f t="shared" si="25"/>
        <v>1</v>
      </c>
      <c r="O50" s="456">
        <f t="shared" si="26"/>
        <v>1.003125983130833</v>
      </c>
      <c r="P50" s="456">
        <f t="shared" si="27"/>
        <v>1.0015918934070374</v>
      </c>
      <c r="Q50" s="456">
        <f t="shared" si="27"/>
        <v>1.0000578036832415</v>
      </c>
      <c r="R50" s="456">
        <f t="shared" si="28"/>
        <v>0.99392144478805833</v>
      </c>
      <c r="S50" s="456">
        <f t="shared" si="29"/>
        <v>0.98625099616907941</v>
      </c>
      <c r="T50" s="456">
        <f t="shared" si="30"/>
        <v>0.95851971959896476</v>
      </c>
      <c r="U50" s="456">
        <f t="shared" si="31"/>
        <v>0.93078844302885022</v>
      </c>
      <c r="V50" s="456">
        <f t="shared" si="32"/>
        <v>0.90305716645873557</v>
      </c>
      <c r="W50" s="456">
        <f t="shared" si="33"/>
        <v>0.87532588988862092</v>
      </c>
    </row>
    <row r="51" spans="2:35 1027:1027" x14ac:dyDescent="0.3">
      <c r="B51" s="459" t="s">
        <v>52</v>
      </c>
      <c r="C51" s="460"/>
      <c r="D51" s="461">
        <f t="shared" ref="D51:M51" si="34">SUM(D42:D50)</f>
        <v>50.648528878881216</v>
      </c>
      <c r="E51" s="461">
        <f t="shared" si="34"/>
        <v>49.895279656085364</v>
      </c>
      <c r="F51" s="461">
        <f t="shared" si="34"/>
        <v>49.556905087946255</v>
      </c>
      <c r="G51" s="461">
        <f t="shared" ref="G51" si="35">SUM(G42:G50)</f>
        <v>49.218530519807125</v>
      </c>
      <c r="H51" s="461">
        <f t="shared" si="34"/>
        <v>47.865032247250625</v>
      </c>
      <c r="I51" s="461">
        <f t="shared" si="34"/>
        <v>46.173159406555001</v>
      </c>
      <c r="J51" s="461">
        <f t="shared" si="34"/>
        <v>45.22451428661779</v>
      </c>
      <c r="K51" s="461">
        <f t="shared" si="34"/>
        <v>44.275869166680586</v>
      </c>
      <c r="L51" s="461">
        <f t="shared" si="34"/>
        <v>43.327224046743375</v>
      </c>
      <c r="M51" s="461">
        <f t="shared" si="34"/>
        <v>42.378578926806163</v>
      </c>
      <c r="N51" s="456">
        <f t="shared" si="25"/>
        <v>1</v>
      </c>
      <c r="O51" s="456">
        <f t="shared" si="26"/>
        <v>0.98512791507533926</v>
      </c>
      <c r="P51" s="456">
        <f t="shared" si="27"/>
        <v>0.97844707802776609</v>
      </c>
      <c r="Q51" s="456">
        <f t="shared" si="27"/>
        <v>0.9717662409801926</v>
      </c>
      <c r="R51" s="456">
        <f t="shared" si="28"/>
        <v>0.94504289278989861</v>
      </c>
      <c r="S51" s="456">
        <f t="shared" si="29"/>
        <v>0.91163870755203125</v>
      </c>
      <c r="T51" s="456">
        <f t="shared" si="30"/>
        <v>0.89290874360370487</v>
      </c>
      <c r="U51" s="456">
        <f t="shared" si="31"/>
        <v>0.87417877965537871</v>
      </c>
      <c r="V51" s="456">
        <f t="shared" si="32"/>
        <v>0.85544881570705233</v>
      </c>
      <c r="W51" s="456">
        <f t="shared" si="33"/>
        <v>0.83671885175872596</v>
      </c>
    </row>
    <row r="53" spans="2:35 1027:1027" x14ac:dyDescent="0.3">
      <c r="H53" s="70"/>
    </row>
    <row r="54" spans="2:35 1027:1027" x14ac:dyDescent="0.3">
      <c r="F54" s="70"/>
      <c r="G54" s="70"/>
      <c r="H54" s="70"/>
    </row>
    <row r="55" spans="2:35 1027:1027" x14ac:dyDescent="0.3">
      <c r="F55" s="70"/>
      <c r="G55" s="70"/>
    </row>
    <row r="56" spans="2:35 1027:1027" x14ac:dyDescent="0.3">
      <c r="B56" s="661" t="s">
        <v>54</v>
      </c>
      <c r="C56" s="661"/>
      <c r="D56" s="661"/>
      <c r="E56" s="661"/>
      <c r="H56" s="71"/>
    </row>
    <row r="57" spans="2:35 1027:1027" x14ac:dyDescent="0.3">
      <c r="AA57" s="72"/>
      <c r="AB57" s="73"/>
      <c r="AC57" s="73"/>
      <c r="AD57" s="73"/>
      <c r="AE57" s="73"/>
      <c r="AF57" s="73"/>
      <c r="AG57" s="73"/>
      <c r="AH57" s="73"/>
      <c r="AI57" s="74"/>
    </row>
    <row r="58" spans="2:35 1027:1027" x14ac:dyDescent="0.3">
      <c r="AA58" s="75"/>
      <c r="AB58" s="76" t="s">
        <v>55</v>
      </c>
      <c r="AC58" s="76"/>
      <c r="AD58" s="76"/>
      <c r="AE58" s="76"/>
      <c r="AF58" s="76"/>
      <c r="AG58" s="76"/>
      <c r="AH58" s="76"/>
      <c r="AI58" s="77"/>
    </row>
    <row r="59" spans="2:35 1027:1027" x14ac:dyDescent="0.3">
      <c r="C59" s="669" t="s">
        <v>56</v>
      </c>
      <c r="D59" s="669"/>
      <c r="E59" s="669"/>
      <c r="F59" s="669"/>
      <c r="G59" s="669"/>
      <c r="H59" s="669"/>
      <c r="AA59" s="75"/>
      <c r="AB59" s="76"/>
      <c r="AC59" s="76"/>
      <c r="AD59" s="76"/>
      <c r="AE59" s="76"/>
      <c r="AF59" s="76"/>
      <c r="AG59" s="76"/>
      <c r="AH59" s="76"/>
      <c r="AI59" s="77"/>
    </row>
    <row r="60" spans="2:35 1027:1027" x14ac:dyDescent="0.3">
      <c r="C60" s="670" t="s">
        <v>57</v>
      </c>
      <c r="D60" s="670"/>
      <c r="E60" s="671" t="s">
        <v>58</v>
      </c>
      <c r="F60" s="671"/>
      <c r="G60" s="671"/>
      <c r="H60" s="671"/>
      <c r="AA60" s="75"/>
      <c r="AB60" s="78" t="s">
        <v>6</v>
      </c>
      <c r="AC60" s="78"/>
      <c r="AD60" s="78">
        <v>2015</v>
      </c>
      <c r="AE60" s="78">
        <v>2016</v>
      </c>
      <c r="AF60" s="78">
        <v>2017</v>
      </c>
      <c r="AG60" s="78">
        <v>2018</v>
      </c>
      <c r="AH60" s="78">
        <v>2019</v>
      </c>
      <c r="AI60" s="77"/>
    </row>
    <row r="61" spans="2:35 1027:1027" x14ac:dyDescent="0.3">
      <c r="B61" s="79" t="s">
        <v>59</v>
      </c>
      <c r="C61" s="80">
        <v>2014</v>
      </c>
      <c r="D61" s="81">
        <v>2019</v>
      </c>
      <c r="E61" s="82">
        <v>2015</v>
      </c>
      <c r="F61" s="55">
        <v>2019</v>
      </c>
      <c r="G61" s="83">
        <v>2020</v>
      </c>
      <c r="H61" s="83">
        <v>2021</v>
      </c>
      <c r="Z61" s="75"/>
      <c r="AA61" s="78" t="s">
        <v>60</v>
      </c>
      <c r="AB61" s="78" t="s">
        <v>61</v>
      </c>
      <c r="AC61" s="78">
        <v>16327.6561146285</v>
      </c>
      <c r="AD61" s="78">
        <v>15675.6610228298</v>
      </c>
      <c r="AE61" s="78">
        <v>16835.687822497399</v>
      </c>
      <c r="AF61" s="78">
        <v>15387.355</v>
      </c>
      <c r="AG61" s="78">
        <v>14449.651</v>
      </c>
      <c r="AH61" s="77"/>
      <c r="AMM61"/>
    </row>
    <row r="62" spans="2:35 1027:1027" ht="14.7" customHeight="1" x14ac:dyDescent="0.3">
      <c r="B62" s="79" t="s">
        <v>6</v>
      </c>
      <c r="C62" s="80">
        <v>1.21</v>
      </c>
      <c r="D62" s="81">
        <v>1.18</v>
      </c>
      <c r="E62" s="84">
        <f>C7/D42</f>
        <v>1.2117837033625649</v>
      </c>
      <c r="F62" s="85">
        <f>G7/E42</f>
        <v>1.1919073846901793</v>
      </c>
      <c r="G62" s="86">
        <f>H7/F42</f>
        <v>0.95084065747251767</v>
      </c>
      <c r="H62" s="86">
        <f>I7/G42</f>
        <v>1.1157117587526781</v>
      </c>
      <c r="X62" s="87"/>
      <c r="Z62" s="75"/>
      <c r="AA62" s="78" t="s">
        <v>60</v>
      </c>
      <c r="AB62" s="78" t="s">
        <v>62</v>
      </c>
      <c r="AC62" s="78">
        <v>12130</v>
      </c>
      <c r="AD62" s="78">
        <v>12656</v>
      </c>
      <c r="AE62" s="78">
        <v>12818</v>
      </c>
      <c r="AF62" s="78">
        <v>12656</v>
      </c>
      <c r="AG62" s="78">
        <v>12222</v>
      </c>
      <c r="AH62" s="77"/>
      <c r="AMM62"/>
    </row>
    <row r="63" spans="2:35 1027:1027" x14ac:dyDescent="0.3">
      <c r="B63" s="79" t="s">
        <v>63</v>
      </c>
      <c r="C63" s="80">
        <v>0.73</v>
      </c>
      <c r="D63" s="81">
        <v>0.67</v>
      </c>
      <c r="E63" s="84">
        <f>C11/D43</f>
        <v>0.65342159913923503</v>
      </c>
      <c r="F63" s="85">
        <f>G11/E43</f>
        <v>0.61997716436840722</v>
      </c>
      <c r="G63" s="86">
        <f>H11/F43</f>
        <v>0.54917301575159605</v>
      </c>
      <c r="H63" s="86">
        <f>I11/G43</f>
        <v>0.5403495291179724</v>
      </c>
      <c r="X63" s="87"/>
      <c r="Z63" s="75"/>
      <c r="AA63" s="78" t="s">
        <v>60</v>
      </c>
      <c r="AB63" s="78" t="s">
        <v>64</v>
      </c>
      <c r="AC63" s="78">
        <v>12816</v>
      </c>
      <c r="AD63" s="78">
        <v>12671</v>
      </c>
      <c r="AE63" s="78">
        <v>13758</v>
      </c>
      <c r="AF63" s="78">
        <v>13328</v>
      </c>
      <c r="AG63" s="78">
        <v>12543</v>
      </c>
      <c r="AH63" s="77"/>
      <c r="AMM63"/>
    </row>
    <row r="64" spans="2:35 1027:1027" x14ac:dyDescent="0.3">
      <c r="B64" s="79" t="s">
        <v>65</v>
      </c>
      <c r="C64" s="80">
        <v>0.99</v>
      </c>
      <c r="D64" s="81">
        <v>0.99</v>
      </c>
      <c r="E64" s="84">
        <f>C18/D45</f>
        <v>0.94232244252256359</v>
      </c>
      <c r="F64" s="85">
        <f>G18/E45</f>
        <v>1.0378097667487052</v>
      </c>
      <c r="G64" s="86">
        <f>H18/F45</f>
        <v>0.96068998979364517</v>
      </c>
      <c r="H64" s="86">
        <f>I18/G45</f>
        <v>1.0155670853482146</v>
      </c>
      <c r="X64" s="87"/>
      <c r="Z64" s="75"/>
      <c r="AA64" s="78" t="s">
        <v>60</v>
      </c>
      <c r="AB64" s="78" t="s">
        <v>66</v>
      </c>
      <c r="AC64" s="78">
        <v>686</v>
      </c>
      <c r="AD64" s="78">
        <v>15</v>
      </c>
      <c r="AE64" s="78">
        <v>940</v>
      </c>
      <c r="AF64" s="78">
        <v>672</v>
      </c>
      <c r="AG64" s="78">
        <v>321</v>
      </c>
      <c r="AH64" s="77"/>
      <c r="AMM64"/>
    </row>
    <row r="65" spans="2:35 1027:1027" x14ac:dyDescent="0.3">
      <c r="B65" s="79" t="s">
        <v>67</v>
      </c>
      <c r="C65" s="80">
        <v>0.92</v>
      </c>
      <c r="D65" s="81">
        <v>0.93</v>
      </c>
      <c r="E65" s="84">
        <f>C19/D44</f>
        <v>1.1078091572818551</v>
      </c>
      <c r="F65" s="85">
        <f>G19/E44</f>
        <v>1.1681449890908295</v>
      </c>
      <c r="G65" s="86">
        <f>H19/F44</f>
        <v>1.0344895342672764</v>
      </c>
      <c r="H65" s="86">
        <f>I19/G44</f>
        <v>1.1619278226556016</v>
      </c>
      <c r="X65" s="87"/>
      <c r="Z65" s="75"/>
      <c r="AA65" s="78" t="s">
        <v>60</v>
      </c>
      <c r="AB65" s="78" t="s">
        <v>68</v>
      </c>
      <c r="AC65" s="88">
        <f>AC64/AC61</f>
        <v>4.2014603638386855E-2</v>
      </c>
      <c r="AD65" s="88">
        <f>AD64/AD61</f>
        <v>9.5689744618451648E-4</v>
      </c>
      <c r="AE65" s="88">
        <f>AE64/AE61</f>
        <v>5.5833774652431209E-2</v>
      </c>
      <c r="AF65" s="88">
        <f>AF64/AF61</f>
        <v>4.3672223068877011E-2</v>
      </c>
      <c r="AG65" s="88">
        <f>AG64/AG61</f>
        <v>2.22150694158634E-2</v>
      </c>
      <c r="AH65" s="77"/>
      <c r="AMM65"/>
    </row>
    <row r="66" spans="2:35 1027:1027" x14ac:dyDescent="0.3">
      <c r="B66" s="79" t="s">
        <v>69</v>
      </c>
      <c r="C66" s="80">
        <v>0.56999999999999995</v>
      </c>
      <c r="D66" s="81">
        <v>0.62</v>
      </c>
      <c r="E66" s="84">
        <f>C17/D46</f>
        <v>0.49657450051245244</v>
      </c>
      <c r="F66" s="85">
        <f>G17/E46</f>
        <v>0.50800805429720464</v>
      </c>
      <c r="G66" s="86">
        <f>H17/F46</f>
        <v>0.47865926689082733</v>
      </c>
      <c r="H66" s="86">
        <f>I17/G46</f>
        <v>0.44231093701726693</v>
      </c>
      <c r="X66" s="87"/>
      <c r="Z66" s="75"/>
      <c r="AA66" s="78" t="s">
        <v>57</v>
      </c>
      <c r="AB66" s="78" t="s">
        <v>70</v>
      </c>
      <c r="AC66" s="89">
        <f>K7-D42</f>
        <v>-12.452717393481137</v>
      </c>
      <c r="AD66" s="78"/>
      <c r="AE66" s="78"/>
      <c r="AF66" s="78"/>
      <c r="AG66" s="89">
        <f>L7-E42</f>
        <v>-12.240883970856911</v>
      </c>
      <c r="AH66" s="77"/>
      <c r="AMM66"/>
    </row>
    <row r="67" spans="2:35 1027:1027" x14ac:dyDescent="0.3">
      <c r="B67" s="79" t="s">
        <v>13</v>
      </c>
      <c r="C67" s="80">
        <v>1.06</v>
      </c>
      <c r="D67" s="81">
        <v>1.06</v>
      </c>
      <c r="E67" s="84">
        <f>C16/D47</f>
        <v>0.81590389236916905</v>
      </c>
      <c r="F67" s="85">
        <f>G16/E47</f>
        <v>0.86716812818627742</v>
      </c>
      <c r="G67" s="86">
        <f>H16/F47</f>
        <v>0.80966005357863291</v>
      </c>
      <c r="H67" s="86">
        <f>I16/G47</f>
        <v>0.82187882152772263</v>
      </c>
      <c r="X67" s="87"/>
      <c r="Z67" s="75"/>
      <c r="AA67" s="78" t="s">
        <v>57</v>
      </c>
      <c r="AB67" s="78" t="s">
        <v>68</v>
      </c>
      <c r="AC67" s="90" t="e">
        <f>AC66/K7</f>
        <v>#DIV/0!</v>
      </c>
      <c r="AD67" s="90"/>
      <c r="AE67" s="90"/>
      <c r="AF67" s="90"/>
      <c r="AG67" s="90" t="e">
        <f>AG66/L7</f>
        <v>#DIV/0!</v>
      </c>
      <c r="AH67" s="77"/>
      <c r="AMM67"/>
    </row>
    <row r="68" spans="2:35 1027:1027" x14ac:dyDescent="0.3">
      <c r="B68" s="79" t="s">
        <v>12</v>
      </c>
      <c r="C68" s="80">
        <v>1.05</v>
      </c>
      <c r="D68" s="81">
        <v>1.04</v>
      </c>
      <c r="E68" s="84">
        <f>C15/D48</f>
        <v>0.78392955290325428</v>
      </c>
      <c r="F68" s="85">
        <f>G15/E48</f>
        <v>0.73586986830407852</v>
      </c>
      <c r="G68" s="86">
        <f>H15/F48</f>
        <v>0.73352589725807826</v>
      </c>
      <c r="H68" s="86">
        <f>I15/G48</f>
        <v>0.76893073226634501</v>
      </c>
      <c r="X68" s="87"/>
      <c r="Z68" s="75"/>
      <c r="AA68" s="76"/>
      <c r="AB68" s="76"/>
      <c r="AC68" s="76"/>
      <c r="AD68" s="76"/>
      <c r="AE68" s="76"/>
      <c r="AF68" s="76"/>
      <c r="AG68" s="76"/>
      <c r="AH68" s="77"/>
      <c r="AMM68"/>
    </row>
    <row r="69" spans="2:35 1027:1027" x14ac:dyDescent="0.3">
      <c r="B69" s="79" t="s">
        <v>71</v>
      </c>
      <c r="C69" s="80">
        <v>1.52</v>
      </c>
      <c r="D69" s="81">
        <v>1.52</v>
      </c>
      <c r="E69" s="84">
        <f>C22/D50</f>
        <v>1.2022014444421714</v>
      </c>
      <c r="F69" s="85">
        <f>G22/E50</f>
        <v>1.3151188642509681</v>
      </c>
      <c r="G69" s="86">
        <f>H22/F50</f>
        <v>0.89756252176188922</v>
      </c>
      <c r="H69" s="86">
        <f>I22/G50</f>
        <v>1.2127702926880994</v>
      </c>
      <c r="X69" s="87"/>
      <c r="Z69" s="75"/>
      <c r="AA69" s="78" t="s">
        <v>10</v>
      </c>
      <c r="AB69" s="78"/>
      <c r="AC69" s="78">
        <v>2015</v>
      </c>
      <c r="AD69" s="78">
        <v>2016</v>
      </c>
      <c r="AE69" s="78">
        <v>2017</v>
      </c>
      <c r="AF69" s="78">
        <v>2018</v>
      </c>
      <c r="AG69" s="78">
        <v>2019</v>
      </c>
      <c r="AH69" s="77"/>
      <c r="AMM69"/>
    </row>
    <row r="70" spans="2:35 1027:1027" ht="15" thickBot="1" x14ac:dyDescent="0.35">
      <c r="B70" s="79" t="s">
        <v>72</v>
      </c>
      <c r="C70" s="91">
        <v>0.56000000000000005</v>
      </c>
      <c r="D70" s="92">
        <v>0.59</v>
      </c>
      <c r="E70" s="93">
        <f>C20/D49</f>
        <v>0.95725479930296509</v>
      </c>
      <c r="F70" s="94">
        <f>G20/E49</f>
        <v>0.84118453839591367</v>
      </c>
      <c r="G70" s="95">
        <f>H20/F49</f>
        <v>0.7782463729153718</v>
      </c>
      <c r="H70" s="95">
        <f>I20/G49</f>
        <v>0.83804291533746</v>
      </c>
      <c r="X70" s="87"/>
      <c r="Z70" s="75"/>
      <c r="AA70" s="78" t="s">
        <v>60</v>
      </c>
      <c r="AB70" s="78" t="s">
        <v>61</v>
      </c>
      <c r="AC70" s="78">
        <v>892.63400000000001</v>
      </c>
      <c r="AD70" s="78">
        <v>917.87199999999996</v>
      </c>
      <c r="AE70" s="78">
        <v>941.53700000000003</v>
      </c>
      <c r="AF70" s="78">
        <v>878</v>
      </c>
      <c r="AG70" s="78">
        <v>894</v>
      </c>
      <c r="AH70" s="77"/>
      <c r="AMM70"/>
    </row>
    <row r="71" spans="2:35 1027:1027" ht="15" thickBot="1" x14ac:dyDescent="0.35">
      <c r="AA71" s="75"/>
      <c r="AB71" s="78" t="s">
        <v>60</v>
      </c>
      <c r="AC71" s="78" t="s">
        <v>62</v>
      </c>
      <c r="AD71" s="78">
        <v>539.45899999999995</v>
      </c>
      <c r="AE71" s="78">
        <v>587.94200000000001</v>
      </c>
      <c r="AF71" s="78">
        <v>558.46299999999997</v>
      </c>
      <c r="AG71" s="78">
        <v>558</v>
      </c>
      <c r="AH71" s="78">
        <v>544</v>
      </c>
      <c r="AI71" s="77"/>
    </row>
    <row r="72" spans="2:35 1027:1027" x14ac:dyDescent="0.3">
      <c r="B72" s="38" t="s">
        <v>3</v>
      </c>
      <c r="C72" s="38" t="s">
        <v>56</v>
      </c>
      <c r="D72" s="96" t="s">
        <v>73</v>
      </c>
      <c r="E72" s="55"/>
      <c r="F72" s="97" t="s">
        <v>74</v>
      </c>
      <c r="G72" s="97" t="s">
        <v>74</v>
      </c>
      <c r="H72" s="97" t="s">
        <v>74</v>
      </c>
      <c r="I72" s="97" t="s">
        <v>74</v>
      </c>
      <c r="J72" s="97" t="s">
        <v>74</v>
      </c>
      <c r="K72" s="98" t="s">
        <v>74</v>
      </c>
      <c r="Z72" s="75"/>
      <c r="AA72" s="78" t="s">
        <v>60</v>
      </c>
      <c r="AB72" s="78" t="s">
        <v>64</v>
      </c>
      <c r="AC72" s="78">
        <v>254.227</v>
      </c>
      <c r="AD72" s="78">
        <v>262.31799999999998</v>
      </c>
      <c r="AE72" s="78">
        <v>299.58600000000001</v>
      </c>
      <c r="AF72" s="78">
        <v>250</v>
      </c>
      <c r="AG72" s="78">
        <v>262</v>
      </c>
      <c r="AH72" s="77"/>
      <c r="AMM72"/>
    </row>
    <row r="73" spans="2:35 1027:1027" x14ac:dyDescent="0.3">
      <c r="B73" s="79" t="s">
        <v>59</v>
      </c>
      <c r="C73" s="55">
        <f t="shared" ref="C73:C82" si="36">F61</f>
        <v>2019</v>
      </c>
      <c r="D73" s="82">
        <f t="shared" ref="D73:E82" si="37">G61</f>
        <v>2020</v>
      </c>
      <c r="E73" s="55">
        <v>2021</v>
      </c>
      <c r="F73" s="55">
        <v>2025</v>
      </c>
      <c r="G73" s="55">
        <v>2030</v>
      </c>
      <c r="H73" s="55">
        <v>2035</v>
      </c>
      <c r="I73" s="55">
        <v>2040</v>
      </c>
      <c r="J73" s="55">
        <v>2045</v>
      </c>
      <c r="K73" s="83">
        <v>2050</v>
      </c>
      <c r="L73" s="38" t="s">
        <v>75</v>
      </c>
      <c r="Z73" s="75"/>
      <c r="AA73" s="78" t="s">
        <v>60</v>
      </c>
      <c r="AB73" s="78" t="s">
        <v>66</v>
      </c>
      <c r="AC73" s="78">
        <f>AC72-AD71</f>
        <v>-285.23199999999997</v>
      </c>
      <c r="AD73" s="78">
        <f>AD72-AE71</f>
        <v>-325.62400000000002</v>
      </c>
      <c r="AE73" s="78">
        <f>AE72-AF71</f>
        <v>-258.87699999999995</v>
      </c>
      <c r="AF73" s="78">
        <f>AF72-AG71</f>
        <v>-308</v>
      </c>
      <c r="AG73" s="78">
        <f>AG72-AH71</f>
        <v>-282</v>
      </c>
      <c r="AH73" s="77"/>
      <c r="AMM73"/>
    </row>
    <row r="74" spans="2:35 1027:1027" x14ac:dyDescent="0.3">
      <c r="B74" s="79" t="s">
        <v>6</v>
      </c>
      <c r="C74" s="85">
        <f t="shared" si="36"/>
        <v>1.1919073846901793</v>
      </c>
      <c r="D74" s="84">
        <f t="shared" si="37"/>
        <v>0.95084065747251767</v>
      </c>
      <c r="E74" s="84">
        <f t="shared" si="37"/>
        <v>1.1157117587526781</v>
      </c>
      <c r="F74" s="85">
        <f t="shared" ref="F74:K82" si="38">$C74</f>
        <v>1.1919073846901793</v>
      </c>
      <c r="G74" s="85">
        <f t="shared" si="38"/>
        <v>1.1919073846901793</v>
      </c>
      <c r="H74" s="85">
        <f t="shared" si="38"/>
        <v>1.1919073846901793</v>
      </c>
      <c r="I74" s="85">
        <f t="shared" si="38"/>
        <v>1.1919073846901793</v>
      </c>
      <c r="J74" s="85">
        <f t="shared" si="38"/>
        <v>1.1919073846901793</v>
      </c>
      <c r="K74" s="86">
        <f t="shared" si="38"/>
        <v>1.1919073846901793</v>
      </c>
      <c r="Z74" s="75"/>
      <c r="AA74" s="78" t="s">
        <v>60</v>
      </c>
      <c r="AB74" s="78" t="s">
        <v>68</v>
      </c>
      <c r="AC74" s="88">
        <f>AC73/AC70</f>
        <v>-0.31953969936166443</v>
      </c>
      <c r="AD74" s="88">
        <f>AD73/AD70</f>
        <v>-0.35475970505691429</v>
      </c>
      <c r="AE74" s="88">
        <f>AE73/AE70</f>
        <v>-0.27495148889528498</v>
      </c>
      <c r="AF74" s="88">
        <f>AF73/AF70</f>
        <v>-0.35079726651480636</v>
      </c>
      <c r="AG74" s="88">
        <f>AG73/AG70</f>
        <v>-0.31543624161073824</v>
      </c>
      <c r="AH74" s="77"/>
      <c r="AMM74"/>
    </row>
    <row r="75" spans="2:35 1027:1027" x14ac:dyDescent="0.3">
      <c r="B75" s="79" t="s">
        <v>63</v>
      </c>
      <c r="C75" s="85">
        <f t="shared" si="36"/>
        <v>0.61997716436840722</v>
      </c>
      <c r="D75" s="84">
        <f t="shared" si="37"/>
        <v>0.54917301575159605</v>
      </c>
      <c r="E75" s="84">
        <f t="shared" si="37"/>
        <v>0.5403495291179724</v>
      </c>
      <c r="F75" s="85">
        <f t="shared" si="38"/>
        <v>0.61997716436840722</v>
      </c>
      <c r="G75" s="85">
        <f t="shared" si="38"/>
        <v>0.61997716436840722</v>
      </c>
      <c r="H75" s="85">
        <f t="shared" si="38"/>
        <v>0.61997716436840722</v>
      </c>
      <c r="I75" s="85">
        <f t="shared" si="38"/>
        <v>0.61997716436840722</v>
      </c>
      <c r="J75" s="85">
        <f t="shared" si="38"/>
        <v>0.61997716436840722</v>
      </c>
      <c r="K75" s="86">
        <f t="shared" si="38"/>
        <v>0.61997716436840722</v>
      </c>
      <c r="Z75" s="75"/>
      <c r="AA75" s="78" t="s">
        <v>57</v>
      </c>
      <c r="AB75" s="78" t="s">
        <v>70</v>
      </c>
      <c r="AC75" s="89">
        <f>K11-D43</f>
        <v>-1.3666520990067765</v>
      </c>
      <c r="AD75" s="78"/>
      <c r="AE75" s="78"/>
      <c r="AF75" s="78"/>
      <c r="AG75" s="89">
        <f>L11-E43</f>
        <v>-1.4419885947101772</v>
      </c>
      <c r="AH75" s="77"/>
      <c r="AMM75"/>
    </row>
    <row r="76" spans="2:35 1027:1027" x14ac:dyDescent="0.3">
      <c r="B76" s="79" t="s">
        <v>65</v>
      </c>
      <c r="C76" s="85">
        <f t="shared" si="36"/>
        <v>1.0378097667487052</v>
      </c>
      <c r="D76" s="84">
        <f t="shared" si="37"/>
        <v>0.96068998979364517</v>
      </c>
      <c r="E76" s="84">
        <f t="shared" si="37"/>
        <v>1.0155670853482146</v>
      </c>
      <c r="F76" s="85">
        <f t="shared" si="38"/>
        <v>1.0378097667487052</v>
      </c>
      <c r="G76" s="85">
        <f t="shared" si="38"/>
        <v>1.0378097667487052</v>
      </c>
      <c r="H76" s="85">
        <f t="shared" si="38"/>
        <v>1.0378097667487052</v>
      </c>
      <c r="I76" s="85">
        <f t="shared" si="38"/>
        <v>1.0378097667487052</v>
      </c>
      <c r="J76" s="85">
        <f t="shared" si="38"/>
        <v>1.0378097667487052</v>
      </c>
      <c r="K76" s="86">
        <f t="shared" si="38"/>
        <v>1.0378097667487052</v>
      </c>
      <c r="Z76" s="75"/>
      <c r="AA76" s="78" t="s">
        <v>57</v>
      </c>
      <c r="AB76" s="78" t="s">
        <v>68</v>
      </c>
      <c r="AC76" s="90" t="e">
        <f>AC75/K11</f>
        <v>#DIV/0!</v>
      </c>
      <c r="AD76" s="90"/>
      <c r="AE76" s="90"/>
      <c r="AF76" s="90"/>
      <c r="AG76" s="90" t="e">
        <f>AG75/L11</f>
        <v>#DIV/0!</v>
      </c>
      <c r="AH76" s="77"/>
      <c r="AMM76"/>
    </row>
    <row r="77" spans="2:35 1027:1027" x14ac:dyDescent="0.3">
      <c r="B77" s="79" t="s">
        <v>67</v>
      </c>
      <c r="C77" s="85">
        <f t="shared" si="36"/>
        <v>1.1681449890908295</v>
      </c>
      <c r="D77" s="84">
        <f t="shared" si="37"/>
        <v>1.0344895342672764</v>
      </c>
      <c r="E77" s="84">
        <f t="shared" si="37"/>
        <v>1.1619278226556016</v>
      </c>
      <c r="F77" s="85">
        <f t="shared" si="38"/>
        <v>1.1681449890908295</v>
      </c>
      <c r="G77" s="85">
        <f t="shared" si="38"/>
        <v>1.1681449890908295</v>
      </c>
      <c r="H77" s="85">
        <f t="shared" si="38"/>
        <v>1.1681449890908295</v>
      </c>
      <c r="I77" s="85">
        <f t="shared" si="38"/>
        <v>1.1681449890908295</v>
      </c>
      <c r="J77" s="85">
        <f t="shared" si="38"/>
        <v>1.1681449890908295</v>
      </c>
      <c r="K77" s="86">
        <f t="shared" si="38"/>
        <v>1.1681449890908295</v>
      </c>
      <c r="Z77" s="75"/>
      <c r="AA77" s="76"/>
      <c r="AB77" s="76"/>
      <c r="AC77" s="76"/>
      <c r="AD77" s="76"/>
      <c r="AE77" s="76"/>
      <c r="AF77" s="76"/>
      <c r="AG77" s="76"/>
      <c r="AH77" s="77"/>
      <c r="AMM77"/>
    </row>
    <row r="78" spans="2:35 1027:1027" x14ac:dyDescent="0.3">
      <c r="B78" s="79" t="s">
        <v>69</v>
      </c>
      <c r="C78" s="85">
        <f t="shared" si="36"/>
        <v>0.50800805429720464</v>
      </c>
      <c r="D78" s="84">
        <f t="shared" si="37"/>
        <v>0.47865926689082733</v>
      </c>
      <c r="E78" s="84">
        <f t="shared" si="37"/>
        <v>0.44231093701726693</v>
      </c>
      <c r="F78" s="85">
        <f t="shared" si="38"/>
        <v>0.50800805429720464</v>
      </c>
      <c r="G78" s="85">
        <f t="shared" si="38"/>
        <v>0.50800805429720464</v>
      </c>
      <c r="H78" s="85">
        <f t="shared" si="38"/>
        <v>0.50800805429720464</v>
      </c>
      <c r="I78" s="85">
        <f t="shared" si="38"/>
        <v>0.50800805429720464</v>
      </c>
      <c r="J78" s="85">
        <f t="shared" si="38"/>
        <v>0.50800805429720464</v>
      </c>
      <c r="K78" s="86">
        <f t="shared" si="38"/>
        <v>0.50800805429720464</v>
      </c>
      <c r="Z78" s="75"/>
      <c r="AA78" s="78" t="s">
        <v>16</v>
      </c>
      <c r="AB78" s="78"/>
      <c r="AC78" s="78">
        <v>2015</v>
      </c>
      <c r="AD78" s="78">
        <v>2016</v>
      </c>
      <c r="AE78" s="78">
        <v>2017</v>
      </c>
      <c r="AF78" s="78">
        <v>2018</v>
      </c>
      <c r="AG78" s="78">
        <v>2019</v>
      </c>
      <c r="AH78" s="77"/>
      <c r="AMM78"/>
    </row>
    <row r="79" spans="2:35 1027:1027" x14ac:dyDescent="0.3">
      <c r="B79" s="79" t="s">
        <v>13</v>
      </c>
      <c r="C79" s="85">
        <f t="shared" si="36"/>
        <v>0.86716812818627742</v>
      </c>
      <c r="D79" s="84">
        <f t="shared" si="37"/>
        <v>0.80966005357863291</v>
      </c>
      <c r="E79" s="84">
        <f t="shared" si="37"/>
        <v>0.82187882152772263</v>
      </c>
      <c r="F79" s="85">
        <f t="shared" si="38"/>
        <v>0.86716812818627742</v>
      </c>
      <c r="G79" s="85">
        <f t="shared" si="38"/>
        <v>0.86716812818627742</v>
      </c>
      <c r="H79" s="85">
        <f t="shared" si="38"/>
        <v>0.86716812818627742</v>
      </c>
      <c r="I79" s="85">
        <f t="shared" si="38"/>
        <v>0.86716812818627742</v>
      </c>
      <c r="J79" s="85">
        <f t="shared" si="38"/>
        <v>0.86716812818627742</v>
      </c>
      <c r="K79" s="86">
        <f t="shared" si="38"/>
        <v>0.86716812818627742</v>
      </c>
      <c r="Z79" s="75"/>
      <c r="AA79" s="78" t="s">
        <v>60</v>
      </c>
      <c r="AB79" s="78" t="s">
        <v>61</v>
      </c>
      <c r="AC79" s="78">
        <v>3825</v>
      </c>
      <c r="AD79" s="78">
        <v>3712</v>
      </c>
      <c r="AE79" s="78">
        <v>4064</v>
      </c>
      <c r="AF79" s="78">
        <v>4175</v>
      </c>
      <c r="AG79" s="78">
        <v>4185</v>
      </c>
      <c r="AH79" s="77"/>
      <c r="AMM79"/>
    </row>
    <row r="80" spans="2:35 1027:1027" x14ac:dyDescent="0.3">
      <c r="B80" s="79" t="s">
        <v>12</v>
      </c>
      <c r="C80" s="85">
        <f t="shared" si="36"/>
        <v>0.73586986830407852</v>
      </c>
      <c r="D80" s="84">
        <f t="shared" si="37"/>
        <v>0.73352589725807826</v>
      </c>
      <c r="E80" s="84">
        <f t="shared" si="37"/>
        <v>0.76893073226634501</v>
      </c>
      <c r="F80" s="85">
        <f t="shared" si="38"/>
        <v>0.73586986830407852</v>
      </c>
      <c r="G80" s="85">
        <f t="shared" si="38"/>
        <v>0.73586986830407852</v>
      </c>
      <c r="H80" s="85">
        <f t="shared" si="38"/>
        <v>0.73586986830407852</v>
      </c>
      <c r="I80" s="85">
        <f t="shared" si="38"/>
        <v>0.73586986830407852</v>
      </c>
      <c r="J80" s="85">
        <f t="shared" si="38"/>
        <v>0.73586986830407852</v>
      </c>
      <c r="K80" s="86">
        <f t="shared" si="38"/>
        <v>0.73586986830407852</v>
      </c>
      <c r="Z80" s="75"/>
      <c r="AA80" s="78" t="s">
        <v>60</v>
      </c>
      <c r="AB80" s="78" t="s">
        <v>62</v>
      </c>
      <c r="AC80" s="78">
        <v>135.441</v>
      </c>
      <c r="AD80" s="78">
        <v>169.04300000000001</v>
      </c>
      <c r="AE80" s="78">
        <v>171.09399999999999</v>
      </c>
      <c r="AF80" s="78">
        <v>164.52096900000001</v>
      </c>
      <c r="AG80" s="78">
        <v>165.29198199999999</v>
      </c>
      <c r="AH80" s="77"/>
      <c r="AMM80"/>
    </row>
    <row r="81" spans="2:35 1027:1027" x14ac:dyDescent="0.3">
      <c r="B81" s="79" t="s">
        <v>71</v>
      </c>
      <c r="C81" s="85">
        <f t="shared" si="36"/>
        <v>1.3151188642509681</v>
      </c>
      <c r="D81" s="84">
        <f t="shared" si="37"/>
        <v>0.89756252176188922</v>
      </c>
      <c r="E81" s="84">
        <f t="shared" si="37"/>
        <v>1.2127702926880994</v>
      </c>
      <c r="F81" s="85">
        <f t="shared" si="38"/>
        <v>1.3151188642509681</v>
      </c>
      <c r="G81" s="85">
        <f t="shared" si="38"/>
        <v>1.3151188642509681</v>
      </c>
      <c r="H81" s="85">
        <f t="shared" si="38"/>
        <v>1.3151188642509681</v>
      </c>
      <c r="I81" s="85">
        <f t="shared" si="38"/>
        <v>1.3151188642509681</v>
      </c>
      <c r="J81" s="85">
        <f t="shared" si="38"/>
        <v>1.3151188642509681</v>
      </c>
      <c r="K81" s="86">
        <f t="shared" si="38"/>
        <v>1.3151188642509681</v>
      </c>
      <c r="Z81" s="75"/>
      <c r="AA81" s="78" t="s">
        <v>60</v>
      </c>
      <c r="AB81" s="78" t="s">
        <v>64</v>
      </c>
      <c r="AC81" s="78">
        <v>171.441</v>
      </c>
      <c r="AD81" s="78">
        <v>171.34</v>
      </c>
      <c r="AE81" s="78">
        <v>172.67500000000001</v>
      </c>
      <c r="AF81" s="78">
        <v>179.332775</v>
      </c>
      <c r="AG81" s="78">
        <v>162.901858</v>
      </c>
      <c r="AH81" s="77"/>
      <c r="AMM81"/>
    </row>
    <row r="82" spans="2:35 1027:1027" ht="15" thickBot="1" x14ac:dyDescent="0.35">
      <c r="B82" s="79" t="s">
        <v>72</v>
      </c>
      <c r="C82" s="85">
        <f t="shared" si="36"/>
        <v>0.84118453839591367</v>
      </c>
      <c r="D82" s="93">
        <f t="shared" si="37"/>
        <v>0.7782463729153718</v>
      </c>
      <c r="E82" s="93">
        <f t="shared" si="37"/>
        <v>0.83804291533746</v>
      </c>
      <c r="F82" s="94">
        <f t="shared" si="38"/>
        <v>0.84118453839591367</v>
      </c>
      <c r="G82" s="94">
        <f t="shared" si="38"/>
        <v>0.84118453839591367</v>
      </c>
      <c r="H82" s="94">
        <f t="shared" si="38"/>
        <v>0.84118453839591367</v>
      </c>
      <c r="I82" s="94">
        <f t="shared" si="38"/>
        <v>0.84118453839591367</v>
      </c>
      <c r="J82" s="94">
        <f t="shared" si="38"/>
        <v>0.84118453839591367</v>
      </c>
      <c r="K82" s="95">
        <f t="shared" si="38"/>
        <v>0.84118453839591367</v>
      </c>
      <c r="Z82" s="75"/>
      <c r="AA82" s="78" t="s">
        <v>60</v>
      </c>
      <c r="AB82" s="78" t="s">
        <v>66</v>
      </c>
      <c r="AC82" s="78">
        <f>AC81-AC80</f>
        <v>36</v>
      </c>
      <c r="AD82" s="78">
        <f>AD81-AD80</f>
        <v>2.296999999999997</v>
      </c>
      <c r="AE82" s="78">
        <f>AE81-AE80</f>
        <v>1.5810000000000173</v>
      </c>
      <c r="AF82" s="78">
        <f>AF81-AF80</f>
        <v>14.81180599999999</v>
      </c>
      <c r="AG82" s="78">
        <f>AG81-AG80</f>
        <v>-2.3901239999999859</v>
      </c>
      <c r="AH82" s="77"/>
      <c r="AMM82"/>
    </row>
    <row r="83" spans="2:35 1027:1027" ht="15" thickBot="1" x14ac:dyDescent="0.35">
      <c r="AA83" s="75"/>
      <c r="AB83" s="78" t="s">
        <v>60</v>
      </c>
      <c r="AC83" s="78" t="s">
        <v>68</v>
      </c>
      <c r="AD83" s="88">
        <f>AC82/AC79</f>
        <v>9.4117647058823521E-3</v>
      </c>
      <c r="AE83" s="88">
        <f>AD82/AD79</f>
        <v>6.1880387931034406E-4</v>
      </c>
      <c r="AF83" s="88">
        <f>AE82/AE79</f>
        <v>3.8902559055118536E-4</v>
      </c>
      <c r="AG83" s="88">
        <f>AF82/AF79</f>
        <v>3.5477379640718541E-3</v>
      </c>
      <c r="AH83" s="88">
        <f>AG82/AG79</f>
        <v>-5.7111684587813282E-4</v>
      </c>
      <c r="AI83" s="77"/>
    </row>
    <row r="84" spans="2:35 1027:1027" x14ac:dyDescent="0.3">
      <c r="B84" s="431" t="s">
        <v>4</v>
      </c>
      <c r="C84" s="431" t="s">
        <v>56</v>
      </c>
      <c r="D84" s="432" t="s">
        <v>73</v>
      </c>
      <c r="E84" s="433"/>
      <c r="F84" s="434" t="s">
        <v>74</v>
      </c>
      <c r="G84" s="434" t="s">
        <v>74</v>
      </c>
      <c r="H84" s="434" t="s">
        <v>74</v>
      </c>
      <c r="I84" s="434" t="s">
        <v>74</v>
      </c>
      <c r="J84" s="434" t="s">
        <v>74</v>
      </c>
      <c r="K84" s="445" t="s">
        <v>74</v>
      </c>
      <c r="AA84" s="75"/>
      <c r="AB84" s="78" t="s">
        <v>57</v>
      </c>
      <c r="AC84" s="78" t="s">
        <v>70</v>
      </c>
      <c r="AD84" s="89">
        <f>K19-D44</f>
        <v>-4.9308939854919993</v>
      </c>
      <c r="AE84" s="78"/>
      <c r="AF84" s="78"/>
      <c r="AG84" s="78"/>
      <c r="AH84" s="89">
        <f>L19-E44</f>
        <v>-4.8770763930889212</v>
      </c>
      <c r="AI84" s="77"/>
    </row>
    <row r="85" spans="2:35 1027:1027" x14ac:dyDescent="0.3">
      <c r="B85" s="446" t="s">
        <v>59</v>
      </c>
      <c r="C85" s="436">
        <f t="shared" ref="C85" si="39">F61</f>
        <v>2019</v>
      </c>
      <c r="D85" s="437">
        <f t="shared" ref="D85" si="40">G61</f>
        <v>2020</v>
      </c>
      <c r="E85" s="438">
        <v>2021</v>
      </c>
      <c r="F85" s="436">
        <v>2025</v>
      </c>
      <c r="G85" s="436">
        <v>2030</v>
      </c>
      <c r="H85" s="436">
        <v>2035</v>
      </c>
      <c r="I85" s="436">
        <v>2040</v>
      </c>
      <c r="J85" s="436">
        <v>2045</v>
      </c>
      <c r="K85" s="439">
        <v>2050</v>
      </c>
      <c r="AA85" s="75"/>
      <c r="AB85" s="78" t="s">
        <v>57</v>
      </c>
      <c r="AC85" s="78" t="s">
        <v>68</v>
      </c>
      <c r="AD85" s="90" t="e">
        <f>AD84/K19</f>
        <v>#DIV/0!</v>
      </c>
      <c r="AE85" s="90"/>
      <c r="AF85" s="90"/>
      <c r="AG85" s="90"/>
      <c r="AH85" s="90" t="e">
        <f>AH84/L19</f>
        <v>#DIV/0!</v>
      </c>
      <c r="AI85" s="77"/>
    </row>
    <row r="86" spans="2:35 1027:1027" x14ac:dyDescent="0.3">
      <c r="B86" s="446" t="s">
        <v>6</v>
      </c>
      <c r="C86" s="447">
        <f>'A renseigner'!C28</f>
        <v>1.1919073846901793</v>
      </c>
      <c r="D86" s="447">
        <f>'A renseigner'!D28</f>
        <v>0.94867673329565083</v>
      </c>
      <c r="E86" s="447">
        <f>'A renseigner'!E28</f>
        <v>1.1106235425836675</v>
      </c>
      <c r="F86" s="447">
        <f>'A renseigner'!F28</f>
        <v>1.2721443686392331</v>
      </c>
      <c r="G86" s="447">
        <f>'A renseigner'!G28</f>
        <v>1.29</v>
      </c>
      <c r="H86" s="447">
        <f>'A renseigner'!H28</f>
        <v>1.3041947108710794</v>
      </c>
      <c r="I86" s="447">
        <f>'A renseigner'!I28</f>
        <v>1.3241647795062443</v>
      </c>
      <c r="J86" s="447">
        <f>'A renseigner'!J28</f>
        <v>1.33</v>
      </c>
      <c r="K86" s="447">
        <f>'A renseigner'!K28</f>
        <v>1.35</v>
      </c>
      <c r="M86" s="38" t="s">
        <v>76</v>
      </c>
      <c r="AA86" s="75"/>
      <c r="AB86" s="76"/>
      <c r="AC86" s="76"/>
      <c r="AD86" s="76"/>
      <c r="AE86" s="76"/>
      <c r="AF86" s="76"/>
      <c r="AG86" s="76"/>
      <c r="AH86" s="76"/>
      <c r="AI86" s="77"/>
    </row>
    <row r="87" spans="2:35 1027:1027" x14ac:dyDescent="0.3">
      <c r="B87" s="446" t="s">
        <v>63</v>
      </c>
      <c r="C87" s="447">
        <f>'A renseigner'!C29</f>
        <v>0.61997716436840722</v>
      </c>
      <c r="D87" s="447">
        <f>'A renseigner'!D29</f>
        <v>0.54881970665898772</v>
      </c>
      <c r="E87" s="447">
        <f>'A renseigner'!E29</f>
        <v>0.53966357158704892</v>
      </c>
      <c r="F87" s="447">
        <f>'A renseigner'!F29</f>
        <v>0.64</v>
      </c>
      <c r="G87" s="447">
        <f>'A renseigner'!G29</f>
        <v>0.68</v>
      </c>
      <c r="H87" s="447">
        <f>'A renseigner'!H29</f>
        <v>0.72250000000000003</v>
      </c>
      <c r="I87" s="447">
        <f>'A renseigner'!I29</f>
        <v>0.76500000000000001</v>
      </c>
      <c r="J87" s="447">
        <f>'A renseigner'!J29</f>
        <v>0.8075</v>
      </c>
      <c r="K87" s="447">
        <f>'A renseigner'!K29</f>
        <v>0.85</v>
      </c>
      <c r="AA87" s="75"/>
      <c r="AB87" s="78" t="s">
        <v>17</v>
      </c>
      <c r="AC87" s="78"/>
      <c r="AD87" s="78">
        <v>2015</v>
      </c>
      <c r="AE87" s="78">
        <v>2016</v>
      </c>
      <c r="AF87" s="78">
        <v>2017</v>
      </c>
      <c r="AG87" s="78">
        <v>2018</v>
      </c>
      <c r="AH87" s="78">
        <v>2019</v>
      </c>
      <c r="AI87" s="77"/>
    </row>
    <row r="88" spans="2:35 1027:1027" x14ac:dyDescent="0.3">
      <c r="B88" s="446" t="s">
        <v>65</v>
      </c>
      <c r="C88" s="447">
        <f>'A renseigner'!C30</f>
        <v>1.0378097667487052</v>
      </c>
      <c r="D88" s="447">
        <f>'A renseigner'!D30</f>
        <v>0.95281779259400756</v>
      </c>
      <c r="E88" s="447">
        <f>'A renseigner'!E30</f>
        <v>0.99876592206254966</v>
      </c>
      <c r="F88" s="447">
        <f>'A renseigner'!F30</f>
        <v>1.1000000000000001</v>
      </c>
      <c r="G88" s="447">
        <f>'A renseigner'!G30</f>
        <v>1.21</v>
      </c>
      <c r="H88" s="447">
        <f>'A renseigner'!H30</f>
        <v>1.24</v>
      </c>
      <c r="I88" s="447">
        <f>'A renseigner'!I30</f>
        <v>1.24</v>
      </c>
      <c r="J88" s="447">
        <f>'A renseigner'!J30</f>
        <v>1.24</v>
      </c>
      <c r="K88" s="447">
        <f>'A renseigner'!K30</f>
        <v>1.24</v>
      </c>
      <c r="AA88" s="75"/>
      <c r="AB88" s="78" t="s">
        <v>60</v>
      </c>
      <c r="AC88" s="78" t="s">
        <v>61</v>
      </c>
      <c r="AD88" s="78">
        <v>7985.5150000000003</v>
      </c>
      <c r="AE88" s="78">
        <v>7983.5149000000001</v>
      </c>
      <c r="AF88" s="78">
        <v>8021.4</v>
      </c>
      <c r="AG88" s="78">
        <v>7869.7</v>
      </c>
      <c r="AH88" s="78">
        <v>7322.7</v>
      </c>
      <c r="AI88" s="77"/>
    </row>
    <row r="89" spans="2:35 1027:1027" x14ac:dyDescent="0.3">
      <c r="B89" s="446" t="s">
        <v>67</v>
      </c>
      <c r="C89" s="447">
        <f>'A renseigner'!C31</f>
        <v>1.1681449890908295</v>
      </c>
      <c r="D89" s="447">
        <f>'A renseigner'!D31</f>
        <v>1.0333737169648318</v>
      </c>
      <c r="E89" s="447">
        <f>'A renseigner'!E31</f>
        <v>1.1594131211799912</v>
      </c>
      <c r="F89" s="447">
        <f>'A renseigner'!F31</f>
        <v>1.1681449890908295</v>
      </c>
      <c r="G89" s="447">
        <f>'A renseigner'!G31</f>
        <v>1.1681449890908295</v>
      </c>
      <c r="H89" s="447">
        <f>'A renseigner'!H31</f>
        <v>1.1681449890908295</v>
      </c>
      <c r="I89" s="447">
        <f>'A renseigner'!I31</f>
        <v>1.1681449890908295</v>
      </c>
      <c r="J89" s="447">
        <f>'A renseigner'!J31</f>
        <v>1.1681449890908295</v>
      </c>
      <c r="K89" s="447">
        <f>'A renseigner'!K31</f>
        <v>1.1681449890908295</v>
      </c>
      <c r="AA89" s="75"/>
      <c r="AB89" s="78" t="s">
        <v>60</v>
      </c>
      <c r="AC89" s="78" t="s">
        <v>62</v>
      </c>
      <c r="AD89" s="78">
        <v>5254.3119999999999</v>
      </c>
      <c r="AE89" s="78">
        <v>5101.3590000000004</v>
      </c>
      <c r="AF89" s="78">
        <v>5124.0519999999997</v>
      </c>
      <c r="AG89" s="78">
        <v>5042.7</v>
      </c>
      <c r="AH89" s="78">
        <v>5180.7</v>
      </c>
      <c r="AI89" s="77"/>
    </row>
    <row r="90" spans="2:35 1027:1027" x14ac:dyDescent="0.3">
      <c r="B90" s="446" t="s">
        <v>69</v>
      </c>
      <c r="C90" s="447">
        <f>'A renseigner'!C32</f>
        <v>0.50800805429720464</v>
      </c>
      <c r="D90" s="447">
        <f>'A renseigner'!D32</f>
        <v>0.47838016166090164</v>
      </c>
      <c r="E90" s="447">
        <f>'A renseigner'!E32</f>
        <v>0.44179116777546801</v>
      </c>
      <c r="F90" s="447">
        <f>'A renseigner'!F32</f>
        <v>0.6</v>
      </c>
      <c r="G90" s="447">
        <f>'A renseigner'!G32</f>
        <v>0.65</v>
      </c>
      <c r="H90" s="447">
        <f>'A renseigner'!H32</f>
        <v>0.6875</v>
      </c>
      <c r="I90" s="447">
        <f>'A renseigner'!I32</f>
        <v>0.72500000000000009</v>
      </c>
      <c r="J90" s="447">
        <f>'A renseigner'!J32</f>
        <v>0.76250000000000007</v>
      </c>
      <c r="K90" s="447">
        <f>'A renseigner'!K32</f>
        <v>0.8</v>
      </c>
      <c r="AA90" s="75"/>
      <c r="AB90" s="78" t="s">
        <v>60</v>
      </c>
      <c r="AC90" s="78" t="s">
        <v>64</v>
      </c>
      <c r="AD90" s="78">
        <v>4404.2</v>
      </c>
      <c r="AE90" s="78">
        <v>4268.7449999999999</v>
      </c>
      <c r="AF90" s="78">
        <v>4280.9960000000001</v>
      </c>
      <c r="AG90" s="78">
        <v>4144.8</v>
      </c>
      <c r="AH90" s="78">
        <v>3996.9</v>
      </c>
      <c r="AI90" s="77"/>
    </row>
    <row r="91" spans="2:35 1027:1027" x14ac:dyDescent="0.3">
      <c r="B91" s="446" t="s">
        <v>13</v>
      </c>
      <c r="C91" s="447">
        <f>'A renseigner'!C33</f>
        <v>1.1000000000000001</v>
      </c>
      <c r="D91" s="447">
        <f>'A renseigner'!D33</f>
        <v>1.1000000000000001</v>
      </c>
      <c r="E91" s="447">
        <f>'A renseigner'!E33</f>
        <v>1.1000000000000001</v>
      </c>
      <c r="F91" s="447">
        <f>'A renseigner'!F33</f>
        <v>1.1000000000000001</v>
      </c>
      <c r="G91" s="447">
        <f>'A renseigner'!G33</f>
        <v>1.1000000000000001</v>
      </c>
      <c r="H91" s="447">
        <f>'A renseigner'!H33</f>
        <v>1.1000000000000001</v>
      </c>
      <c r="I91" s="447">
        <f>'A renseigner'!I33</f>
        <v>1.1000000000000001</v>
      </c>
      <c r="J91" s="447">
        <f>'A renseigner'!J33</f>
        <v>1.1000000000000001</v>
      </c>
      <c r="K91" s="447">
        <f>'A renseigner'!K33</f>
        <v>1.1299999999999999</v>
      </c>
      <c r="M91" s="38" t="s">
        <v>1039</v>
      </c>
      <c r="N91" s="99"/>
      <c r="AA91" s="75"/>
      <c r="AB91" s="78" t="s">
        <v>60</v>
      </c>
      <c r="AC91" s="78" t="s">
        <v>66</v>
      </c>
      <c r="AD91" s="78">
        <f>AD90-AD89</f>
        <v>-850.11200000000008</v>
      </c>
      <c r="AE91" s="78">
        <f>AE90-AE89</f>
        <v>-832.61400000000049</v>
      </c>
      <c r="AF91" s="78">
        <f>AF90-AF89</f>
        <v>-843.05599999999959</v>
      </c>
      <c r="AG91" s="78">
        <f>AG90-AG89</f>
        <v>-897.89999999999964</v>
      </c>
      <c r="AH91" s="78">
        <f>AH90-AH89</f>
        <v>-1183.7999999999997</v>
      </c>
      <c r="AI91" s="77"/>
    </row>
    <row r="92" spans="2:35 1027:1027" x14ac:dyDescent="0.3">
      <c r="B92" s="446" t="s">
        <v>12</v>
      </c>
      <c r="C92" s="447">
        <f>'A renseigner'!C34</f>
        <v>0.73586986830407852</v>
      </c>
      <c r="D92" s="447">
        <f>'A renseigner'!D34</f>
        <v>0.73567714281301433</v>
      </c>
      <c r="E92" s="447">
        <f>'A renseigner'!E34</f>
        <v>0.77358309921677015</v>
      </c>
      <c r="F92" s="447">
        <f>'A renseigner'!F34</f>
        <v>0.83</v>
      </c>
      <c r="G92" s="447">
        <f>'A renseigner'!G34</f>
        <v>0.92</v>
      </c>
      <c r="H92" s="447">
        <f>'A renseigner'!H34</f>
        <v>0.96</v>
      </c>
      <c r="I92" s="447">
        <f>'A renseigner'!I34</f>
        <v>0.99</v>
      </c>
      <c r="J92" s="447">
        <f>'A renseigner'!J34</f>
        <v>1</v>
      </c>
      <c r="K92" s="447">
        <f>'A renseigner'!K34</f>
        <v>1.06</v>
      </c>
      <c r="M92" s="52" t="s">
        <v>860</v>
      </c>
      <c r="AA92" s="75"/>
      <c r="AB92" s="78" t="s">
        <v>60</v>
      </c>
      <c r="AC92" s="78" t="s">
        <v>68</v>
      </c>
      <c r="AD92" s="88">
        <f>AD91/AD88</f>
        <v>-0.10645675325886934</v>
      </c>
      <c r="AE92" s="88">
        <f>AE91/AE88</f>
        <v>-0.10429165729996953</v>
      </c>
      <c r="AF92" s="88">
        <f>AF91/AF88</f>
        <v>-0.10510085521230703</v>
      </c>
      <c r="AG92" s="88">
        <f>AG91/AG88</f>
        <v>-0.11409583592767192</v>
      </c>
      <c r="AH92" s="88">
        <f>AH91/AH88</f>
        <v>-0.16166168216641399</v>
      </c>
      <c r="AI92" s="77"/>
    </row>
    <row r="93" spans="2:35 1027:1027" x14ac:dyDescent="0.3">
      <c r="B93" s="446" t="s">
        <v>71</v>
      </c>
      <c r="C93" s="447">
        <f>'A renseigner'!C35</f>
        <v>1.3151188642509681</v>
      </c>
      <c r="D93" s="447">
        <f>'A renseigner'!D35</f>
        <v>0.89756252176188922</v>
      </c>
      <c r="E93" s="447">
        <f>'A renseigner'!E35</f>
        <v>1.2127702926880994</v>
      </c>
      <c r="F93" s="447">
        <f>'A renseigner'!F35</f>
        <v>1.3151188642509681</v>
      </c>
      <c r="G93" s="447">
        <f>'A renseigner'!G35</f>
        <v>1.3151188642509681</v>
      </c>
      <c r="H93" s="447">
        <f>'A renseigner'!H35</f>
        <v>1.3151188642509681</v>
      </c>
      <c r="I93" s="447">
        <f>'A renseigner'!I35</f>
        <v>1.3151188642509681</v>
      </c>
      <c r="J93" s="447">
        <f>'A renseigner'!J35</f>
        <v>1.3151188642509681</v>
      </c>
      <c r="K93" s="447">
        <f>'A renseigner'!K35</f>
        <v>1.3151188642509681</v>
      </c>
      <c r="AA93" s="75"/>
      <c r="AB93" s="78" t="s">
        <v>57</v>
      </c>
      <c r="AC93" s="78" t="s">
        <v>70</v>
      </c>
      <c r="AD93" s="89">
        <f>K20-D49</f>
        <v>-8.3467850000000006</v>
      </c>
      <c r="AE93" s="78"/>
      <c r="AF93" s="78"/>
      <c r="AG93" s="78"/>
      <c r="AH93" s="89">
        <f>L20-E49</f>
        <v>-8.7020144402068809</v>
      </c>
      <c r="AI93" s="77"/>
    </row>
    <row r="94" spans="2:35 1027:1027" x14ac:dyDescent="0.3">
      <c r="B94" s="446" t="s">
        <v>72</v>
      </c>
      <c r="C94" s="447">
        <f>'A renseigner'!C36</f>
        <v>0.84118453839591367</v>
      </c>
      <c r="D94" s="447">
        <f>'A renseigner'!D36</f>
        <v>0.77745012268993219</v>
      </c>
      <c r="E94" s="447">
        <f>'A renseigner'!E36</f>
        <v>0.83633919648955013</v>
      </c>
      <c r="F94" s="447">
        <f>'A renseigner'!F36</f>
        <v>0.87</v>
      </c>
      <c r="G94" s="447">
        <f>'A renseigner'!G36</f>
        <v>0.9</v>
      </c>
      <c r="H94" s="447">
        <f>'A renseigner'!H36</f>
        <v>0.92500000000000004</v>
      </c>
      <c r="I94" s="447">
        <f>'A renseigner'!I36</f>
        <v>0.95</v>
      </c>
      <c r="J94" s="447">
        <f>'A renseigner'!J36</f>
        <v>0.97499999999999998</v>
      </c>
      <c r="K94" s="447">
        <f>'A renseigner'!K36</f>
        <v>1</v>
      </c>
      <c r="AA94" s="75"/>
      <c r="AB94" s="78" t="s">
        <v>57</v>
      </c>
      <c r="AC94" s="78" t="s">
        <v>68</v>
      </c>
      <c r="AD94" s="90" t="e">
        <f>AD93/K20</f>
        <v>#DIV/0!</v>
      </c>
      <c r="AE94" s="90"/>
      <c r="AF94" s="90"/>
      <c r="AG94" s="90"/>
      <c r="AH94" s="90" t="e">
        <f>AH93/L20</f>
        <v>#DIV/0!</v>
      </c>
      <c r="AI94" s="77"/>
    </row>
    <row r="95" spans="2:35 1027:1027" ht="15" thickBot="1" x14ac:dyDescent="0.35">
      <c r="AA95" s="100"/>
      <c r="AB95" s="101"/>
      <c r="AC95" s="101"/>
      <c r="AD95" s="101"/>
      <c r="AE95" s="101"/>
      <c r="AF95" s="101"/>
      <c r="AG95" s="101"/>
      <c r="AH95" s="101"/>
      <c r="AI95" s="102"/>
    </row>
    <row r="97" spans="1:22 1027:1027" x14ac:dyDescent="0.3">
      <c r="B97" s="661" t="s">
        <v>77</v>
      </c>
      <c r="C97" s="661"/>
      <c r="D97" s="661"/>
      <c r="E97" s="661"/>
    </row>
    <row r="98" spans="1:22 1027:1027" ht="15" thickBot="1" x14ac:dyDescent="0.35"/>
    <row r="99" spans="1:22 1027:1027" x14ac:dyDescent="0.3">
      <c r="B99" s="38" t="s">
        <v>3</v>
      </c>
      <c r="C99" s="38" t="s">
        <v>56</v>
      </c>
      <c r="D99" s="96" t="s">
        <v>73</v>
      </c>
      <c r="E99" s="410"/>
      <c r="F99" s="97" t="s">
        <v>74</v>
      </c>
      <c r="G99" s="97" t="s">
        <v>74</v>
      </c>
      <c r="H99" s="97" t="s">
        <v>74</v>
      </c>
      <c r="I99" s="97" t="s">
        <v>74</v>
      </c>
      <c r="J99" s="97" t="s">
        <v>74</v>
      </c>
      <c r="K99" s="97" t="s">
        <v>74</v>
      </c>
      <c r="Q99" s="672" t="s">
        <v>78</v>
      </c>
      <c r="R99" s="672"/>
      <c r="S99" s="672"/>
      <c r="T99" s="672"/>
      <c r="U99" s="672"/>
      <c r="V99" s="672"/>
      <c r="AMM99"/>
    </row>
    <row r="100" spans="1:22 1027:1027" x14ac:dyDescent="0.3">
      <c r="B100" s="1" t="s">
        <v>5</v>
      </c>
      <c r="C100" s="55">
        <v>2019</v>
      </c>
      <c r="D100" s="82">
        <v>2020</v>
      </c>
      <c r="E100" s="411">
        <v>2021</v>
      </c>
      <c r="F100" s="55">
        <v>2025</v>
      </c>
      <c r="G100" s="55">
        <v>2030</v>
      </c>
      <c r="H100" s="55">
        <v>2035</v>
      </c>
      <c r="I100" s="55">
        <v>2040</v>
      </c>
      <c r="J100" s="55">
        <v>2045</v>
      </c>
      <c r="K100" s="83">
        <v>2050</v>
      </c>
      <c r="P100" s="103">
        <v>2023</v>
      </c>
      <c r="Q100" s="103">
        <v>2025</v>
      </c>
      <c r="R100" s="103">
        <v>2030</v>
      </c>
      <c r="S100" s="103">
        <v>2035</v>
      </c>
      <c r="T100" s="103">
        <v>2040</v>
      </c>
      <c r="U100" s="103">
        <v>2045</v>
      </c>
      <c r="V100" s="103">
        <v>2050</v>
      </c>
      <c r="AMM100"/>
    </row>
    <row r="101" spans="1:22 1027:1027" x14ac:dyDescent="0.3">
      <c r="A101" s="70">
        <f>C101-G$7</f>
        <v>0</v>
      </c>
      <c r="B101" s="39" t="s">
        <v>6</v>
      </c>
      <c r="C101" s="70">
        <f>G7</f>
        <v>14.59</v>
      </c>
      <c r="D101" s="70">
        <f>H7</f>
        <v>11.59</v>
      </c>
      <c r="E101" s="70">
        <f>I7</f>
        <v>13.542000000000002</v>
      </c>
      <c r="F101" s="70">
        <f t="shared" ref="F101:K101" si="41">F74*H29</f>
        <v>14.5663125767295</v>
      </c>
      <c r="G101" s="70">
        <f t="shared" si="41"/>
        <v>14.546573057337417</v>
      </c>
      <c r="H101" s="70">
        <f t="shared" si="41"/>
        <v>14.745979760310806</v>
      </c>
      <c r="I101" s="70">
        <f t="shared" si="41"/>
        <v>14.945386463284192</v>
      </c>
      <c r="J101" s="70">
        <f t="shared" si="41"/>
        <v>15.144793166257578</v>
      </c>
      <c r="K101" s="70">
        <f t="shared" si="41"/>
        <v>15.344199869230966</v>
      </c>
      <c r="O101" s="39" t="s">
        <v>6</v>
      </c>
      <c r="P101" s="103">
        <v>14.2</v>
      </c>
      <c r="Q101" s="104">
        <v>13.7983406135097</v>
      </c>
      <c r="R101" s="104">
        <v>13.4269328577767</v>
      </c>
      <c r="S101" s="104">
        <v>13.119305266443501</v>
      </c>
      <c r="T101" s="104">
        <v>12.8708014499777</v>
      </c>
      <c r="U101" s="104">
        <v>12.697577815301999</v>
      </c>
      <c r="V101" s="104">
        <v>12.5730601871403</v>
      </c>
      <c r="AMM101"/>
    </row>
    <row r="102" spans="1:22 1027:1027" x14ac:dyDescent="0.3">
      <c r="A102" s="70">
        <f>C102-G$8</f>
        <v>0</v>
      </c>
      <c r="B102" s="39" t="s">
        <v>7</v>
      </c>
      <c r="C102" s="70">
        <f>(C101-(C101*'4. Recyclage'!H12))/(1-0.16)-C104</f>
        <v>10.130000000000001</v>
      </c>
      <c r="D102" s="70">
        <f>(D101-(D101*H3))/(1-0.16)-D104</f>
        <v>7.8699999999999992</v>
      </c>
      <c r="E102" s="70">
        <f>(E101-(E101*I3))/(1-0.16)-E104</f>
        <v>8.9380000000000024</v>
      </c>
      <c r="F102" s="70">
        <f>(F101-(F101*'4. Recyclage'!J12))/(1-0.16)-F104</f>
        <v>9.652101579685322</v>
      </c>
      <c r="G102" s="70">
        <f>(G101-(G101*'4. Recyclage'!K12))/(1-0.16)-G104</f>
        <v>9.1781949052247978</v>
      </c>
      <c r="H102" s="70">
        <f>(H101-(H101*'4. Recyclage'!L12))/(1-0.16)-H104</f>
        <v>9.2162373501942554</v>
      </c>
      <c r="I102" s="70">
        <f>(I101-(I101*'4. Recyclage'!M12))/(1-0.16)-I104</f>
        <v>9.2519059058425963</v>
      </c>
      <c r="J102" s="70">
        <f>(J101-(J101*'4. Recyclage'!N12))/(1-0.16)-J104</f>
        <v>9.2852005721698241</v>
      </c>
      <c r="K102" s="70">
        <f>(K101-(K101*'4. Recyclage'!O12))/(1-0.16)-K104</f>
        <v>9.316121349175944</v>
      </c>
      <c r="L102" s="38" t="s">
        <v>79</v>
      </c>
      <c r="O102" s="39" t="s">
        <v>80</v>
      </c>
      <c r="P102" s="103">
        <v>9.6</v>
      </c>
      <c r="Q102" s="104">
        <v>8.6983406135096999</v>
      </c>
      <c r="R102" s="104">
        <v>7.64332517169216</v>
      </c>
      <c r="S102" s="104">
        <v>7.3356975803590299</v>
      </c>
      <c r="T102" s="104">
        <v>7.0871937638932101</v>
      </c>
      <c r="U102" s="104">
        <v>6.9139701292174802</v>
      </c>
      <c r="V102" s="104">
        <v>6.7894525010557398</v>
      </c>
      <c r="AMM102"/>
    </row>
    <row r="103" spans="1:22 1027:1027" x14ac:dyDescent="0.3">
      <c r="A103" s="70">
        <f>C103-G$9</f>
        <v>0</v>
      </c>
      <c r="B103" s="39" t="s">
        <v>8</v>
      </c>
      <c r="C103" s="70">
        <f t="shared" ref="C103:K103" si="42">C101-C102-C104</f>
        <v>4.4599999999999991</v>
      </c>
      <c r="D103" s="70">
        <f t="shared" si="42"/>
        <v>3.7200000000000006</v>
      </c>
      <c r="E103" s="70">
        <f t="shared" si="42"/>
        <v>4.6039999999999992</v>
      </c>
      <c r="F103" s="70">
        <f t="shared" si="42"/>
        <v>4.9142109970441776</v>
      </c>
      <c r="G103" s="70">
        <f t="shared" si="42"/>
        <v>5.3683781521126193</v>
      </c>
      <c r="H103" s="70">
        <f t="shared" si="42"/>
        <v>5.5297424101165511</v>
      </c>
      <c r="I103" s="70">
        <f t="shared" si="42"/>
        <v>5.6934805574415961</v>
      </c>
      <c r="J103" s="70">
        <f t="shared" si="42"/>
        <v>5.8595925940877542</v>
      </c>
      <c r="K103" s="70">
        <f t="shared" si="42"/>
        <v>6.028078520055022</v>
      </c>
      <c r="L103" s="38" t="s">
        <v>81</v>
      </c>
      <c r="O103" s="39" t="s">
        <v>8</v>
      </c>
      <c r="P103" s="103">
        <v>4.5999999999999996</v>
      </c>
      <c r="Q103" s="104">
        <v>5.0999999999999996</v>
      </c>
      <c r="R103" s="104">
        <v>5.7836076860845198</v>
      </c>
      <c r="S103" s="104">
        <v>5.7836076860845198</v>
      </c>
      <c r="T103" s="104">
        <v>5.7836076860845198</v>
      </c>
      <c r="U103" s="104">
        <v>5.7836076860845198</v>
      </c>
      <c r="V103" s="104">
        <v>5.7836076860845198</v>
      </c>
      <c r="AMM103"/>
    </row>
    <row r="104" spans="1:22 1027:1027" x14ac:dyDescent="0.3">
      <c r="B104" s="39" t="s">
        <v>38</v>
      </c>
      <c r="C104" s="70">
        <v>0</v>
      </c>
      <c r="D104" s="70">
        <v>0</v>
      </c>
      <c r="E104" s="70">
        <v>0</v>
      </c>
      <c r="F104" s="70">
        <v>0</v>
      </c>
      <c r="G104" s="70">
        <v>0</v>
      </c>
      <c r="H104" s="70">
        <v>0</v>
      </c>
      <c r="I104" s="70">
        <v>0</v>
      </c>
      <c r="J104" s="70">
        <v>0</v>
      </c>
      <c r="K104" s="70">
        <v>0</v>
      </c>
      <c r="L104" s="38" t="s">
        <v>82</v>
      </c>
      <c r="O104" s="39" t="s">
        <v>9</v>
      </c>
      <c r="P104" s="103">
        <v>0</v>
      </c>
      <c r="Q104" s="104">
        <v>0</v>
      </c>
      <c r="R104" s="104">
        <v>0</v>
      </c>
      <c r="S104" s="104">
        <v>0</v>
      </c>
      <c r="T104" s="104">
        <v>0</v>
      </c>
      <c r="U104" s="104">
        <v>0</v>
      </c>
      <c r="V104" s="104">
        <v>0</v>
      </c>
      <c r="AMM104"/>
    </row>
    <row r="105" spans="1:22 1027:1027" x14ac:dyDescent="0.3">
      <c r="A105" s="70">
        <f>C105-G$11</f>
        <v>0</v>
      </c>
      <c r="B105" s="39" t="s">
        <v>10</v>
      </c>
      <c r="C105" s="70">
        <f>G11</f>
        <v>0.89400000000000002</v>
      </c>
      <c r="D105" s="70">
        <f>H11</f>
        <v>0.80227758163561269</v>
      </c>
      <c r="E105" s="70">
        <f>I11</f>
        <v>0.79959713998695459</v>
      </c>
      <c r="F105" s="70">
        <f t="shared" ref="F105:K105" si="43">F75*H30</f>
        <v>0.97003599155980225</v>
      </c>
      <c r="G105" s="70">
        <f t="shared" si="43"/>
        <v>1.0333993178596366</v>
      </c>
      <c r="H105" s="70">
        <f t="shared" si="43"/>
        <v>1.1157722139220803</v>
      </c>
      <c r="I105" s="70">
        <f t="shared" si="43"/>
        <v>1.1981451099845239</v>
      </c>
      <c r="J105" s="70">
        <f t="shared" si="43"/>
        <v>1.2805180060469674</v>
      </c>
      <c r="K105" s="70">
        <f t="shared" si="43"/>
        <v>1.3628909021094111</v>
      </c>
      <c r="O105" s="39" t="s">
        <v>10</v>
      </c>
      <c r="P105" s="105">
        <v>0.9</v>
      </c>
      <c r="Q105" s="105">
        <v>0.9</v>
      </c>
      <c r="R105" s="105">
        <v>0.9</v>
      </c>
      <c r="S105" s="105">
        <v>0.9</v>
      </c>
      <c r="T105" s="105">
        <v>0.9</v>
      </c>
      <c r="U105" s="105">
        <v>0.9</v>
      </c>
      <c r="V105" s="105">
        <v>0.9</v>
      </c>
      <c r="AMM105"/>
    </row>
    <row r="106" spans="1:22 1027:1027" x14ac:dyDescent="0.3">
      <c r="A106" s="70">
        <f>C106-G$12</f>
        <v>0</v>
      </c>
      <c r="B106" s="44" t="s">
        <v>40</v>
      </c>
      <c r="C106" s="70">
        <f>C105*'4. Recyclage'!H13</f>
        <v>0.47600000000000037</v>
      </c>
      <c r="D106" s="70">
        <f>D105*'4. Recyclage'!J13</f>
        <v>0.43117484300722941</v>
      </c>
      <c r="E106" s="70">
        <f>E105*'4. Recyclage'!K13</f>
        <v>0.43373225622513872</v>
      </c>
      <c r="F106" s="70">
        <f>F105*'4. Recyclage'!J13</f>
        <v>0.52133466763393566</v>
      </c>
      <c r="G106" s="70">
        <f>G105*'4. Recyclage'!K13</f>
        <v>0.56055555391817957</v>
      </c>
      <c r="H106" s="70">
        <f>H105*'4. Recyclage'!L13</f>
        <v>0.61360607395270861</v>
      </c>
      <c r="I106" s="70">
        <f>I105*'4. Recyclage'!M13</f>
        <v>0.66789218742817447</v>
      </c>
      <c r="J106" s="70">
        <f>J105*'4. Recyclage'!N13</f>
        <v>0.72341389434457681</v>
      </c>
      <c r="K106" s="70">
        <f>K105*'4. Recyclage'!O13</f>
        <v>0.78017119470191576</v>
      </c>
      <c r="L106" s="38" t="s">
        <v>83</v>
      </c>
      <c r="O106" s="39" t="s">
        <v>84</v>
      </c>
      <c r="P106" s="105">
        <v>0.42</v>
      </c>
      <c r="Q106" s="105">
        <v>0.42</v>
      </c>
      <c r="R106" s="105">
        <v>0.42080536912751598</v>
      </c>
      <c r="S106" s="105">
        <v>0.42080536912751598</v>
      </c>
      <c r="T106" s="105">
        <v>0.42080536912751598</v>
      </c>
      <c r="U106" s="105">
        <v>0.42080536912751598</v>
      </c>
      <c r="V106" s="105">
        <v>0.42080536912751598</v>
      </c>
      <c r="AMM106"/>
    </row>
    <row r="107" spans="1:22 1027:1027" x14ac:dyDescent="0.3">
      <c r="A107" s="70">
        <f>C107-G$15</f>
        <v>0</v>
      </c>
      <c r="B107" s="39" t="s">
        <v>12</v>
      </c>
      <c r="C107" s="70">
        <f t="shared" ref="C107:E112" si="44">G15</f>
        <v>2.34</v>
      </c>
      <c r="D107" s="70">
        <f t="shared" si="44"/>
        <v>2.27</v>
      </c>
      <c r="E107" s="70">
        <f t="shared" si="44"/>
        <v>2.3140000000000001</v>
      </c>
      <c r="F107" s="70">
        <f t="shared" ref="F107:K107" si="45">F80*H35</f>
        <v>2.1309733942250184</v>
      </c>
      <c r="G107" s="70">
        <f t="shared" si="45"/>
        <v>1.9567845560792039</v>
      </c>
      <c r="H107" s="70">
        <f t="shared" si="45"/>
        <v>1.7956983450554393</v>
      </c>
      <c r="I107" s="70">
        <f t="shared" si="45"/>
        <v>1.6346121340316748</v>
      </c>
      <c r="J107" s="70">
        <f t="shared" si="45"/>
        <v>1.4735259230079101</v>
      </c>
      <c r="K107" s="70">
        <f t="shared" si="45"/>
        <v>1.3124397119841458</v>
      </c>
      <c r="O107" s="39" t="s">
        <v>40</v>
      </c>
      <c r="P107" s="105">
        <v>0.48</v>
      </c>
      <c r="Q107" s="105">
        <v>0.48</v>
      </c>
      <c r="R107" s="105">
        <v>0.47919463087248398</v>
      </c>
      <c r="S107" s="105">
        <v>0.47919463087248398</v>
      </c>
      <c r="T107" s="105">
        <v>0.47919463087248398</v>
      </c>
      <c r="U107" s="105">
        <v>0.47919463087248398</v>
      </c>
      <c r="V107" s="105">
        <v>0.47919463087248398</v>
      </c>
      <c r="AMM107"/>
    </row>
    <row r="108" spans="1:22 1027:1027" x14ac:dyDescent="0.3">
      <c r="A108" s="70">
        <f>C108-G$16</f>
        <v>0</v>
      </c>
      <c r="B108" s="39" t="s">
        <v>13</v>
      </c>
      <c r="C108" s="70">
        <f t="shared" si="44"/>
        <v>0.96</v>
      </c>
      <c r="D108" s="70">
        <f t="shared" si="44"/>
        <v>0.89</v>
      </c>
      <c r="E108" s="70">
        <f t="shared" si="44"/>
        <v>0.89700000000000002</v>
      </c>
      <c r="F108" s="70">
        <f t="shared" ref="F108:K108" si="46">F79*H34</f>
        <v>0.95478003590606741</v>
      </c>
      <c r="G108" s="70">
        <f t="shared" si="46"/>
        <v>0.95043006582779044</v>
      </c>
      <c r="H108" s="70">
        <f t="shared" si="46"/>
        <v>0.93768662335152986</v>
      </c>
      <c r="I108" s="70">
        <f t="shared" si="46"/>
        <v>0.92494318087526928</v>
      </c>
      <c r="J108" s="70">
        <f t="shared" si="46"/>
        <v>0.9121997383990087</v>
      </c>
      <c r="K108" s="70">
        <f t="shared" si="46"/>
        <v>0.89945629592274823</v>
      </c>
      <c r="O108" s="39" t="s">
        <v>12</v>
      </c>
      <c r="P108" s="103">
        <v>2.2999999999999998</v>
      </c>
      <c r="Q108" s="104">
        <v>2.3679999999999999</v>
      </c>
      <c r="R108" s="104">
        <v>2.3679999999999999</v>
      </c>
      <c r="S108" s="104">
        <v>2.3679999999999999</v>
      </c>
      <c r="T108" s="104">
        <v>2.3679999999999999</v>
      </c>
      <c r="U108" s="104">
        <v>2.3679999999999999</v>
      </c>
      <c r="V108" s="104">
        <v>2.3679999999999999</v>
      </c>
      <c r="AMM108"/>
    </row>
    <row r="109" spans="1:22 1027:1027" x14ac:dyDescent="0.3">
      <c r="A109" s="70">
        <f>C109-G$17</f>
        <v>0</v>
      </c>
      <c r="B109" s="39" t="s">
        <v>14</v>
      </c>
      <c r="C109" s="70">
        <f t="shared" si="44"/>
        <v>1.07</v>
      </c>
      <c r="D109" s="70">
        <f t="shared" si="44"/>
        <v>1</v>
      </c>
      <c r="E109" s="70">
        <f t="shared" si="44"/>
        <v>0.91649999999999998</v>
      </c>
      <c r="F109" s="70">
        <f t="shared" ref="F109:K109" si="47">F78*H33</f>
        <v>1.06741762793201</v>
      </c>
      <c r="G109" s="70">
        <f t="shared" si="47"/>
        <v>1.0689848301965783</v>
      </c>
      <c r="H109" s="70">
        <f t="shared" si="47"/>
        <v>1.0550477752696683</v>
      </c>
      <c r="I109" s="70">
        <f t="shared" si="47"/>
        <v>1.0411107203427583</v>
      </c>
      <c r="J109" s="70">
        <f t="shared" si="47"/>
        <v>1.0271736654158483</v>
      </c>
      <c r="K109" s="70">
        <f t="shared" si="47"/>
        <v>1.0132366104889385</v>
      </c>
      <c r="O109" s="39" t="s">
        <v>14</v>
      </c>
      <c r="P109" s="103">
        <v>1.05</v>
      </c>
      <c r="Q109" s="104">
        <v>1.052</v>
      </c>
      <c r="R109" s="104">
        <v>1.08</v>
      </c>
      <c r="S109" s="104">
        <v>1.10425</v>
      </c>
      <c r="T109" s="104">
        <v>1.1285000000000001</v>
      </c>
      <c r="U109" s="104">
        <v>1.1527499999999999</v>
      </c>
      <c r="V109" s="104">
        <v>1.177</v>
      </c>
      <c r="AMM109"/>
    </row>
    <row r="110" spans="1:22 1027:1027" x14ac:dyDescent="0.3">
      <c r="A110" s="70">
        <f>C110-G$18</f>
        <v>0</v>
      </c>
      <c r="B110" s="39" t="s">
        <v>15</v>
      </c>
      <c r="C110" s="70">
        <f t="shared" si="44"/>
        <v>12.94</v>
      </c>
      <c r="D110" s="70">
        <f t="shared" si="44"/>
        <v>11.77</v>
      </c>
      <c r="E110" s="70">
        <f t="shared" si="44"/>
        <v>12.222</v>
      </c>
      <c r="F110" s="70">
        <f t="shared" ref="F110:K110" si="48">F76*H32</f>
        <v>12.369610904297486</v>
      </c>
      <c r="G110" s="70">
        <f t="shared" si="48"/>
        <v>11.972347828728516</v>
      </c>
      <c r="H110" s="70">
        <f t="shared" si="48"/>
        <v>11.289564897418671</v>
      </c>
      <c r="I110" s="70">
        <f t="shared" si="48"/>
        <v>10.606781966108828</v>
      </c>
      <c r="J110" s="70">
        <f t="shared" si="48"/>
        <v>9.9239990347989835</v>
      </c>
      <c r="K110" s="70">
        <f t="shared" si="48"/>
        <v>9.2412161034891405</v>
      </c>
      <c r="O110" s="39" t="s">
        <v>15</v>
      </c>
      <c r="P110" s="103">
        <v>12.4</v>
      </c>
      <c r="Q110" s="104">
        <v>12.67</v>
      </c>
      <c r="R110" s="104">
        <v>12.5</v>
      </c>
      <c r="S110" s="104">
        <v>11.5695</v>
      </c>
      <c r="T110" s="104">
        <v>10.638999999999999</v>
      </c>
      <c r="U110" s="104">
        <v>9.7085000000000008</v>
      </c>
      <c r="V110" s="104">
        <v>8.7780000000000005</v>
      </c>
      <c r="AMM110"/>
    </row>
    <row r="111" spans="1:22 1027:1027" x14ac:dyDescent="0.3">
      <c r="A111" s="70">
        <f>C111-G$19</f>
        <v>0</v>
      </c>
      <c r="B111" s="39" t="s">
        <v>16</v>
      </c>
      <c r="C111" s="70">
        <f t="shared" si="44"/>
        <v>5.6971323500000004</v>
      </c>
      <c r="D111" s="70">
        <f t="shared" si="44"/>
        <v>5.0235558500000002</v>
      </c>
      <c r="E111" s="70">
        <f t="shared" si="44"/>
        <v>5.6180000000000003</v>
      </c>
      <c r="F111" s="70">
        <f t="shared" ref="F111:K111" si="49">F77*H31</f>
        <v>5.6767464059368375</v>
      </c>
      <c r="G111" s="70">
        <f t="shared" si="49"/>
        <v>5.6597581192175364</v>
      </c>
      <c r="H111" s="70">
        <f t="shared" si="49"/>
        <v>5.4629232119267659</v>
      </c>
      <c r="I111" s="70">
        <f t="shared" si="49"/>
        <v>5.2660883046359963</v>
      </c>
      <c r="J111" s="70">
        <f t="shared" si="49"/>
        <v>5.0692533973452267</v>
      </c>
      <c r="K111" s="70">
        <f t="shared" si="49"/>
        <v>4.8724184900544554</v>
      </c>
      <c r="O111" s="39" t="s">
        <v>16</v>
      </c>
      <c r="P111" s="103">
        <v>5.3</v>
      </c>
      <c r="Q111" s="104">
        <v>5.5186565841428097</v>
      </c>
      <c r="R111" s="104">
        <v>5.5186565841428097</v>
      </c>
      <c r="S111" s="104">
        <v>5.5186565841428097</v>
      </c>
      <c r="T111" s="104">
        <v>5.5186565841428097</v>
      </c>
      <c r="U111" s="104">
        <v>5.5186565841428097</v>
      </c>
      <c r="V111" s="104">
        <v>5.5186565841428097</v>
      </c>
      <c r="AMM111"/>
    </row>
    <row r="112" spans="1:22 1027:1027" x14ac:dyDescent="0.3">
      <c r="A112" s="70">
        <f>C112-G$20</f>
        <v>0</v>
      </c>
      <c r="B112" s="39" t="s">
        <v>17</v>
      </c>
      <c r="C112" s="70">
        <f t="shared" si="44"/>
        <v>7.32</v>
      </c>
      <c r="D112" s="70">
        <f t="shared" si="44"/>
        <v>6.8099151128839308</v>
      </c>
      <c r="E112" s="70">
        <f t="shared" si="44"/>
        <v>7.3736480216582017</v>
      </c>
      <c r="F112" s="70">
        <f t="shared" ref="F112:K112" si="50">F82*H36</f>
        <v>7.7735794156205493</v>
      </c>
      <c r="G112" s="70">
        <f t="shared" si="50"/>
        <v>8.1515622619710157</v>
      </c>
      <c r="H112" s="70">
        <f t="shared" si="50"/>
        <v>8.6317465423904842</v>
      </c>
      <c r="I112" s="70">
        <f t="shared" si="50"/>
        <v>9.1119308228099527</v>
      </c>
      <c r="J112" s="70">
        <f t="shared" si="50"/>
        <v>9.5921151032294194</v>
      </c>
      <c r="K112" s="70">
        <f t="shared" si="50"/>
        <v>10.072299383648888</v>
      </c>
      <c r="O112" s="39" t="s">
        <v>17</v>
      </c>
      <c r="P112" s="103">
        <v>7.9</v>
      </c>
      <c r="Q112" s="104">
        <v>8.2360000000000007</v>
      </c>
      <c r="R112" s="104">
        <v>8.25</v>
      </c>
      <c r="S112" s="104">
        <v>8.2848749999999995</v>
      </c>
      <c r="T112" s="104">
        <v>8.3197500000000009</v>
      </c>
      <c r="U112" s="104">
        <v>8.3546250000000004</v>
      </c>
      <c r="V112" s="104">
        <v>8.3895</v>
      </c>
      <c r="AMM112"/>
    </row>
    <row r="113" spans="1:23 1027:1027" x14ac:dyDescent="0.3">
      <c r="A113" s="70">
        <f>C113-G$22</f>
        <v>0</v>
      </c>
      <c r="B113" s="39" t="s">
        <v>18</v>
      </c>
      <c r="C113" s="70">
        <f>G22</f>
        <v>4.96</v>
      </c>
      <c r="D113" s="70">
        <f>H22</f>
        <v>3.38</v>
      </c>
      <c r="E113" s="70">
        <f>I22</f>
        <v>4.5599999999999996</v>
      </c>
      <c r="F113" s="70">
        <f t="shared" ref="F113:K113" si="51">F81*H37</f>
        <v>5.0392902944438003</v>
      </c>
      <c r="G113" s="70">
        <f t="shared" si="51"/>
        <v>5.1053655398136346</v>
      </c>
      <c r="H113" s="70">
        <f t="shared" si="51"/>
        <v>5.1492372804011337</v>
      </c>
      <c r="I113" s="70">
        <f t="shared" si="51"/>
        <v>5.1931090209886337</v>
      </c>
      <c r="J113" s="70">
        <f t="shared" si="51"/>
        <v>5.2369807615761346</v>
      </c>
      <c r="K113" s="70">
        <f t="shared" si="51"/>
        <v>5.2808525021636337</v>
      </c>
      <c r="O113" s="39" t="s">
        <v>18</v>
      </c>
      <c r="P113" s="103">
        <v>4.9000000000000004</v>
      </c>
      <c r="Q113" s="104">
        <v>5.0979999999999999</v>
      </c>
      <c r="R113" s="104">
        <v>4.8</v>
      </c>
      <c r="S113" s="104">
        <v>4.843</v>
      </c>
      <c r="T113" s="104">
        <v>4.8860000000000001</v>
      </c>
      <c r="U113" s="104">
        <v>4.9290000000000003</v>
      </c>
      <c r="V113" s="104">
        <v>4.9720000000000004</v>
      </c>
      <c r="AMM113"/>
    </row>
    <row r="114" spans="1:23 1027:1027" x14ac:dyDescent="0.3">
      <c r="B114" s="106"/>
      <c r="C114" s="70"/>
      <c r="D114" s="70"/>
      <c r="E114" s="70"/>
      <c r="F114" s="70"/>
      <c r="G114" s="70"/>
      <c r="H114" s="70"/>
      <c r="I114" s="70"/>
      <c r="J114" s="70"/>
      <c r="K114" s="70"/>
      <c r="O114" s="106"/>
      <c r="R114" s="107"/>
      <c r="S114" s="107"/>
      <c r="T114" s="107"/>
      <c r="U114" s="107"/>
      <c r="V114" s="107"/>
      <c r="W114" s="107"/>
    </row>
    <row r="115" spans="1:23 1027:1027" x14ac:dyDescent="0.3">
      <c r="B115" s="106" t="s">
        <v>85</v>
      </c>
      <c r="C115" s="70">
        <f t="shared" ref="C115:K115" si="52">C101+C105+SUM(C107:C113)</f>
        <v>50.771132350000002</v>
      </c>
      <c r="D115" s="70">
        <f t="shared" si="52"/>
        <v>43.535748544519542</v>
      </c>
      <c r="E115" s="70">
        <f t="shared" si="52"/>
        <v>48.242745161645161</v>
      </c>
      <c r="F115" s="70">
        <f t="shared" si="52"/>
        <v>50.548746646651068</v>
      </c>
      <c r="G115" s="70">
        <f t="shared" si="52"/>
        <v>50.445205577031324</v>
      </c>
      <c r="H115" s="70">
        <f t="shared" si="52"/>
        <v>50.183656650046579</v>
      </c>
      <c r="I115" s="70">
        <f t="shared" si="52"/>
        <v>49.922107723061835</v>
      </c>
      <c r="J115" s="70">
        <f t="shared" si="52"/>
        <v>49.660558796077076</v>
      </c>
      <c r="K115" s="70">
        <f t="shared" si="52"/>
        <v>49.399009869092325</v>
      </c>
      <c r="O115" s="106"/>
      <c r="R115" s="107"/>
      <c r="S115" s="107"/>
      <c r="T115" s="107"/>
      <c r="U115" s="107"/>
      <c r="V115" s="107"/>
      <c r="W115" s="107"/>
    </row>
    <row r="116" spans="1:23 1027:1027" x14ac:dyDescent="0.3">
      <c r="B116" s="106" t="s">
        <v>86</v>
      </c>
      <c r="C116" s="70">
        <f t="shared" ref="C116:K116" si="53">C115/$C115</f>
        <v>1</v>
      </c>
      <c r="D116" s="70">
        <f t="shared" si="53"/>
        <v>0.85749020219596384</v>
      </c>
      <c r="E116" s="70">
        <f t="shared" si="53"/>
        <v>0.9502002994354164</v>
      </c>
      <c r="F116" s="70">
        <f t="shared" si="53"/>
        <v>0.99561983960066369</v>
      </c>
      <c r="G116" s="70">
        <f t="shared" si="53"/>
        <v>0.9935804706753073</v>
      </c>
      <c r="H116" s="70">
        <f t="shared" si="53"/>
        <v>0.98842894233865908</v>
      </c>
      <c r="I116" s="70">
        <f t="shared" si="53"/>
        <v>0.98327741400201074</v>
      </c>
      <c r="J116" s="70">
        <f t="shared" si="53"/>
        <v>0.97812588566536229</v>
      </c>
      <c r="K116" s="70">
        <f t="shared" si="53"/>
        <v>0.97297435732871385</v>
      </c>
      <c r="O116" s="106"/>
      <c r="R116" s="107"/>
      <c r="S116" s="107"/>
      <c r="T116" s="107"/>
      <c r="U116" s="107"/>
      <c r="V116" s="107"/>
      <c r="W116" s="107"/>
    </row>
    <row r="117" spans="1:23 1027:1027" ht="15" thickBot="1" x14ac:dyDescent="0.35"/>
    <row r="118" spans="1:23 1027:1027" x14ac:dyDescent="0.3">
      <c r="B118" s="431" t="s">
        <v>4</v>
      </c>
      <c r="C118" s="431" t="s">
        <v>56</v>
      </c>
      <c r="D118" s="432" t="s">
        <v>73</v>
      </c>
      <c r="E118" s="433"/>
      <c r="F118" s="434" t="s">
        <v>74</v>
      </c>
      <c r="G118" s="434" t="s">
        <v>74</v>
      </c>
      <c r="H118" s="434" t="s">
        <v>74</v>
      </c>
      <c r="I118" s="434" t="s">
        <v>74</v>
      </c>
      <c r="J118" s="434" t="s">
        <v>74</v>
      </c>
      <c r="K118" s="434" t="s">
        <v>74</v>
      </c>
    </row>
    <row r="119" spans="1:23 1027:1027" x14ac:dyDescent="0.3">
      <c r="B119" s="435" t="s">
        <v>5</v>
      </c>
      <c r="C119" s="436">
        <v>2019</v>
      </c>
      <c r="D119" s="437">
        <v>2020</v>
      </c>
      <c r="E119" s="438">
        <v>2021</v>
      </c>
      <c r="F119" s="436">
        <v>2025</v>
      </c>
      <c r="G119" s="436">
        <v>2030</v>
      </c>
      <c r="H119" s="436">
        <v>2035</v>
      </c>
      <c r="I119" s="436">
        <v>2040</v>
      </c>
      <c r="J119" s="436">
        <v>2045</v>
      </c>
      <c r="K119" s="439">
        <v>2050</v>
      </c>
      <c r="L119" s="70"/>
      <c r="M119" s="70"/>
    </row>
    <row r="120" spans="1:23 1027:1027" x14ac:dyDescent="0.3">
      <c r="A120" s="70">
        <f>C120-G$7</f>
        <v>0</v>
      </c>
      <c r="B120" s="440" t="s">
        <v>6</v>
      </c>
      <c r="C120" s="441">
        <f t="shared" ref="C120:E120" si="54">E42*C86</f>
        <v>14.589999999999998</v>
      </c>
      <c r="D120" s="441">
        <f t="shared" si="54"/>
        <v>11.563623465706071</v>
      </c>
      <c r="E120" s="441">
        <f t="shared" si="54"/>
        <v>13.480241554935503</v>
      </c>
      <c r="F120" s="441">
        <f t="shared" ref="F120:K120" si="55">H42*F86</f>
        <v>15.177779598327399</v>
      </c>
      <c r="G120" s="441">
        <f t="shared" si="55"/>
        <v>15.057539647831272</v>
      </c>
      <c r="H120" s="441">
        <f t="shared" si="55"/>
        <v>15.118732156262196</v>
      </c>
      <c r="I120" s="441">
        <f t="shared" si="55"/>
        <v>15.244137487837913</v>
      </c>
      <c r="J120" s="441">
        <f t="shared" si="55"/>
        <v>15.204751098586414</v>
      </c>
      <c r="K120" s="441">
        <f t="shared" si="55"/>
        <v>15.325228519957239</v>
      </c>
      <c r="Q120" s="672" t="s">
        <v>87</v>
      </c>
      <c r="R120" s="672"/>
      <c r="S120" s="672"/>
      <c r="T120" s="672"/>
      <c r="U120" s="672"/>
      <c r="V120" s="672"/>
      <c r="AMM120"/>
    </row>
    <row r="121" spans="1:23 1027:1027" x14ac:dyDescent="0.3">
      <c r="A121" s="70">
        <f>C121-G$8</f>
        <v>0</v>
      </c>
      <c r="B121" s="440" t="s">
        <v>7</v>
      </c>
      <c r="C121" s="441">
        <f>(C120-(C120*'4. Recyclage'!H12))/(1-0.16)-C123</f>
        <v>10.130000000000001</v>
      </c>
      <c r="D121" s="442">
        <f>(D120-(D120*H3))/(1-0.16)-D123</f>
        <v>7.8520894456520081</v>
      </c>
      <c r="E121" s="442">
        <f>(E120-(E120*I3))/(1-0.16)-E123</f>
        <v>8.8972381493142478</v>
      </c>
      <c r="F121" s="442">
        <f>(F120-(F120*'4. Recyclage'!P12))/(1-0.16)-F123</f>
        <v>8.795768322774105</v>
      </c>
      <c r="G121" s="442">
        <f>(G120-(G120*'4. Recyclage'!Q12))/(1-0.16)-G123</f>
        <v>5.2457955214314094</v>
      </c>
      <c r="H121" s="442">
        <f>(H120-(H120*'4. Recyclage'!R12))/(1-0.16)-H123</f>
        <v>3.2393509847532673</v>
      </c>
      <c r="I121" s="442">
        <f>(I120-(I120*'4. Recyclage'!S12))/(1-0.16)-I123</f>
        <v>3.3035465711551231</v>
      </c>
      <c r="J121" s="442">
        <v>0</v>
      </c>
      <c r="K121" s="442">
        <v>0</v>
      </c>
      <c r="L121" s="38" t="s">
        <v>79</v>
      </c>
      <c r="M121" s="71" t="s">
        <v>88</v>
      </c>
      <c r="N121" s="52" t="s">
        <v>863</v>
      </c>
      <c r="P121" s="103">
        <v>2023</v>
      </c>
      <c r="Q121" s="103">
        <v>2025</v>
      </c>
      <c r="R121" s="103">
        <v>2030</v>
      </c>
      <c r="S121" s="103">
        <v>2035</v>
      </c>
      <c r="T121" s="103">
        <v>2040</v>
      </c>
      <c r="U121" s="103">
        <v>2045</v>
      </c>
      <c r="V121" s="103">
        <v>2050</v>
      </c>
      <c r="AMM121"/>
    </row>
    <row r="122" spans="1:23 1027:1027" x14ac:dyDescent="0.3">
      <c r="A122" s="70">
        <f>C122-G$9</f>
        <v>0</v>
      </c>
      <c r="B122" s="440" t="s">
        <v>8</v>
      </c>
      <c r="C122" s="441">
        <f t="shared" ref="C122:K122" si="56">C120-C121-C123</f>
        <v>4.4599999999999973</v>
      </c>
      <c r="D122" s="441">
        <f t="shared" si="56"/>
        <v>3.7115340200540627</v>
      </c>
      <c r="E122" s="441">
        <f t="shared" ref="E122" si="57">E120-E121-E123</f>
        <v>4.5830034056212554</v>
      </c>
      <c r="F122" s="441">
        <f t="shared" si="56"/>
        <v>5.7820112755532946</v>
      </c>
      <c r="G122" s="441">
        <f t="shared" si="56"/>
        <v>6.8117441263998622</v>
      </c>
      <c r="H122" s="441">
        <f t="shared" si="56"/>
        <v>7.3793811715089284</v>
      </c>
      <c r="I122" s="441">
        <f t="shared" si="56"/>
        <v>7.4405909166827904</v>
      </c>
      <c r="J122" s="441">
        <f t="shared" si="56"/>
        <v>9.2047510985864136</v>
      </c>
      <c r="K122" s="441">
        <f t="shared" si="56"/>
        <v>9.3252285199572391</v>
      </c>
      <c r="L122" s="38" t="s">
        <v>81</v>
      </c>
      <c r="O122" s="39" t="s">
        <v>6</v>
      </c>
      <c r="P122" s="103">
        <v>14.2</v>
      </c>
      <c r="Q122" s="104">
        <v>14.608322071756501</v>
      </c>
      <c r="R122" s="104">
        <v>14.467927190640999</v>
      </c>
      <c r="S122" s="104">
        <v>14.342457752478699</v>
      </c>
      <c r="T122" s="104">
        <v>14.3025601612056</v>
      </c>
      <c r="U122" s="104">
        <v>14.310487038861501</v>
      </c>
      <c r="V122" s="104">
        <v>14.3237884412314</v>
      </c>
      <c r="AMM122"/>
    </row>
    <row r="123" spans="1:23 1027:1027" x14ac:dyDescent="0.3">
      <c r="B123" s="440" t="s">
        <v>38</v>
      </c>
      <c r="C123" s="441">
        <f>'A renseigner'!C41</f>
        <v>0</v>
      </c>
      <c r="D123" s="441">
        <f>'A renseigner'!D41</f>
        <v>0</v>
      </c>
      <c r="E123" s="441">
        <f>'A renseigner'!E41</f>
        <v>0</v>
      </c>
      <c r="F123" s="441">
        <f>'A renseigner'!F41</f>
        <v>0.6</v>
      </c>
      <c r="G123" s="441">
        <f>'A renseigner'!G41</f>
        <v>3</v>
      </c>
      <c r="H123" s="441">
        <f>'A renseigner'!H41</f>
        <v>4.5</v>
      </c>
      <c r="I123" s="441">
        <f>'A renseigner'!I41</f>
        <v>4.5</v>
      </c>
      <c r="J123" s="441">
        <f>'A renseigner'!J41</f>
        <v>6</v>
      </c>
      <c r="K123" s="441">
        <f>'A renseigner'!K41</f>
        <v>6</v>
      </c>
      <c r="L123" s="38" t="s">
        <v>89</v>
      </c>
      <c r="N123" s="52" t="s">
        <v>864</v>
      </c>
      <c r="O123" s="39" t="s">
        <v>80</v>
      </c>
      <c r="P123" s="103">
        <v>9.6</v>
      </c>
      <c r="Q123" s="104">
        <v>7.0083220717565204</v>
      </c>
      <c r="R123" s="104">
        <v>3.7471931423760201</v>
      </c>
      <c r="S123" s="104">
        <v>3.0432453458997899</v>
      </c>
      <c r="T123" s="104">
        <v>2.4248693963128098</v>
      </c>
      <c r="U123" s="104">
        <v>1.85431791565477</v>
      </c>
      <c r="V123" s="104">
        <v>1.2891409597108301</v>
      </c>
      <c r="AMM123"/>
    </row>
    <row r="124" spans="1:23 1027:1027" x14ac:dyDescent="0.3">
      <c r="A124" s="70">
        <f>C124-G$11</f>
        <v>0</v>
      </c>
      <c r="B124" s="440" t="s">
        <v>10</v>
      </c>
      <c r="C124" s="441">
        <f t="shared" ref="C124:E124" si="58">E43*C87</f>
        <v>0.89400000000000002</v>
      </c>
      <c r="D124" s="441">
        <f t="shared" si="58"/>
        <v>0.80176143835060476</v>
      </c>
      <c r="E124" s="441">
        <f t="shared" si="58"/>
        <v>0.7985820753846512</v>
      </c>
      <c r="F124" s="441">
        <f t="shared" ref="F124:K124" si="59">H43*F87</f>
        <v>0.99542762853366373</v>
      </c>
      <c r="G124" s="441">
        <f t="shared" si="59"/>
        <v>1.1218831977454322</v>
      </c>
      <c r="H124" s="441">
        <f t="shared" si="59"/>
        <v>1.3021046884749281</v>
      </c>
      <c r="I124" s="441">
        <f t="shared" si="59"/>
        <v>1.4952795663656484</v>
      </c>
      <c r="J124" s="441">
        <f t="shared" si="59"/>
        <v>1.7014078314175929</v>
      </c>
      <c r="K124" s="441">
        <f t="shared" si="59"/>
        <v>1.9204894836307616</v>
      </c>
      <c r="M124" s="70"/>
      <c r="O124" s="39" t="s">
        <v>8</v>
      </c>
      <c r="P124" s="103">
        <v>4.5999999999999996</v>
      </c>
      <c r="Q124" s="104">
        <v>7.3</v>
      </c>
      <c r="R124" s="104">
        <v>9.1147941301038404</v>
      </c>
      <c r="S124" s="104">
        <v>9.3427585747933808</v>
      </c>
      <c r="T124" s="104">
        <v>9.5707230194829194</v>
      </c>
      <c r="U124" s="104">
        <v>9.7986874641724597</v>
      </c>
      <c r="V124" s="104">
        <v>10.026651908862</v>
      </c>
      <c r="AMM124"/>
    </row>
    <row r="125" spans="1:23 1027:1027" x14ac:dyDescent="0.3">
      <c r="A125" s="70">
        <f>C125-G$12</f>
        <v>0</v>
      </c>
      <c r="B125" s="443" t="s">
        <v>40</v>
      </c>
      <c r="C125" s="441">
        <f>C124*'4. Recyclage'!H13</f>
        <v>0.47600000000000037</v>
      </c>
      <c r="D125" s="441">
        <f>D124*'4. Recyclage'!H13</f>
        <v>0.42688864055356612</v>
      </c>
      <c r="E125" s="441">
        <f>E124*'4. Recyclage'!I13</f>
        <v>0.42519582537258865</v>
      </c>
      <c r="F125" s="441">
        <f>F124*'4. Recyclage'!P13</f>
        <v>0.56363027467979954</v>
      </c>
      <c r="G125" s="441">
        <f>G124*'4. Recyclage'!Q13</f>
        <v>0.67312991864725935</v>
      </c>
      <c r="H125" s="441">
        <f>H124*'4. Recyclage'!R13</f>
        <v>0.81381543029683012</v>
      </c>
      <c r="I125" s="441">
        <f>I124*'4. Recyclage'!S13</f>
        <v>0.97193171813767132</v>
      </c>
      <c r="J125" s="441">
        <f>J124*'4. Recyclage'!T13</f>
        <v>1.1484502862068751</v>
      </c>
      <c r="K125" s="441">
        <f>K124*'4. Recyclage'!U13</f>
        <v>1.3443426385415329</v>
      </c>
      <c r="L125" s="38" t="s">
        <v>83</v>
      </c>
      <c r="M125" s="70"/>
      <c r="O125" s="39" t="s">
        <v>9</v>
      </c>
      <c r="P125" s="103">
        <v>0</v>
      </c>
      <c r="Q125" s="104">
        <v>0.3</v>
      </c>
      <c r="R125" s="104">
        <v>1.60593991816115</v>
      </c>
      <c r="S125" s="104">
        <v>1.95645383178552</v>
      </c>
      <c r="T125" s="104">
        <v>2.3069677454098798</v>
      </c>
      <c r="U125" s="104">
        <v>2.6574816590342398</v>
      </c>
      <c r="V125" s="104">
        <v>3.0079955726585998</v>
      </c>
      <c r="AMM125"/>
    </row>
    <row r="126" spans="1:23 1027:1027" x14ac:dyDescent="0.3">
      <c r="A126" s="70">
        <f>C126-G$15</f>
        <v>0</v>
      </c>
      <c r="B126" s="440" t="s">
        <v>12</v>
      </c>
      <c r="C126" s="441">
        <f t="shared" ref="C126:E126" si="60">E48*C92</f>
        <v>2.34</v>
      </c>
      <c r="D126" s="441">
        <f t="shared" si="60"/>
        <v>2.2766573347007362</v>
      </c>
      <c r="E126" s="441">
        <f t="shared" si="60"/>
        <v>2.3280007112104277</v>
      </c>
      <c r="F126" s="441">
        <f t="shared" ref="F126:K126" si="61">H48*F92</f>
        <v>2.2146900567733927</v>
      </c>
      <c r="G126" s="441">
        <f t="shared" si="61"/>
        <v>2.0626037651144449</v>
      </c>
      <c r="H126" s="441">
        <f t="shared" si="61"/>
        <v>2.0137179110739396</v>
      </c>
      <c r="I126" s="441">
        <f t="shared" si="61"/>
        <v>1.9337521834777185</v>
      </c>
      <c r="J126" s="441">
        <f t="shared" si="61"/>
        <v>1.8089472435964005</v>
      </c>
      <c r="K126" s="441">
        <f t="shared" si="61"/>
        <v>1.764486020579539</v>
      </c>
      <c r="O126" s="39" t="s">
        <v>10</v>
      </c>
      <c r="P126" s="103">
        <v>0.9</v>
      </c>
      <c r="Q126" s="104">
        <v>0.89</v>
      </c>
      <c r="R126" s="104">
        <v>0.91</v>
      </c>
      <c r="S126" s="104">
        <v>0.95040000000000002</v>
      </c>
      <c r="T126" s="104">
        <v>0.99080000000000001</v>
      </c>
      <c r="U126" s="104">
        <v>1.0311999999999999</v>
      </c>
      <c r="V126" s="104">
        <v>1.0716000000000001</v>
      </c>
      <c r="AMM126"/>
    </row>
    <row r="127" spans="1:23 1027:1027" x14ac:dyDescent="0.3">
      <c r="A127" s="70">
        <f>C127-G$16</f>
        <v>0.25775693279764944</v>
      </c>
      <c r="B127" s="440" t="s">
        <v>13</v>
      </c>
      <c r="C127" s="441">
        <f t="shared" ref="C127:E127" si="62">E47*C91</f>
        <v>1.2177569327976494</v>
      </c>
      <c r="D127" s="441">
        <f t="shared" si="62"/>
        <v>1.2091494395368749</v>
      </c>
      <c r="E127" s="441">
        <f t="shared" si="62"/>
        <v>1.2005419462761007</v>
      </c>
      <c r="F127" s="441">
        <f t="shared" ref="F127:K127" si="63">H47*F91</f>
        <v>1.1661119732330028</v>
      </c>
      <c r="G127" s="441">
        <f t="shared" si="63"/>
        <v>1.1230745069291304</v>
      </c>
      <c r="H127" s="441">
        <f t="shared" si="63"/>
        <v>1.0859505254322999</v>
      </c>
      <c r="I127" s="441">
        <f t="shared" si="63"/>
        <v>1.0488265439354691</v>
      </c>
      <c r="J127" s="441">
        <f t="shared" si="63"/>
        <v>1.0117025624386387</v>
      </c>
      <c r="K127" s="441">
        <f t="shared" si="63"/>
        <v>1.0011579967856754</v>
      </c>
      <c r="O127" s="108" t="s">
        <v>84</v>
      </c>
      <c r="P127" s="109">
        <v>0.45</v>
      </c>
      <c r="Q127" s="110">
        <v>0.39</v>
      </c>
      <c r="R127" s="110">
        <v>0.36399999999999999</v>
      </c>
      <c r="S127" s="110">
        <v>0.32657999999999998</v>
      </c>
      <c r="T127" s="110">
        <v>0.28915999999999997</v>
      </c>
      <c r="U127" s="110">
        <v>0.25174000000000002</v>
      </c>
      <c r="V127" s="110">
        <v>0.21432000000000001</v>
      </c>
      <c r="AMM127"/>
    </row>
    <row r="128" spans="1:23 1027:1027" x14ac:dyDescent="0.3">
      <c r="A128" s="70">
        <f>C128-G$17</f>
        <v>0</v>
      </c>
      <c r="B128" s="440" t="s">
        <v>14</v>
      </c>
      <c r="C128" s="441">
        <f t="shared" ref="C128:E128" si="64">E46*C90</f>
        <v>1.0699999999999998</v>
      </c>
      <c r="D128" s="441">
        <f t="shared" si="64"/>
        <v>0.99941690206534883</v>
      </c>
      <c r="E128" s="441">
        <f t="shared" si="64"/>
        <v>0.91542300083438788</v>
      </c>
      <c r="F128" s="441">
        <f t="shared" ref="F128:K128" si="65">H46*F90</f>
        <v>1.202210179431469</v>
      </c>
      <c r="G128" s="441">
        <f t="shared" si="65"/>
        <v>1.2468290105469249</v>
      </c>
      <c r="H128" s="441">
        <f t="shared" si="65"/>
        <v>1.2129063744329609</v>
      </c>
      <c r="I128" s="441">
        <f t="shared" si="65"/>
        <v>1.16743591151571</v>
      </c>
      <c r="J128" s="441">
        <f t="shared" si="65"/>
        <v>1.110417621795172</v>
      </c>
      <c r="K128" s="441">
        <f t="shared" si="65"/>
        <v>1.0418515052713466</v>
      </c>
      <c r="L128" s="71" t="s">
        <v>90</v>
      </c>
      <c r="O128" s="108" t="s">
        <v>40</v>
      </c>
      <c r="P128" s="109">
        <v>0.45</v>
      </c>
      <c r="Q128" s="110">
        <v>0.5</v>
      </c>
      <c r="R128" s="110">
        <v>0.54600000000000004</v>
      </c>
      <c r="S128" s="110">
        <v>0.62382000000000004</v>
      </c>
      <c r="T128" s="110">
        <v>0.70164000000000004</v>
      </c>
      <c r="U128" s="110">
        <v>0.77946000000000004</v>
      </c>
      <c r="V128" s="110">
        <v>0.85728000000000004</v>
      </c>
      <c r="AMM128"/>
    </row>
    <row r="129" spans="1:22 1027:1027" x14ac:dyDescent="0.3">
      <c r="A129" s="70">
        <f>C129-G$18</f>
        <v>0</v>
      </c>
      <c r="B129" s="440" t="s">
        <v>15</v>
      </c>
      <c r="C129" s="441">
        <f t="shared" ref="C129:E129" si="66">E45*C88</f>
        <v>12.940000000000001</v>
      </c>
      <c r="D129" s="441">
        <f t="shared" si="66"/>
        <v>11.67355290257616</v>
      </c>
      <c r="E129" s="441">
        <f t="shared" si="66"/>
        <v>12.019803788011709</v>
      </c>
      <c r="F129" s="441">
        <f t="shared" ref="F129:K129" si="67">H45*F88</f>
        <v>12.283517012789009</v>
      </c>
      <c r="G129" s="441">
        <f t="shared" si="67"/>
        <v>12.199288176760669</v>
      </c>
      <c r="H129" s="441">
        <f t="shared" si="67"/>
        <v>11.765902891000909</v>
      </c>
      <c r="I129" s="441">
        <f t="shared" si="67"/>
        <v>11.030055914908237</v>
      </c>
      <c r="J129" s="441">
        <f t="shared" si="67"/>
        <v>10.294208938815567</v>
      </c>
      <c r="K129" s="441">
        <f t="shared" si="67"/>
        <v>9.5583619627228966</v>
      </c>
      <c r="O129" s="39" t="s">
        <v>12</v>
      </c>
      <c r="P129" s="103">
        <v>2.2999999999999998</v>
      </c>
      <c r="Q129" s="104">
        <v>2.3679999999999999</v>
      </c>
      <c r="R129" s="104">
        <v>2.1</v>
      </c>
      <c r="S129" s="104">
        <v>1.9515</v>
      </c>
      <c r="T129" s="104">
        <v>1.8029999999999999</v>
      </c>
      <c r="U129" s="104">
        <v>1.6545000000000001</v>
      </c>
      <c r="V129" s="104">
        <v>1.506</v>
      </c>
      <c r="AMM129"/>
    </row>
    <row r="130" spans="1:22 1027:1027" x14ac:dyDescent="0.3">
      <c r="A130" s="70">
        <f>C130-G$19</f>
        <v>0</v>
      </c>
      <c r="B130" s="440" t="s">
        <v>16</v>
      </c>
      <c r="C130" s="441">
        <f t="shared" ref="C130:E130" si="68">E44*C89</f>
        <v>5.6971323500000004</v>
      </c>
      <c r="D130" s="441">
        <f t="shared" si="68"/>
        <v>5.0181373606373239</v>
      </c>
      <c r="E130" s="441">
        <f t="shared" si="68"/>
        <v>5.6058412474385104</v>
      </c>
      <c r="F130" s="441">
        <f t="shared" ref="F130:K130" si="69">H44*F89</f>
        <v>5.5499165669050701</v>
      </c>
      <c r="G130" s="441">
        <f t="shared" si="69"/>
        <v>5.4272367476592942</v>
      </c>
      <c r="H130" s="441">
        <f t="shared" si="69"/>
        <v>5.0797800284290346</v>
      </c>
      <c r="I130" s="441">
        <f t="shared" si="69"/>
        <v>4.7323233091987742</v>
      </c>
      <c r="J130" s="441">
        <f t="shared" si="69"/>
        <v>4.3848665899685129</v>
      </c>
      <c r="K130" s="441">
        <f t="shared" si="69"/>
        <v>4.0374098707382533</v>
      </c>
      <c r="O130" s="39" t="s">
        <v>14</v>
      </c>
      <c r="P130" s="103">
        <v>1.05</v>
      </c>
      <c r="Q130" s="104">
        <v>1.052</v>
      </c>
      <c r="R130" s="104">
        <v>1.052</v>
      </c>
      <c r="S130" s="104">
        <v>1.0029999999999999</v>
      </c>
      <c r="T130" s="104">
        <v>0.95399999999999996</v>
      </c>
      <c r="U130" s="104">
        <v>0.90500000000000003</v>
      </c>
      <c r="V130" s="104">
        <v>0.85599999999999998</v>
      </c>
      <c r="AMM130"/>
    </row>
    <row r="131" spans="1:22 1027:1027" x14ac:dyDescent="0.3">
      <c r="A131" s="70">
        <f>C131-G$20</f>
        <v>0</v>
      </c>
      <c r="B131" s="440" t="s">
        <v>17</v>
      </c>
      <c r="C131" s="441">
        <f t="shared" ref="C131:E131" si="70">E49*C94</f>
        <v>7.32</v>
      </c>
      <c r="D131" s="441">
        <f t="shared" si="70"/>
        <v>6.8029476580616928</v>
      </c>
      <c r="E131" s="441">
        <f t="shared" si="70"/>
        <v>7.3586575923109248</v>
      </c>
      <c r="F131" s="441">
        <f t="shared" ref="F131:K131" si="71">H49*F94</f>
        <v>7.8229767452080621</v>
      </c>
      <c r="G131" s="441">
        <f t="shared" si="71"/>
        <v>8.3101692038601307</v>
      </c>
      <c r="H131" s="441">
        <f t="shared" si="71"/>
        <v>8.8243105592002529</v>
      </c>
      <c r="I131" s="441">
        <f t="shared" si="71"/>
        <v>9.353765607616026</v>
      </c>
      <c r="J131" s="441">
        <f t="shared" si="71"/>
        <v>9.8985343491074538</v>
      </c>
      <c r="K131" s="441">
        <f t="shared" si="71"/>
        <v>10.458616783674533</v>
      </c>
      <c r="O131" s="39" t="s">
        <v>15</v>
      </c>
      <c r="P131" s="103">
        <v>12.4</v>
      </c>
      <c r="Q131" s="104">
        <v>12.67</v>
      </c>
      <c r="R131" s="104">
        <v>12</v>
      </c>
      <c r="S131" s="104">
        <v>10.567500000000001</v>
      </c>
      <c r="T131" s="104">
        <v>9.1349999999999998</v>
      </c>
      <c r="U131" s="104">
        <v>7.7024999999999997</v>
      </c>
      <c r="V131" s="104">
        <v>6.27</v>
      </c>
      <c r="AMM131"/>
    </row>
    <row r="132" spans="1:22 1027:1027" x14ac:dyDescent="0.3">
      <c r="A132" s="70">
        <f>C132-G$22</f>
        <v>0</v>
      </c>
      <c r="B132" s="440" t="s">
        <v>18</v>
      </c>
      <c r="C132" s="441">
        <f t="shared" ref="C132:E132" si="72">E50*C93</f>
        <v>4.96</v>
      </c>
      <c r="D132" s="441">
        <f t="shared" si="72"/>
        <v>3.38</v>
      </c>
      <c r="E132" s="441">
        <f t="shared" si="72"/>
        <v>4.5599999999999996</v>
      </c>
      <c r="F132" s="441">
        <f t="shared" ref="F132:K132" si="73">H50*F93</f>
        <v>4.9144877603133441</v>
      </c>
      <c r="G132" s="441">
        <f t="shared" si="73"/>
        <v>4.8765608939077971</v>
      </c>
      <c r="H132" s="441">
        <f t="shared" si="73"/>
        <v>4.7394423922431574</v>
      </c>
      <c r="I132" s="441">
        <f t="shared" si="73"/>
        <v>4.6023238905785178</v>
      </c>
      <c r="J132" s="441">
        <f t="shared" si="73"/>
        <v>4.4652053889138781</v>
      </c>
      <c r="K132" s="441">
        <f t="shared" si="73"/>
        <v>4.3280868872492384</v>
      </c>
      <c r="O132" s="39" t="s">
        <v>16</v>
      </c>
      <c r="P132" s="103">
        <v>5.3</v>
      </c>
      <c r="Q132" s="104">
        <v>5.5186565841428097</v>
      </c>
      <c r="R132" s="104">
        <v>5.4</v>
      </c>
      <c r="S132" s="104">
        <v>5.1424979021428099</v>
      </c>
      <c r="T132" s="104">
        <v>4.8849958042856301</v>
      </c>
      <c r="U132" s="104">
        <v>4.6274937064284396</v>
      </c>
      <c r="V132" s="104">
        <v>4.36999160857125</v>
      </c>
      <c r="AMM132"/>
    </row>
    <row r="133" spans="1:22 1027:1027" x14ac:dyDescent="0.3">
      <c r="B133" s="431"/>
      <c r="C133" s="431"/>
      <c r="D133" s="431"/>
      <c r="E133" s="431"/>
      <c r="F133" s="431"/>
      <c r="G133" s="431"/>
      <c r="H133" s="431"/>
      <c r="I133" s="431"/>
      <c r="J133" s="431"/>
      <c r="K133" s="431"/>
      <c r="O133" s="39" t="s">
        <v>17</v>
      </c>
      <c r="P133" s="103">
        <v>7.9</v>
      </c>
      <c r="Q133" s="104">
        <v>8.2360000000000007</v>
      </c>
      <c r="R133" s="104">
        <v>8.3895</v>
      </c>
      <c r="S133" s="104">
        <v>8.3895</v>
      </c>
      <c r="T133" s="104">
        <v>8.3895</v>
      </c>
      <c r="U133" s="104">
        <v>8.3895</v>
      </c>
      <c r="V133" s="104">
        <v>8.3895</v>
      </c>
      <c r="AMM133"/>
    </row>
    <row r="134" spans="1:22 1027:1027" x14ac:dyDescent="0.3">
      <c r="B134" s="444" t="s">
        <v>85</v>
      </c>
      <c r="C134" s="441">
        <f t="shared" ref="C134:K134" si="74">SUM(C126:C132,C124,C120)</f>
        <v>51.028889282797643</v>
      </c>
      <c r="D134" s="441">
        <f t="shared" si="74"/>
        <v>43.725246501634814</v>
      </c>
      <c r="E134" s="441">
        <f t="shared" ref="E134" si="75">SUM(E126:E132,E124,E120)</f>
        <v>48.267091916402222</v>
      </c>
      <c r="F134" s="441">
        <f t="shared" si="74"/>
        <v>51.32711752151441</v>
      </c>
      <c r="G134" s="441">
        <f t="shared" si="74"/>
        <v>51.425185150355098</v>
      </c>
      <c r="H134" s="441">
        <f t="shared" si="74"/>
        <v>51.14284752654968</v>
      </c>
      <c r="I134" s="441">
        <f t="shared" si="74"/>
        <v>50.60790041543401</v>
      </c>
      <c r="J134" s="441">
        <f t="shared" si="74"/>
        <v>49.880041624639624</v>
      </c>
      <c r="K134" s="441">
        <f t="shared" si="74"/>
        <v>49.435689030609481</v>
      </c>
      <c r="O134" s="39" t="s">
        <v>18</v>
      </c>
      <c r="P134" s="103">
        <v>4.9000000000000004</v>
      </c>
      <c r="Q134" s="104">
        <v>5.0979999999999999</v>
      </c>
      <c r="R134" s="104">
        <v>4.9000000000000004</v>
      </c>
      <c r="S134" s="104">
        <v>4.6920000000000002</v>
      </c>
      <c r="T134" s="104">
        <v>4.484</v>
      </c>
      <c r="U134" s="104">
        <v>4.2759999999999998</v>
      </c>
      <c r="V134" s="104">
        <v>4.0679999999999996</v>
      </c>
      <c r="AMM134"/>
    </row>
    <row r="135" spans="1:22 1027:1027" x14ac:dyDescent="0.3">
      <c r="B135" s="444" t="s">
        <v>86</v>
      </c>
      <c r="C135" s="431">
        <f t="shared" ref="C135:K135" si="76">C134/$C134</f>
        <v>1</v>
      </c>
      <c r="D135" s="431">
        <f t="shared" si="76"/>
        <v>0.85687239358304124</v>
      </c>
      <c r="E135" s="431">
        <f t="shared" ref="E135" si="77">E134/$C134</f>
        <v>0.94587776835412229</v>
      </c>
      <c r="F135" s="431">
        <f t="shared" si="76"/>
        <v>1.0058443019808645</v>
      </c>
      <c r="G135" s="431">
        <f t="shared" si="76"/>
        <v>1.0077661080444298</v>
      </c>
      <c r="H135" s="431">
        <f t="shared" si="76"/>
        <v>1.0022332103511109</v>
      </c>
      <c r="I135" s="431">
        <f t="shared" si="76"/>
        <v>0.99174998959843019</v>
      </c>
      <c r="J135" s="431">
        <f t="shared" si="76"/>
        <v>0.97748632834645477</v>
      </c>
      <c r="K135" s="431">
        <f t="shared" si="76"/>
        <v>0.96877846501108844</v>
      </c>
    </row>
    <row r="136" spans="1:22 1027:1027" x14ac:dyDescent="0.3">
      <c r="B136" s="444" t="s">
        <v>91</v>
      </c>
      <c r="C136" s="441">
        <v>50.771132350000002</v>
      </c>
      <c r="D136" s="441">
        <v>43.5357485445195</v>
      </c>
      <c r="E136" s="441">
        <v>44.5357485445195</v>
      </c>
      <c r="F136" s="441">
        <v>50.440978655899301</v>
      </c>
      <c r="G136" s="441">
        <v>49.219427190640999</v>
      </c>
      <c r="H136" s="441">
        <v>47.0388556546215</v>
      </c>
      <c r="I136" s="441">
        <v>44.943855965491203</v>
      </c>
      <c r="J136" s="441">
        <v>42.896680745289899</v>
      </c>
      <c r="K136" s="441">
        <v>40.854880049802702</v>
      </c>
    </row>
    <row r="137" spans="1:22 1027:1027" x14ac:dyDescent="0.3">
      <c r="G137" s="38">
        <f>G136/G134-1</f>
        <v>-4.2892562336236284E-2</v>
      </c>
    </row>
    <row r="142" spans="1:22 1027:1027" x14ac:dyDescent="0.3">
      <c r="B142" s="38" t="s">
        <v>92</v>
      </c>
    </row>
    <row r="143" spans="1:22 1027:1027" x14ac:dyDescent="0.3">
      <c r="B143" s="38" t="s">
        <v>93</v>
      </c>
    </row>
    <row r="144" spans="1:22 1027:1027" x14ac:dyDescent="0.3">
      <c r="B144" s="38" t="s">
        <v>94</v>
      </c>
    </row>
    <row r="145" spans="2:2" x14ac:dyDescent="0.3">
      <c r="B145" s="38" t="s">
        <v>95</v>
      </c>
    </row>
  </sheetData>
  <mergeCells count="10">
    <mergeCell ref="C60:D60"/>
    <mergeCell ref="E60:H60"/>
    <mergeCell ref="B97:E97"/>
    <mergeCell ref="Q99:V99"/>
    <mergeCell ref="Q120:V120"/>
    <mergeCell ref="B2:E2"/>
    <mergeCell ref="C5:I5"/>
    <mergeCell ref="B25:E25"/>
    <mergeCell ref="B56:E56"/>
    <mergeCell ref="C59:H59"/>
  </mergeCells>
  <pageMargins left="0.7" right="0.7" top="0.75" bottom="0.75" header="0.51180555555555496" footer="0.51180555555555496"/>
  <pageSetup paperSize="9" firstPageNumber="0"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DC3E6"/>
  </sheetPr>
  <dimension ref="A1:AML108"/>
  <sheetViews>
    <sheetView topLeftCell="A10" workbookViewId="0">
      <selection activeCell="G33" sqref="G33"/>
    </sheetView>
  </sheetViews>
  <sheetFormatPr baseColWidth="10" defaultColWidth="8.6640625" defaultRowHeight="14.4" x14ac:dyDescent="0.3"/>
  <cols>
    <col min="1" max="1026" width="10.44140625" style="38" customWidth="1"/>
  </cols>
  <sheetData>
    <row r="1" spans="1:10 1026:1026" x14ac:dyDescent="0.3">
      <c r="A1" s="38" t="s">
        <v>96</v>
      </c>
    </row>
    <row r="2" spans="1:10 1026:1026" x14ac:dyDescent="0.3">
      <c r="B2" s="661" t="s">
        <v>35</v>
      </c>
      <c r="C2" s="661"/>
      <c r="D2" s="661"/>
      <c r="E2" s="661"/>
      <c r="F2" s="661"/>
    </row>
    <row r="4" spans="1:10 1026:1026" x14ac:dyDescent="0.3">
      <c r="B4" s="1" t="s">
        <v>20</v>
      </c>
      <c r="C4" s="668" t="s">
        <v>2</v>
      </c>
      <c r="D4" s="668"/>
      <c r="E4" s="668"/>
      <c r="F4" s="668"/>
      <c r="G4" s="668"/>
      <c r="H4" s="668"/>
      <c r="I4" s="668"/>
      <c r="J4" s="1" t="s">
        <v>97</v>
      </c>
    </row>
    <row r="5" spans="1:10 1026:1026" x14ac:dyDescent="0.3">
      <c r="B5" s="1" t="s">
        <v>23</v>
      </c>
      <c r="C5" s="5">
        <v>2015</v>
      </c>
      <c r="D5" s="5">
        <v>2016</v>
      </c>
      <c r="E5" s="5">
        <v>2017</v>
      </c>
      <c r="F5" s="5">
        <v>2018</v>
      </c>
      <c r="G5" s="5">
        <v>2019</v>
      </c>
      <c r="H5" s="5">
        <v>2020</v>
      </c>
      <c r="I5" s="1">
        <v>2021</v>
      </c>
      <c r="AML5"/>
    </row>
    <row r="6" spans="1:10 1026:1026" x14ac:dyDescent="0.3">
      <c r="B6" s="111" t="s">
        <v>24</v>
      </c>
      <c r="C6" s="25">
        <f>'VA historique'!R5</f>
        <v>25.623999999999999</v>
      </c>
      <c r="D6" s="25">
        <f>'VA historique'!S5</f>
        <v>26.013999999999999</v>
      </c>
      <c r="E6" s="25">
        <f>'VA historique'!T5</f>
        <v>26.658000000000001</v>
      </c>
      <c r="F6" s="25">
        <f>'VA historique'!U5</f>
        <v>25.46</v>
      </c>
      <c r="G6" s="25">
        <f>'VA historique'!V5</f>
        <v>25.805</v>
      </c>
      <c r="H6" s="25">
        <f>'VA historique'!W5</f>
        <v>22.829000000000001</v>
      </c>
      <c r="I6" s="25">
        <f>'VA historique'!X5</f>
        <v>24.457000000000001</v>
      </c>
      <c r="AML6"/>
    </row>
    <row r="7" spans="1:10 1026:1026" x14ac:dyDescent="0.3">
      <c r="B7" s="111" t="s">
        <v>25</v>
      </c>
      <c r="C7" s="25">
        <f>'VA historique'!R6</f>
        <v>41.414999999999999</v>
      </c>
      <c r="D7" s="25">
        <f>'VA historique'!S6</f>
        <v>42.558999999999997</v>
      </c>
      <c r="E7" s="25">
        <f>'VA historique'!T6</f>
        <v>43.824999999999996</v>
      </c>
      <c r="F7" s="25">
        <f>'VA historique'!U6</f>
        <v>45.193000000000005</v>
      </c>
      <c r="G7" s="25">
        <f>'VA historique'!V6</f>
        <v>47.174999999999997</v>
      </c>
      <c r="H7" s="25">
        <f>'VA historique'!W6</f>
        <v>45.88900000000001</v>
      </c>
      <c r="I7" s="25">
        <f>'VA historique'!X6</f>
        <v>46.328000000000003</v>
      </c>
      <c r="AML7"/>
    </row>
    <row r="8" spans="1:10 1026:1026" x14ac:dyDescent="0.3">
      <c r="B8" s="111" t="s">
        <v>26</v>
      </c>
      <c r="C8" s="25">
        <f>'VA historique'!R7</f>
        <v>8.0229999999999997</v>
      </c>
      <c r="D8" s="25">
        <f>'VA historique'!S7</f>
        <v>8.1</v>
      </c>
      <c r="E8" s="25">
        <f>'VA historique'!T7</f>
        <v>8.2919999999999998</v>
      </c>
      <c r="F8" s="25">
        <f>'VA historique'!U7</f>
        <v>8.2710000000000008</v>
      </c>
      <c r="G8" s="25">
        <f>'VA historique'!V7</f>
        <v>8.359</v>
      </c>
      <c r="H8" s="25">
        <f>'VA historique'!W7</f>
        <v>7.4640000000000004</v>
      </c>
      <c r="I8" s="25">
        <f>'VA historique'!X7</f>
        <v>8.1720000000000006</v>
      </c>
      <c r="AML8"/>
    </row>
    <row r="9" spans="1:10 1026:1026" x14ac:dyDescent="0.3">
      <c r="B9" s="111" t="s">
        <v>27</v>
      </c>
      <c r="C9" s="25">
        <f>'VA historique'!R8</f>
        <v>43.508000000000003</v>
      </c>
      <c r="D9" s="25">
        <f>'VA historique'!S8</f>
        <v>44.673999999999999</v>
      </c>
      <c r="E9" s="25">
        <f>'VA historique'!T8</f>
        <v>45.484999999999999</v>
      </c>
      <c r="F9" s="25">
        <f>'VA historique'!U8</f>
        <v>45.279000000000003</v>
      </c>
      <c r="G9" s="25">
        <f>'VA historique'!V8</f>
        <v>45.597999999999999</v>
      </c>
      <c r="H9" s="25">
        <f>'VA historique'!W8</f>
        <v>44.088999999999999</v>
      </c>
      <c r="I9" s="25">
        <f>'VA historique'!X8</f>
        <v>44.859000000000002</v>
      </c>
      <c r="AML9"/>
    </row>
    <row r="10" spans="1:10 1026:1026" x14ac:dyDescent="0.3">
      <c r="B10" s="111" t="s">
        <v>28</v>
      </c>
      <c r="C10" s="25">
        <f>'VA historique'!R9</f>
        <v>60.172999999999995</v>
      </c>
      <c r="D10" s="25">
        <f>'VA historique'!S9</f>
        <v>59.025999999999996</v>
      </c>
      <c r="E10" s="25">
        <f>'VA historique'!T9</f>
        <v>60.472999999999999</v>
      </c>
      <c r="F10" s="25">
        <f>'VA historique'!U9</f>
        <v>63.185999999999993</v>
      </c>
      <c r="G10" s="25">
        <f>'VA historique'!V9</f>
        <v>63.614999999999995</v>
      </c>
      <c r="H10" s="25">
        <f>'VA historique'!W9</f>
        <v>49.807000000000002</v>
      </c>
      <c r="I10" s="25">
        <f>'VA historique'!X9</f>
        <v>52.09</v>
      </c>
      <c r="AML10"/>
    </row>
    <row r="11" spans="1:10 1026:1026" x14ac:dyDescent="0.3">
      <c r="B11" s="111" t="s">
        <v>29</v>
      </c>
      <c r="C11" s="25">
        <f>'VA historique'!R11</f>
        <v>23.295999999999999</v>
      </c>
      <c r="D11" s="25">
        <f>'VA historique'!S11</f>
        <v>23.045999999999999</v>
      </c>
      <c r="E11" s="25">
        <f>'VA historique'!T11</f>
        <v>23.308</v>
      </c>
      <c r="F11" s="25">
        <f>'VA historique'!U11</f>
        <v>23.242000000000004</v>
      </c>
      <c r="G11" s="25">
        <f>'VA historique'!V11</f>
        <v>23.724</v>
      </c>
      <c r="H11" s="25">
        <f>'VA historique'!W11</f>
        <v>22.257999999999999</v>
      </c>
      <c r="I11" s="25">
        <f>'VA historique'!X11</f>
        <v>23.780999999999999</v>
      </c>
      <c r="AML11"/>
    </row>
    <row r="12" spans="1:10 1026:1026" x14ac:dyDescent="0.3">
      <c r="B12" s="5" t="s">
        <v>30</v>
      </c>
      <c r="C12" s="8">
        <f t="shared" ref="C12:H12" si="0">SUM(C6:C11)</f>
        <v>202.03899999999999</v>
      </c>
      <c r="D12" s="8">
        <f t="shared" si="0"/>
        <v>203.41899999999998</v>
      </c>
      <c r="E12" s="8">
        <f t="shared" si="0"/>
        <v>208.041</v>
      </c>
      <c r="F12" s="8">
        <f t="shared" si="0"/>
        <v>210.63100000000003</v>
      </c>
      <c r="G12" s="8">
        <f t="shared" si="0"/>
        <v>214.27599999999995</v>
      </c>
      <c r="H12" s="8">
        <f t="shared" si="0"/>
        <v>192.33600000000004</v>
      </c>
      <c r="I12" s="419">
        <f t="shared" ref="I12" si="1">SUM(I6:I11)</f>
        <v>199.68700000000001</v>
      </c>
      <c r="AML12"/>
    </row>
    <row r="13" spans="1:10 1026:1026" x14ac:dyDescent="0.3">
      <c r="B13" s="112" t="s">
        <v>31</v>
      </c>
      <c r="C13" s="25">
        <f>'VA historique'!R10</f>
        <v>109.505</v>
      </c>
      <c r="D13" s="25">
        <f>'VA historique'!S10</f>
        <v>108.449</v>
      </c>
      <c r="E13" s="25">
        <f>'VA historique'!T10</f>
        <v>110.801</v>
      </c>
      <c r="F13" s="25">
        <f>'VA historique'!U10</f>
        <v>111.943</v>
      </c>
      <c r="G13" s="25">
        <f>'VA historique'!V10</f>
        <v>114.88200000000001</v>
      </c>
      <c r="H13" s="25">
        <f>'VA historique'!W10</f>
        <v>101.443</v>
      </c>
      <c r="I13" s="25">
        <f>'VA historique'!X10</f>
        <v>108.227</v>
      </c>
      <c r="AML13"/>
    </row>
    <row r="16" spans="1:10 1026:1026" x14ac:dyDescent="0.3">
      <c r="B16" s="661" t="s">
        <v>98</v>
      </c>
      <c r="C16" s="661"/>
      <c r="D16" s="661"/>
      <c r="E16" s="661"/>
      <c r="F16" s="661"/>
    </row>
    <row r="18" spans="2:23" x14ac:dyDescent="0.3">
      <c r="D18" s="673" t="s">
        <v>99</v>
      </c>
      <c r="E18" s="673"/>
      <c r="F18" s="673"/>
      <c r="G18" s="673"/>
      <c r="H18" s="673"/>
      <c r="I18" s="673"/>
      <c r="J18" s="673"/>
      <c r="K18" s="673"/>
      <c r="L18" s="673" t="s">
        <v>100</v>
      </c>
      <c r="M18" s="673"/>
      <c r="N18" s="673"/>
      <c r="O18" s="673"/>
      <c r="P18" s="673"/>
      <c r="Q18" s="673"/>
      <c r="R18" s="673" t="s">
        <v>101</v>
      </c>
      <c r="S18" s="673"/>
      <c r="T18" s="673"/>
      <c r="U18" s="673"/>
      <c r="V18" s="673"/>
      <c r="W18" s="673"/>
    </row>
    <row r="19" spans="2:23" x14ac:dyDescent="0.3">
      <c r="B19" s="38" t="s">
        <v>3</v>
      </c>
      <c r="C19" s="38" t="s">
        <v>102</v>
      </c>
      <c r="D19" s="113">
        <v>2020</v>
      </c>
      <c r="E19" s="113">
        <v>2021</v>
      </c>
      <c r="F19" s="113">
        <v>2025</v>
      </c>
      <c r="G19" s="113">
        <v>2030</v>
      </c>
      <c r="H19" s="113">
        <v>2035</v>
      </c>
      <c r="I19" s="113">
        <v>2040</v>
      </c>
      <c r="J19" s="113">
        <v>2045</v>
      </c>
      <c r="K19" s="114">
        <v>2050</v>
      </c>
      <c r="L19" s="113">
        <v>2025</v>
      </c>
      <c r="M19" s="113">
        <v>2030</v>
      </c>
      <c r="N19" s="113">
        <v>2035</v>
      </c>
      <c r="O19" s="113">
        <v>2040</v>
      </c>
      <c r="P19" s="113">
        <v>2045</v>
      </c>
      <c r="Q19" s="114">
        <v>2050</v>
      </c>
      <c r="R19" s="113">
        <v>2025</v>
      </c>
      <c r="S19" s="113">
        <v>2030</v>
      </c>
      <c r="T19" s="113">
        <v>2035</v>
      </c>
      <c r="U19" s="113">
        <v>2040</v>
      </c>
      <c r="V19" s="113">
        <v>2045</v>
      </c>
      <c r="W19" s="114">
        <v>2050</v>
      </c>
    </row>
    <row r="20" spans="2:23" x14ac:dyDescent="0.3">
      <c r="B20" s="111" t="s">
        <v>24</v>
      </c>
      <c r="D20" s="115">
        <v>4.5536260003285314</v>
      </c>
      <c r="E20" s="115">
        <v>8.696205581408222</v>
      </c>
      <c r="F20" s="115">
        <v>7.6486497928279737</v>
      </c>
      <c r="G20" s="115">
        <v>7.4593196425668484</v>
      </c>
      <c r="H20" s="115">
        <v>7.3000523445197487</v>
      </c>
      <c r="I20" s="115">
        <v>7.0979658835342061</v>
      </c>
      <c r="J20" s="115">
        <v>6.9489779346401281</v>
      </c>
      <c r="K20" s="115">
        <v>6.8606566073177184</v>
      </c>
      <c r="L20" s="115">
        <f>F20/$E20</f>
        <v>0.8795387506914697</v>
      </c>
      <c r="M20" s="115">
        <f t="shared" ref="M20:Q20" si="2">G20/$E20</f>
        <v>0.85776716899543692</v>
      </c>
      <c r="N20" s="115">
        <f t="shared" si="2"/>
        <v>0.83945259529359162</v>
      </c>
      <c r="O20" s="115">
        <f t="shared" si="2"/>
        <v>0.81621413121937669</v>
      </c>
      <c r="P20" s="115">
        <f t="shared" si="2"/>
        <v>0.79908160744227064</v>
      </c>
      <c r="Q20" s="115">
        <f t="shared" si="2"/>
        <v>0.78892530116643544</v>
      </c>
      <c r="R20" s="115">
        <f>L20+0.017</f>
        <v>0.89653875069146971</v>
      </c>
      <c r="S20" s="115">
        <f>M20+0.027</f>
        <v>0.88476716899543695</v>
      </c>
      <c r="T20" s="115">
        <f>N20+0.0395</f>
        <v>0.8789525952935916</v>
      </c>
      <c r="U20" s="115">
        <f>O20+0.0585</f>
        <v>0.87471413121937669</v>
      </c>
      <c r="V20" s="115">
        <f>P20+0.0796</f>
        <v>0.87868160744227064</v>
      </c>
      <c r="W20" s="115">
        <f>Q20+0.1</f>
        <v>0.88892530116643542</v>
      </c>
    </row>
    <row r="21" spans="2:23" x14ac:dyDescent="0.3">
      <c r="B21" s="111" t="s">
        <v>25</v>
      </c>
      <c r="D21" s="115">
        <v>51.129802151779295</v>
      </c>
      <c r="E21" s="115">
        <v>53.025614848895074</v>
      </c>
      <c r="F21" s="115">
        <v>47.832605759948478</v>
      </c>
      <c r="G21" s="115">
        <v>47.660709025200404</v>
      </c>
      <c r="H21" s="115">
        <v>48.135677590438299</v>
      </c>
      <c r="I21" s="115">
        <v>48.600941816312172</v>
      </c>
      <c r="J21" s="115">
        <v>49.552782917927551</v>
      </c>
      <c r="K21" s="115">
        <v>51.068125019104414</v>
      </c>
      <c r="L21" s="115">
        <f t="shared" ref="L21:L26" si="3">F21/$E21</f>
        <v>0.9020660278292878</v>
      </c>
      <c r="M21" s="115">
        <f t="shared" ref="M21:M26" si="4">G21/$E21</f>
        <v>0.89882425995468751</v>
      </c>
      <c r="N21" s="115">
        <f t="shared" ref="N21:N26" si="5">H21/$E21</f>
        <v>0.90778160192217605</v>
      </c>
      <c r="O21" s="115">
        <f t="shared" ref="O21:O26" si="6">I21/$E21</f>
        <v>0.91655593159661208</v>
      </c>
      <c r="P21" s="115">
        <f t="shared" ref="P21:P26" si="7">J21/$E21</f>
        <v>0.93450652216171548</v>
      </c>
      <c r="Q21" s="115">
        <f t="shared" ref="Q21:Q26" si="8">K21/$E21</f>
        <v>0.96308407105945237</v>
      </c>
      <c r="R21" s="115">
        <f>L21+0.017</f>
        <v>0.91906602782928781</v>
      </c>
      <c r="S21" s="115">
        <f>M21+0.027</f>
        <v>0.92582425995468753</v>
      </c>
      <c r="T21" s="115">
        <f>N21+0.0395</f>
        <v>0.94728160192217603</v>
      </c>
      <c r="U21" s="115">
        <f>O21+0.0585</f>
        <v>0.97505593159661208</v>
      </c>
      <c r="V21" s="115">
        <f>P21+0.0796</f>
        <v>1.0141065221617156</v>
      </c>
      <c r="W21" s="115">
        <f>Q21+0.1</f>
        <v>1.0630840710594525</v>
      </c>
    </row>
    <row r="22" spans="2:23" x14ac:dyDescent="0.3">
      <c r="B22" s="111" t="s">
        <v>26</v>
      </c>
      <c r="D22" s="115">
        <v>9.4763689952277304</v>
      </c>
      <c r="E22" s="115">
        <v>9.6003546676455063</v>
      </c>
      <c r="F22" s="115">
        <v>9.2505585212353232</v>
      </c>
      <c r="G22" s="115">
        <v>9.4726606495707202</v>
      </c>
      <c r="H22" s="115">
        <v>9.7645263143288368</v>
      </c>
      <c r="I22" s="115">
        <v>10.1344634055176</v>
      </c>
      <c r="J22" s="115">
        <v>10.693174362203685</v>
      </c>
      <c r="K22" s="115">
        <v>11.326017122695854</v>
      </c>
      <c r="L22" s="115">
        <f t="shared" si="3"/>
        <v>0.96356424751795433</v>
      </c>
      <c r="M22" s="115">
        <f t="shared" si="4"/>
        <v>0.9866990311821362</v>
      </c>
      <c r="N22" s="115">
        <f t="shared" si="5"/>
        <v>1.0171005814229563</v>
      </c>
      <c r="O22" s="115">
        <f t="shared" si="6"/>
        <v>1.0556342714787519</v>
      </c>
      <c r="P22" s="115">
        <f t="shared" si="7"/>
        <v>1.1138311794085201</v>
      </c>
      <c r="Q22" s="115">
        <f t="shared" si="8"/>
        <v>1.1797498649571836</v>
      </c>
      <c r="R22" s="115">
        <f>L22+0.017</f>
        <v>0.98056424751795435</v>
      </c>
      <c r="S22" s="115">
        <f>M22+0.027</f>
        <v>1.0136990311821361</v>
      </c>
      <c r="T22" s="115">
        <f>N22+0.0395</f>
        <v>1.0566005814229564</v>
      </c>
      <c r="U22" s="115">
        <f>O22+0.0585</f>
        <v>1.1141342714787519</v>
      </c>
      <c r="V22" s="115">
        <f>P22+0.0796</f>
        <v>1.1934311794085199</v>
      </c>
      <c r="W22" s="115">
        <f>Q22+0.1</f>
        <v>1.2797498649571837</v>
      </c>
    </row>
    <row r="23" spans="2:23" x14ac:dyDescent="0.3">
      <c r="B23" s="111" t="s">
        <v>27</v>
      </c>
      <c r="D23" s="115">
        <v>54.703848435747197</v>
      </c>
      <c r="E23" s="115">
        <v>51.664645030110087</v>
      </c>
      <c r="F23" s="115">
        <v>50.942593092114848</v>
      </c>
      <c r="G23" s="115">
        <v>51.466572864677836</v>
      </c>
      <c r="H23" s="115">
        <v>52.916680554582655</v>
      </c>
      <c r="I23" s="115">
        <v>55.11640670100352</v>
      </c>
      <c r="J23" s="115">
        <v>58.750861952145748</v>
      </c>
      <c r="K23" s="115">
        <v>63.090819122483396</v>
      </c>
      <c r="L23" s="115">
        <f t="shared" si="3"/>
        <v>0.98602425435083452</v>
      </c>
      <c r="M23" s="115">
        <f t="shared" si="4"/>
        <v>0.99616619517434379</v>
      </c>
      <c r="N23" s="115">
        <f t="shared" si="5"/>
        <v>1.0242338938696449</v>
      </c>
      <c r="O23" s="115">
        <f t="shared" si="6"/>
        <v>1.0668109046114949</v>
      </c>
      <c r="P23" s="115">
        <f t="shared" si="7"/>
        <v>1.1371579523657973</v>
      </c>
      <c r="Q23" s="115">
        <f t="shared" si="8"/>
        <v>1.2211604102905216</v>
      </c>
      <c r="R23" s="115">
        <f>L23+0.017</f>
        <v>1.0030242543508345</v>
      </c>
      <c r="S23" s="115">
        <f>M23+0.027</f>
        <v>1.0231661951743438</v>
      </c>
      <c r="T23" s="115">
        <f>N23+0.0395</f>
        <v>1.063733893869645</v>
      </c>
      <c r="U23" s="115">
        <f>O23+0.0585</f>
        <v>1.1253109046114949</v>
      </c>
      <c r="V23" s="115">
        <f>P23+0.0796</f>
        <v>1.2167579523657972</v>
      </c>
      <c r="W23" s="115">
        <f>Q23+0.1</f>
        <v>1.3211604102905217</v>
      </c>
    </row>
    <row r="24" spans="2:23" x14ac:dyDescent="0.3">
      <c r="B24" s="111" t="s">
        <v>103</v>
      </c>
      <c r="D24" s="115">
        <v>151.84077137234746</v>
      </c>
      <c r="E24" s="115">
        <v>158.22490354416772</v>
      </c>
      <c r="F24" s="115">
        <v>163.37436610374507</v>
      </c>
      <c r="G24" s="115">
        <v>170.45524949401752</v>
      </c>
      <c r="H24" s="115">
        <v>179.51332885392318</v>
      </c>
      <c r="I24" s="115">
        <v>191.96242357807103</v>
      </c>
      <c r="J24" s="115">
        <v>206.5485702875369</v>
      </c>
      <c r="K24" s="115">
        <v>222.16333485780723</v>
      </c>
      <c r="L24" s="115">
        <f t="shared" si="3"/>
        <v>1.0325452090298788</v>
      </c>
      <c r="M24" s="115">
        <f t="shared" si="4"/>
        <v>1.0772972248735533</v>
      </c>
      <c r="N24" s="115">
        <f t="shared" si="5"/>
        <v>1.1345453517929489</v>
      </c>
      <c r="O24" s="115">
        <f t="shared" si="6"/>
        <v>1.2132250946481737</v>
      </c>
      <c r="P24" s="115">
        <f t="shared" si="7"/>
        <v>1.3054112573996917</v>
      </c>
      <c r="Q24" s="115">
        <f t="shared" si="8"/>
        <v>1.4040984060122457</v>
      </c>
      <c r="R24" s="115">
        <f>L24+0.017</f>
        <v>1.0495452090298787</v>
      </c>
      <c r="S24" s="115">
        <f>M24+0.027</f>
        <v>1.1042972248735532</v>
      </c>
      <c r="T24" s="115">
        <f>N24+0.0395</f>
        <v>1.174045351792949</v>
      </c>
      <c r="U24" s="115">
        <f>O24+0.0585</f>
        <v>1.2717250946481737</v>
      </c>
      <c r="V24" s="115">
        <f>P24+0.0796</f>
        <v>1.3850112573996918</v>
      </c>
      <c r="W24" s="115">
        <f>Q24+0.1</f>
        <v>1.5040984060122458</v>
      </c>
    </row>
    <row r="25" spans="2:23" x14ac:dyDescent="0.3">
      <c r="B25" s="38" t="s">
        <v>104</v>
      </c>
      <c r="D25" s="115">
        <v>235.28543893824954</v>
      </c>
      <c r="E25" s="115">
        <v>244.9088691661444</v>
      </c>
      <c r="F25" s="115">
        <v>244.098285652128</v>
      </c>
      <c r="G25" s="115">
        <v>252.27791341436415</v>
      </c>
      <c r="H25" s="115">
        <v>263.83087527476675</v>
      </c>
      <c r="I25" s="115">
        <v>279.86278595567165</v>
      </c>
      <c r="J25" s="115">
        <v>300.07776760683339</v>
      </c>
      <c r="K25" s="115">
        <v>322.3827183689923</v>
      </c>
      <c r="L25" s="115">
        <f t="shared" si="3"/>
        <v>0.99669026476347611</v>
      </c>
      <c r="M25" s="115">
        <f t="shared" si="4"/>
        <v>1.0300889235792463</v>
      </c>
      <c r="N25" s="115">
        <f t="shared" si="5"/>
        <v>1.0772614163506908</v>
      </c>
      <c r="O25" s="115">
        <f t="shared" si="6"/>
        <v>1.1427221354152544</v>
      </c>
      <c r="P25" s="115">
        <f t="shared" si="7"/>
        <v>1.2252629667048227</v>
      </c>
      <c r="Q25" s="115">
        <f t="shared" si="8"/>
        <v>1.3163374583641159</v>
      </c>
      <c r="R25" s="115"/>
      <c r="S25" s="115"/>
      <c r="T25" s="115"/>
      <c r="U25" s="115"/>
      <c r="V25" s="115"/>
      <c r="W25" s="115"/>
    </row>
    <row r="26" spans="2:23" x14ac:dyDescent="0.3">
      <c r="B26" s="111" t="s">
        <v>31</v>
      </c>
      <c r="D26" s="115">
        <v>112.21961327195284</v>
      </c>
      <c r="E26" s="115">
        <v>123.89472068103373</v>
      </c>
      <c r="F26" s="115">
        <v>139.32503218984991</v>
      </c>
      <c r="G26" s="115">
        <v>143.27203094901597</v>
      </c>
      <c r="H26" s="115">
        <v>148.98307033198731</v>
      </c>
      <c r="I26" s="115">
        <v>155.67969248848627</v>
      </c>
      <c r="J26" s="115">
        <v>164.65023466890341</v>
      </c>
      <c r="K26" s="115">
        <v>174.88257938109862</v>
      </c>
      <c r="L26" s="115">
        <f t="shared" si="3"/>
        <v>1.1245437370050773</v>
      </c>
      <c r="M26" s="115">
        <f t="shared" si="4"/>
        <v>1.1564014201853605</v>
      </c>
      <c r="N26" s="115">
        <f t="shared" si="5"/>
        <v>1.2024973260607559</v>
      </c>
      <c r="O26" s="115">
        <f t="shared" si="6"/>
        <v>1.2565482341195373</v>
      </c>
      <c r="P26" s="115">
        <f t="shared" si="7"/>
        <v>1.32895278962527</v>
      </c>
      <c r="Q26" s="115">
        <f t="shared" si="8"/>
        <v>1.4115418188909989</v>
      </c>
      <c r="R26" s="115">
        <f t="shared" ref="R26:W26" si="9">L26</f>
        <v>1.1245437370050773</v>
      </c>
      <c r="S26" s="115">
        <f t="shared" si="9"/>
        <v>1.1564014201853605</v>
      </c>
      <c r="T26" s="115">
        <f t="shared" si="9"/>
        <v>1.2024973260607559</v>
      </c>
      <c r="U26" s="115">
        <f t="shared" si="9"/>
        <v>1.2565482341195373</v>
      </c>
      <c r="V26" s="115">
        <f t="shared" si="9"/>
        <v>1.32895278962527</v>
      </c>
      <c r="W26" s="115">
        <f t="shared" si="9"/>
        <v>1.4115418188909989</v>
      </c>
    </row>
    <row r="29" spans="2:23" x14ac:dyDescent="0.3">
      <c r="B29" s="38" t="s">
        <v>102</v>
      </c>
      <c r="C29" s="5">
        <v>2019</v>
      </c>
      <c r="D29" s="5">
        <v>2020</v>
      </c>
      <c r="E29" s="408">
        <v>2021</v>
      </c>
      <c r="F29" s="113">
        <v>2025</v>
      </c>
      <c r="G29" s="113">
        <v>2030</v>
      </c>
      <c r="H29" s="113">
        <v>2035</v>
      </c>
      <c r="I29" s="113">
        <v>2040</v>
      </c>
      <c r="J29" s="113">
        <v>2045</v>
      </c>
      <c r="K29" s="114">
        <v>2050</v>
      </c>
    </row>
    <row r="30" spans="2:23" x14ac:dyDescent="0.3">
      <c r="B30" s="111" t="s">
        <v>24</v>
      </c>
      <c r="C30" s="25">
        <f>G6</f>
        <v>25.805</v>
      </c>
      <c r="D30" s="25">
        <f>H6</f>
        <v>22.829000000000001</v>
      </c>
      <c r="E30" s="409">
        <f>I6</f>
        <v>24.457000000000001</v>
      </c>
      <c r="F30" s="115">
        <f t="shared" ref="F30:K34" si="10">$D30*R20</f>
        <v>20.467083139535564</v>
      </c>
      <c r="G30" s="115">
        <f t="shared" si="10"/>
        <v>20.198349700996829</v>
      </c>
      <c r="H30" s="115">
        <f t="shared" si="10"/>
        <v>20.065608797957402</v>
      </c>
      <c r="I30" s="115">
        <f t="shared" si="10"/>
        <v>19.968848901607149</v>
      </c>
      <c r="J30" s="115">
        <f t="shared" si="10"/>
        <v>20.059422416299597</v>
      </c>
      <c r="K30" s="115">
        <f t="shared" si="10"/>
        <v>20.293275700328554</v>
      </c>
    </row>
    <row r="31" spans="2:23" x14ac:dyDescent="0.3">
      <c r="B31" s="111" t="s">
        <v>25</v>
      </c>
      <c r="C31" s="25">
        <f t="shared" ref="C31:D35" si="11">G7</f>
        <v>47.174999999999997</v>
      </c>
      <c r="D31" s="25">
        <f t="shared" si="11"/>
        <v>45.88900000000001</v>
      </c>
      <c r="E31" s="409">
        <f t="shared" ref="E31:E37" si="12">I7</f>
        <v>46.328000000000003</v>
      </c>
      <c r="F31" s="115">
        <f t="shared" si="10"/>
        <v>42.175020951058201</v>
      </c>
      <c r="G31" s="115">
        <f t="shared" si="10"/>
        <v>42.485149465060665</v>
      </c>
      <c r="H31" s="115">
        <f t="shared" si="10"/>
        <v>43.469805430606748</v>
      </c>
      <c r="I31" s="115">
        <f t="shared" si="10"/>
        <v>44.74434164503694</v>
      </c>
      <c r="J31" s="115">
        <f t="shared" si="10"/>
        <v>46.536334195478979</v>
      </c>
      <c r="K31" s="115">
        <f t="shared" si="10"/>
        <v>48.783864936847223</v>
      </c>
    </row>
    <row r="32" spans="2:23" x14ac:dyDescent="0.3">
      <c r="B32" s="111" t="s">
        <v>26</v>
      </c>
      <c r="C32" s="25">
        <f t="shared" si="11"/>
        <v>8.359</v>
      </c>
      <c r="D32" s="25">
        <f t="shared" si="11"/>
        <v>7.4640000000000004</v>
      </c>
      <c r="E32" s="409">
        <f t="shared" si="12"/>
        <v>8.1720000000000006</v>
      </c>
      <c r="F32" s="115">
        <f t="shared" si="10"/>
        <v>7.3189315434740116</v>
      </c>
      <c r="G32" s="115">
        <f t="shared" si="10"/>
        <v>7.5662495687434648</v>
      </c>
      <c r="H32" s="115">
        <f t="shared" si="10"/>
        <v>7.8864667397409471</v>
      </c>
      <c r="I32" s="115">
        <f t="shared" si="10"/>
        <v>8.3158982023174044</v>
      </c>
      <c r="J32" s="115">
        <f t="shared" si="10"/>
        <v>8.9077703231051935</v>
      </c>
      <c r="K32" s="115">
        <f t="shared" si="10"/>
        <v>9.5520529920404194</v>
      </c>
    </row>
    <row r="33" spans="2:23" x14ac:dyDescent="0.3">
      <c r="B33" s="111" t="s">
        <v>27</v>
      </c>
      <c r="C33" s="25">
        <f t="shared" si="11"/>
        <v>45.597999999999999</v>
      </c>
      <c r="D33" s="25">
        <f t="shared" si="11"/>
        <v>44.088999999999999</v>
      </c>
      <c r="E33" s="409">
        <f t="shared" si="12"/>
        <v>44.859000000000002</v>
      </c>
      <c r="F33" s="115">
        <f t="shared" si="10"/>
        <v>44.222336350073945</v>
      </c>
      <c r="G33" s="115">
        <f t="shared" si="10"/>
        <v>45.110374379041644</v>
      </c>
      <c r="H33" s="115">
        <f t="shared" si="10"/>
        <v>46.898963646818778</v>
      </c>
      <c r="I33" s="115">
        <f t="shared" si="10"/>
        <v>49.613832473416196</v>
      </c>
      <c r="J33" s="115">
        <f t="shared" si="10"/>
        <v>53.645641361855631</v>
      </c>
      <c r="K33" s="115">
        <f t="shared" si="10"/>
        <v>58.248641329298806</v>
      </c>
    </row>
    <row r="34" spans="2:23" x14ac:dyDescent="0.3">
      <c r="B34" s="111" t="s">
        <v>28</v>
      </c>
      <c r="C34" s="25">
        <f t="shared" si="11"/>
        <v>63.614999999999995</v>
      </c>
      <c r="D34" s="25">
        <f t="shared" si="11"/>
        <v>49.807000000000002</v>
      </c>
      <c r="E34" s="409">
        <f t="shared" si="12"/>
        <v>52.09</v>
      </c>
      <c r="F34" s="115">
        <f t="shared" si="10"/>
        <v>52.274698226151173</v>
      </c>
      <c r="G34" s="115">
        <f t="shared" si="10"/>
        <v>55.001731879277067</v>
      </c>
      <c r="H34" s="115">
        <f t="shared" si="10"/>
        <v>58.475676836751411</v>
      </c>
      <c r="I34" s="115">
        <f t="shared" si="10"/>
        <v>63.34081178914159</v>
      </c>
      <c r="J34" s="115">
        <f t="shared" si="10"/>
        <v>68.983255697306447</v>
      </c>
      <c r="K34" s="115">
        <f t="shared" si="10"/>
        <v>74.914629308251932</v>
      </c>
    </row>
    <row r="35" spans="2:23" x14ac:dyDescent="0.3">
      <c r="B35" s="111" t="s">
        <v>29</v>
      </c>
      <c r="C35" s="25">
        <f t="shared" si="11"/>
        <v>23.724</v>
      </c>
      <c r="D35" s="25">
        <f t="shared" si="11"/>
        <v>22.257999999999999</v>
      </c>
      <c r="E35" s="409">
        <f t="shared" si="12"/>
        <v>23.780999999999999</v>
      </c>
      <c r="F35" s="115">
        <f t="shared" ref="F35:K35" si="13">$D35*R24</f>
        <v>23.360777262587039</v>
      </c>
      <c r="G35" s="115">
        <f t="shared" si="13"/>
        <v>24.579447631235546</v>
      </c>
      <c r="H35" s="115">
        <f t="shared" si="13"/>
        <v>26.131901440207457</v>
      </c>
      <c r="I35" s="115">
        <f t="shared" si="13"/>
        <v>28.306057156679049</v>
      </c>
      <c r="J35" s="115">
        <f t="shared" si="13"/>
        <v>30.82758056720234</v>
      </c>
      <c r="K35" s="115">
        <f t="shared" si="13"/>
        <v>33.478222321020567</v>
      </c>
    </row>
    <row r="36" spans="2:23" x14ac:dyDescent="0.3">
      <c r="B36" s="5" t="s">
        <v>30</v>
      </c>
      <c r="C36" s="8">
        <f t="shared" ref="C36:D36" si="14">SUM(C30:C35)</f>
        <v>214.27599999999995</v>
      </c>
      <c r="D36" s="8">
        <f t="shared" si="14"/>
        <v>192.33600000000004</v>
      </c>
      <c r="E36" s="409">
        <f t="shared" si="12"/>
        <v>199.68700000000001</v>
      </c>
      <c r="F36" s="8">
        <f t="shared" ref="F36:K36" si="15">SUM(F30:F35)</f>
        <v>189.81884747287992</v>
      </c>
      <c r="G36" s="8">
        <f t="shared" si="15"/>
        <v>194.94130262435522</v>
      </c>
      <c r="H36" s="8">
        <f t="shared" si="15"/>
        <v>202.92842289208275</v>
      </c>
      <c r="I36" s="8">
        <f t="shared" si="15"/>
        <v>214.28979016819832</v>
      </c>
      <c r="J36" s="8">
        <f t="shared" si="15"/>
        <v>228.96000456124818</v>
      </c>
      <c r="K36" s="8">
        <f t="shared" si="15"/>
        <v>245.27068658778751</v>
      </c>
    </row>
    <row r="37" spans="2:23" x14ac:dyDescent="0.3">
      <c r="B37" s="112" t="s">
        <v>31</v>
      </c>
      <c r="C37" s="25">
        <f>G13</f>
        <v>114.88200000000001</v>
      </c>
      <c r="D37" s="25">
        <f>H13</f>
        <v>101.443</v>
      </c>
      <c r="E37" s="409">
        <f t="shared" si="12"/>
        <v>108.227</v>
      </c>
      <c r="F37" s="115">
        <f t="shared" ref="F37:K37" si="16">$D37*L26</f>
        <v>114.07709031300605</v>
      </c>
      <c r="G37" s="115">
        <f t="shared" si="16"/>
        <v>117.30882926786353</v>
      </c>
      <c r="H37" s="115">
        <f t="shared" si="16"/>
        <v>121.98493624758126</v>
      </c>
      <c r="I37" s="115">
        <f t="shared" si="16"/>
        <v>127.46802251378823</v>
      </c>
      <c r="J37" s="115">
        <f t="shared" si="16"/>
        <v>134.81295783795625</v>
      </c>
      <c r="K37" s="115">
        <f t="shared" si="16"/>
        <v>143.1910367337596</v>
      </c>
    </row>
    <row r="38" spans="2:23" x14ac:dyDescent="0.3">
      <c r="F38" s="116">
        <f t="shared" ref="F38:K38" si="17">$D36*L25</f>
        <v>191.69941876354798</v>
      </c>
      <c r="G38" s="116">
        <f t="shared" si="17"/>
        <v>198.12318320553797</v>
      </c>
      <c r="H38" s="116">
        <f t="shared" si="17"/>
        <v>207.19615177522653</v>
      </c>
      <c r="I38" s="116">
        <f t="shared" si="17"/>
        <v>219.78660463722841</v>
      </c>
      <c r="J38" s="116">
        <f t="shared" si="17"/>
        <v>235.66217796413883</v>
      </c>
      <c r="K38" s="116">
        <f t="shared" si="17"/>
        <v>253.17908139192065</v>
      </c>
    </row>
    <row r="42" spans="2:23" x14ac:dyDescent="0.3">
      <c r="B42" s="431"/>
      <c r="C42" s="431"/>
      <c r="D42" s="674" t="s">
        <v>99</v>
      </c>
      <c r="E42" s="674"/>
      <c r="F42" s="674"/>
      <c r="G42" s="674"/>
      <c r="H42" s="674"/>
      <c r="I42" s="674"/>
      <c r="J42" s="674"/>
      <c r="K42" s="674"/>
      <c r="L42" s="673" t="s">
        <v>1028</v>
      </c>
      <c r="M42" s="673"/>
      <c r="N42" s="673"/>
      <c r="O42" s="673"/>
      <c r="P42" s="673"/>
      <c r="Q42" s="673"/>
      <c r="R42" s="673" t="s">
        <v>1029</v>
      </c>
      <c r="S42" s="673"/>
      <c r="T42" s="673"/>
      <c r="U42" s="673"/>
      <c r="V42" s="673"/>
      <c r="W42" s="673"/>
    </row>
    <row r="43" spans="2:23" x14ac:dyDescent="0.3">
      <c r="B43" s="431" t="s">
        <v>4</v>
      </c>
      <c r="C43" s="431"/>
      <c r="D43" s="466">
        <v>2020</v>
      </c>
      <c r="E43" s="466">
        <v>2021</v>
      </c>
      <c r="F43" s="466">
        <v>2025</v>
      </c>
      <c r="G43" s="466">
        <v>2030</v>
      </c>
      <c r="H43" s="466">
        <v>2035</v>
      </c>
      <c r="I43" s="466">
        <v>2040</v>
      </c>
      <c r="J43" s="466">
        <v>2045</v>
      </c>
      <c r="K43" s="467">
        <v>2050</v>
      </c>
      <c r="L43" s="113">
        <v>2025</v>
      </c>
      <c r="M43" s="113">
        <v>2030</v>
      </c>
      <c r="N43" s="113">
        <v>2035</v>
      </c>
      <c r="O43" s="113">
        <v>2040</v>
      </c>
      <c r="P43" s="113">
        <v>2045</v>
      </c>
      <c r="Q43" s="114">
        <v>2050</v>
      </c>
      <c r="R43" s="113">
        <v>2025</v>
      </c>
      <c r="S43" s="113">
        <v>2030</v>
      </c>
      <c r="T43" s="113">
        <v>2035</v>
      </c>
      <c r="U43" s="113">
        <v>2040</v>
      </c>
      <c r="V43" s="113">
        <v>2045</v>
      </c>
      <c r="W43" s="114">
        <v>2050</v>
      </c>
    </row>
    <row r="44" spans="2:23" x14ac:dyDescent="0.3">
      <c r="B44" s="468" t="s">
        <v>24</v>
      </c>
      <c r="C44" s="431"/>
      <c r="D44" s="469">
        <v>4.5536260003285314</v>
      </c>
      <c r="E44" s="469">
        <v>8.696205581408222</v>
      </c>
      <c r="F44" s="469">
        <v>8.9985192312413584</v>
      </c>
      <c r="G44" s="469">
        <v>9.3864057382032406</v>
      </c>
      <c r="H44" s="469">
        <v>9.4173454504052465</v>
      </c>
      <c r="I44" s="469">
        <v>9.9023294774900794</v>
      </c>
      <c r="J44" s="469">
        <v>10.623724785764628</v>
      </c>
      <c r="K44" s="469">
        <v>11.436377415421227</v>
      </c>
      <c r="L44" s="115">
        <f>F44/$E44</f>
        <v>1.0347638572942042</v>
      </c>
      <c r="M44" s="115">
        <f t="shared" ref="M44:Q44" si="18">G44/$E44</f>
        <v>1.0793679669062344</v>
      </c>
      <c r="N44" s="115">
        <f t="shared" si="18"/>
        <v>1.0829258073818726</v>
      </c>
      <c r="O44" s="115">
        <f t="shared" si="18"/>
        <v>1.1386954212145641</v>
      </c>
      <c r="P44" s="115">
        <f t="shared" si="18"/>
        <v>1.2216506022439586</v>
      </c>
      <c r="Q44" s="115">
        <f t="shared" si="18"/>
        <v>1.3150997073794195</v>
      </c>
      <c r="R44" s="115">
        <f>L44+0.019</f>
        <v>1.0537638572942041</v>
      </c>
      <c r="S44" s="115">
        <f>M44+0.028</f>
        <v>1.1073679669062344</v>
      </c>
      <c r="T44" s="115">
        <f>N44+0.039</f>
        <v>1.1219258073818725</v>
      </c>
      <c r="U44" s="115">
        <f>O44+0.056</f>
        <v>1.1946954212145642</v>
      </c>
      <c r="V44" s="115">
        <f>P44+0.074</f>
        <v>1.2956506022439587</v>
      </c>
      <c r="W44" s="115">
        <f>Q44+0.091</f>
        <v>1.4060997073794195</v>
      </c>
    </row>
    <row r="45" spans="2:23" x14ac:dyDescent="0.3">
      <c r="B45" s="468" t="s">
        <v>25</v>
      </c>
      <c r="C45" s="431"/>
      <c r="D45" s="469">
        <v>51.129802151779295</v>
      </c>
      <c r="E45" s="469">
        <v>53.025614848895074</v>
      </c>
      <c r="F45" s="469">
        <v>53.554881972724893</v>
      </c>
      <c r="G45" s="469">
        <v>56.623340755333793</v>
      </c>
      <c r="H45" s="469">
        <v>57.755283360962643</v>
      </c>
      <c r="I45" s="469">
        <v>61.726252915800707</v>
      </c>
      <c r="J45" s="469">
        <v>66.704070340435479</v>
      </c>
      <c r="K45" s="469">
        <v>71.933908931238989</v>
      </c>
      <c r="L45" s="115">
        <f t="shared" ref="L45:L50" si="19">F45/$E45</f>
        <v>1.0099813481717854</v>
      </c>
      <c r="M45" s="115">
        <f t="shared" ref="M45:M50" si="20">G45/$E45</f>
        <v>1.0678488296022783</v>
      </c>
      <c r="N45" s="115">
        <f t="shared" ref="N45:N50" si="21">H45/$E45</f>
        <v>1.0891959202273376</v>
      </c>
      <c r="O45" s="115">
        <f t="shared" ref="O45:O50" si="22">I45/$E45</f>
        <v>1.1640836809096788</v>
      </c>
      <c r="P45" s="115">
        <f t="shared" ref="P45:P50" si="23">J45/$E45</f>
        <v>1.2579593943515666</v>
      </c>
      <c r="Q45" s="115">
        <f t="shared" ref="Q45:Q50" si="24">K45/$E45</f>
        <v>1.3565879271032708</v>
      </c>
      <c r="R45" s="115">
        <f>L45+0.019</f>
        <v>1.0289813481717853</v>
      </c>
      <c r="S45" s="115">
        <f>M45+0.028</f>
        <v>1.0958488296022784</v>
      </c>
      <c r="T45" s="115">
        <f>N45+0.039</f>
        <v>1.1281959202273375</v>
      </c>
      <c r="U45" s="115">
        <f>O45+0.056</f>
        <v>1.2200836809096789</v>
      </c>
      <c r="V45" s="115">
        <f>P45+0.074</f>
        <v>1.3319593943515666</v>
      </c>
      <c r="W45" s="115">
        <f>Q45+0.091</f>
        <v>1.4475879271032708</v>
      </c>
    </row>
    <row r="46" spans="2:23" x14ac:dyDescent="0.3">
      <c r="B46" s="468" t="s">
        <v>26</v>
      </c>
      <c r="C46" s="431"/>
      <c r="D46" s="469">
        <v>9.4763689952277304</v>
      </c>
      <c r="E46" s="469">
        <v>9.6003546676455063</v>
      </c>
      <c r="F46" s="469">
        <v>9.8241243036221011</v>
      </c>
      <c r="G46" s="469">
        <v>9.9846511131997939</v>
      </c>
      <c r="H46" s="469">
        <v>10.086062280608015</v>
      </c>
      <c r="I46" s="469">
        <v>10.429099242547808</v>
      </c>
      <c r="J46" s="469">
        <v>10.917186667909565</v>
      </c>
      <c r="K46" s="469">
        <v>11.561557742539293</v>
      </c>
      <c r="L46" s="115">
        <f t="shared" si="19"/>
        <v>1.0233084759598234</v>
      </c>
      <c r="M46" s="115">
        <f t="shared" si="20"/>
        <v>1.04002940087718</v>
      </c>
      <c r="N46" s="115">
        <f t="shared" si="21"/>
        <v>1.0505926738935396</v>
      </c>
      <c r="O46" s="115">
        <f t="shared" si="22"/>
        <v>1.0863243706709382</v>
      </c>
      <c r="P46" s="115">
        <f t="shared" si="23"/>
        <v>1.1371649325312909</v>
      </c>
      <c r="Q46" s="115">
        <f t="shared" si="24"/>
        <v>1.2042844397721375</v>
      </c>
      <c r="R46" s="115">
        <f>L46+0.019</f>
        <v>1.0423084759598233</v>
      </c>
      <c r="S46" s="115">
        <f>M46+0.028</f>
        <v>1.06802940087718</v>
      </c>
      <c r="T46" s="115">
        <f>N46+0.039</f>
        <v>1.0895926738935395</v>
      </c>
      <c r="U46" s="115">
        <f>O46+0.056</f>
        <v>1.1423243706709383</v>
      </c>
      <c r="V46" s="115">
        <f>P46+0.074</f>
        <v>1.211164932531291</v>
      </c>
      <c r="W46" s="115">
        <f>Q46+0.091</f>
        <v>1.2952844397721375</v>
      </c>
    </row>
    <row r="47" spans="2:23" x14ac:dyDescent="0.3">
      <c r="B47" s="468" t="s">
        <v>27</v>
      </c>
      <c r="C47" s="431"/>
      <c r="D47" s="469">
        <v>54.703848435747197</v>
      </c>
      <c r="E47" s="469">
        <v>51.664645030110087</v>
      </c>
      <c r="F47" s="469">
        <v>53.787514651687459</v>
      </c>
      <c r="G47" s="469">
        <v>57.871473015221156</v>
      </c>
      <c r="H47" s="469">
        <v>61.635581569083918</v>
      </c>
      <c r="I47" s="469">
        <v>66.279039619635626</v>
      </c>
      <c r="J47" s="469">
        <v>71.349192931795045</v>
      </c>
      <c r="K47" s="469">
        <v>76.70040049289149</v>
      </c>
      <c r="L47" s="115">
        <f t="shared" si="19"/>
        <v>1.0410894068920857</v>
      </c>
      <c r="M47" s="115">
        <f t="shared" si="20"/>
        <v>1.1201368553194111</v>
      </c>
      <c r="N47" s="115">
        <f t="shared" si="21"/>
        <v>1.1929934200295538</v>
      </c>
      <c r="O47" s="115">
        <f t="shared" si="22"/>
        <v>1.2828703183968124</v>
      </c>
      <c r="P47" s="115">
        <f t="shared" si="23"/>
        <v>1.3810061578902328</v>
      </c>
      <c r="Q47" s="115">
        <f t="shared" si="24"/>
        <v>1.4845819698981886</v>
      </c>
      <c r="R47" s="115">
        <f>L47+0.019</f>
        <v>1.0600894068920856</v>
      </c>
      <c r="S47" s="115">
        <f>M47+0.028</f>
        <v>1.1481368553194111</v>
      </c>
      <c r="T47" s="115">
        <f>N47+0.039</f>
        <v>1.2319934200295537</v>
      </c>
      <c r="U47" s="115">
        <f>O47+0.056</f>
        <v>1.3388703183968125</v>
      </c>
      <c r="V47" s="115">
        <f>P47+0.074</f>
        <v>1.4550061578902329</v>
      </c>
      <c r="W47" s="115">
        <f>Q47+0.091</f>
        <v>1.5755819698981886</v>
      </c>
    </row>
    <row r="48" spans="2:23" x14ac:dyDescent="0.3">
      <c r="B48" s="468" t="s">
        <v>103</v>
      </c>
      <c r="C48" s="431"/>
      <c r="D48" s="469">
        <v>151.84077137234746</v>
      </c>
      <c r="E48" s="469">
        <v>158.22490354416772</v>
      </c>
      <c r="F48" s="469">
        <f>155.743884230057+10</f>
        <v>165.74388423005701</v>
      </c>
      <c r="G48" s="469">
        <f>159.152760068077+20</f>
        <v>179.15276006807699</v>
      </c>
      <c r="H48" s="469">
        <f>166.258110018082+25</f>
        <v>191.25811001808199</v>
      </c>
      <c r="I48" s="469">
        <f>175.402166636747+30</f>
        <v>205.40216663674701</v>
      </c>
      <c r="J48" s="469">
        <f>186.930832056265+35</f>
        <v>221.93083205626499</v>
      </c>
      <c r="K48" s="469">
        <f>200.702596014233+40</f>
        <v>240.702596014233</v>
      </c>
      <c r="L48" s="115">
        <f t="shared" si="19"/>
        <v>1.0475208422787277</v>
      </c>
      <c r="M48" s="115">
        <f>G48/$E48</f>
        <v>1.1322665146581514</v>
      </c>
      <c r="N48" s="115">
        <f t="shared" si="21"/>
        <v>1.2087737501112978</v>
      </c>
      <c r="O48" s="115">
        <f t="shared" si="22"/>
        <v>1.2981658514925876</v>
      </c>
      <c r="P48" s="115">
        <f t="shared" si="23"/>
        <v>1.402628960960713</v>
      </c>
      <c r="Q48" s="115">
        <f t="shared" si="24"/>
        <v>1.521268717013577</v>
      </c>
      <c r="R48" s="115">
        <f>L48+0.019</f>
        <v>1.0665208422787276</v>
      </c>
      <c r="S48" s="115">
        <f>M48+0.028</f>
        <v>1.1602665146581514</v>
      </c>
      <c r="T48" s="115">
        <f>N48+0.039</f>
        <v>1.2477737501112978</v>
      </c>
      <c r="U48" s="115">
        <f>O48+0.056</f>
        <v>1.3541658514925876</v>
      </c>
      <c r="V48" s="115">
        <f>P48+0.074</f>
        <v>1.4766289609607131</v>
      </c>
      <c r="W48" s="115">
        <f>Q48+0.091</f>
        <v>1.612268717013577</v>
      </c>
    </row>
    <row r="49" spans="2:23" x14ac:dyDescent="0.3">
      <c r="B49" s="431" t="s">
        <v>104</v>
      </c>
      <c r="C49" s="431"/>
      <c r="D49" s="469">
        <v>235.28543893824954</v>
      </c>
      <c r="E49" s="469">
        <v>244.9088691661444</v>
      </c>
      <c r="F49" s="469">
        <f>247.641076658578+10</f>
        <v>257.64107665857796</v>
      </c>
      <c r="G49" s="469">
        <f>260.18350977233+20</f>
        <v>280.18350977233001</v>
      </c>
      <c r="H49" s="469">
        <f>275.001440116495+25</f>
        <v>300.00144011649502</v>
      </c>
      <c r="I49" s="469">
        <f>294.714620653535+30</f>
        <v>324.71462065353501</v>
      </c>
      <c r="J49" s="469">
        <f>319.325086346737+35</f>
        <v>354.32508634673701</v>
      </c>
      <c r="K49" s="469">
        <f>345.785256698598+40</f>
        <v>385.785256698598</v>
      </c>
      <c r="L49" s="115">
        <f t="shared" si="19"/>
        <v>1.0519875312632967</v>
      </c>
      <c r="M49" s="115">
        <f t="shared" si="20"/>
        <v>1.1440316993267221</v>
      </c>
      <c r="N49" s="115">
        <f t="shared" si="21"/>
        <v>1.2249513100032985</v>
      </c>
      <c r="O49" s="115">
        <f t="shared" si="22"/>
        <v>1.325858968518004</v>
      </c>
      <c r="P49" s="115">
        <f t="shared" si="23"/>
        <v>1.4467629839340994</v>
      </c>
      <c r="Q49" s="115">
        <f t="shared" si="24"/>
        <v>1.5752196235771441</v>
      </c>
      <c r="R49" s="115"/>
      <c r="S49" s="115"/>
      <c r="T49" s="115"/>
      <c r="U49" s="115"/>
      <c r="V49" s="115"/>
      <c r="W49" s="115"/>
    </row>
    <row r="50" spans="2:23" x14ac:dyDescent="0.3">
      <c r="B50" s="468" t="s">
        <v>31</v>
      </c>
      <c r="C50" s="431"/>
      <c r="D50" s="469">
        <v>112.21961327195284</v>
      </c>
      <c r="E50" s="469">
        <v>123.89472068103373</v>
      </c>
      <c r="F50" s="469">
        <v>128.10455857574686</v>
      </c>
      <c r="G50" s="469">
        <v>127.76635413744306</v>
      </c>
      <c r="H50" s="469">
        <v>126.25406749757285</v>
      </c>
      <c r="I50" s="469">
        <v>126.69314070361733</v>
      </c>
      <c r="J50" s="469">
        <v>128.80266890640144</v>
      </c>
      <c r="K50" s="469">
        <v>133.59533464261685</v>
      </c>
      <c r="L50" s="115">
        <f t="shared" si="19"/>
        <v>1.0339791548144439</v>
      </c>
      <c r="M50" s="115">
        <f t="shared" si="20"/>
        <v>1.0312493820166626</v>
      </c>
      <c r="N50" s="115">
        <f t="shared" si="21"/>
        <v>1.0190431586073248</v>
      </c>
      <c r="O50" s="115">
        <f t="shared" si="22"/>
        <v>1.0225870804437915</v>
      </c>
      <c r="P50" s="115">
        <f t="shared" si="23"/>
        <v>1.0396138608520955</v>
      </c>
      <c r="Q50" s="115">
        <f t="shared" si="24"/>
        <v>1.0782972342022328</v>
      </c>
      <c r="R50" s="115">
        <f t="shared" ref="R50:W50" si="25">L50/$D50</f>
        <v>9.2138898421321447E-3</v>
      </c>
      <c r="S50" s="115">
        <f t="shared" si="25"/>
        <v>9.1895645685173988E-3</v>
      </c>
      <c r="T50" s="115">
        <f t="shared" si="25"/>
        <v>9.0807937123947944E-3</v>
      </c>
      <c r="U50" s="115">
        <f t="shared" si="25"/>
        <v>9.1123739480874488E-3</v>
      </c>
      <c r="V50" s="115">
        <f t="shared" si="25"/>
        <v>9.2641012612714752E-3</v>
      </c>
      <c r="W50" s="115">
        <f t="shared" si="25"/>
        <v>9.6088126020278559E-3</v>
      </c>
    </row>
    <row r="51" spans="2:23" x14ac:dyDescent="0.3">
      <c r="B51" s="431"/>
      <c r="C51" s="431"/>
      <c r="D51" s="431"/>
      <c r="E51" s="431"/>
      <c r="F51" s="431"/>
      <c r="G51" s="431"/>
      <c r="H51" s="431"/>
      <c r="I51" s="431"/>
      <c r="J51" s="431"/>
      <c r="K51" s="431"/>
    </row>
    <row r="52" spans="2:23" x14ac:dyDescent="0.3">
      <c r="B52" s="431"/>
      <c r="C52" s="431"/>
      <c r="D52" s="431"/>
      <c r="E52" s="431"/>
      <c r="F52" s="431"/>
      <c r="G52" s="431"/>
      <c r="H52" s="431"/>
      <c r="I52" s="431"/>
      <c r="J52" s="431"/>
      <c r="K52" s="431"/>
    </row>
    <row r="53" spans="2:23" x14ac:dyDescent="0.3">
      <c r="B53" s="431" t="s">
        <v>102</v>
      </c>
      <c r="C53" s="470">
        <v>2019</v>
      </c>
      <c r="D53" s="470">
        <v>2020</v>
      </c>
      <c r="E53" s="471">
        <v>2021</v>
      </c>
      <c r="F53" s="466">
        <v>2025</v>
      </c>
      <c r="G53" s="466">
        <v>2030</v>
      </c>
      <c r="H53" s="466">
        <v>2035</v>
      </c>
      <c r="I53" s="466">
        <v>2040</v>
      </c>
      <c r="J53" s="466">
        <v>2045</v>
      </c>
      <c r="K53" s="467">
        <v>2050</v>
      </c>
    </row>
    <row r="54" spans="2:23" x14ac:dyDescent="0.3">
      <c r="B54" s="468" t="s">
        <v>24</v>
      </c>
      <c r="C54" s="472">
        <f>G6</f>
        <v>25.805</v>
      </c>
      <c r="D54" s="472">
        <f>H6</f>
        <v>22.829000000000001</v>
      </c>
      <c r="E54" s="473">
        <f>I6</f>
        <v>24.457000000000001</v>
      </c>
      <c r="F54" s="469">
        <f>$E54*R44</f>
        <v>25.77190265784435</v>
      </c>
      <c r="G54" s="469">
        <f t="shared" ref="G54:K54" si="26">$E54*S44</f>
        <v>27.082898366625777</v>
      </c>
      <c r="H54" s="469">
        <f t="shared" si="26"/>
        <v>27.438939471138458</v>
      </c>
      <c r="I54" s="469">
        <f t="shared" si="26"/>
        <v>29.218665916644596</v>
      </c>
      <c r="J54" s="469">
        <f t="shared" si="26"/>
        <v>31.687726779080499</v>
      </c>
      <c r="K54" s="469">
        <f t="shared" si="26"/>
        <v>34.388980543378466</v>
      </c>
    </row>
    <row r="55" spans="2:23" x14ac:dyDescent="0.3">
      <c r="B55" s="468" t="s">
        <v>25</v>
      </c>
      <c r="C55" s="472">
        <f t="shared" ref="C55:D59" si="27">G7</f>
        <v>47.174999999999997</v>
      </c>
      <c r="D55" s="472">
        <f t="shared" si="27"/>
        <v>45.88900000000001</v>
      </c>
      <c r="E55" s="473">
        <f t="shared" ref="E55:E61" si="28">I7</f>
        <v>46.328000000000003</v>
      </c>
      <c r="F55" s="469">
        <f>$E55*R45</f>
        <v>47.670647898102473</v>
      </c>
      <c r="G55" s="469">
        <f t="shared" ref="G55:K55" si="29">$E55*S45</f>
        <v>50.768484577814355</v>
      </c>
      <c r="H55" s="469">
        <f t="shared" si="29"/>
        <v>52.267060592292097</v>
      </c>
      <c r="I55" s="469">
        <f t="shared" si="29"/>
        <v>56.52403676918361</v>
      </c>
      <c r="J55" s="469">
        <f t="shared" si="29"/>
        <v>61.70701482151938</v>
      </c>
      <c r="K55" s="469">
        <f t="shared" si="29"/>
        <v>67.06385348684033</v>
      </c>
    </row>
    <row r="56" spans="2:23" x14ac:dyDescent="0.3">
      <c r="B56" s="468" t="s">
        <v>26</v>
      </c>
      <c r="C56" s="472">
        <f t="shared" si="27"/>
        <v>8.359</v>
      </c>
      <c r="D56" s="472">
        <f t="shared" si="27"/>
        <v>7.4640000000000004</v>
      </c>
      <c r="E56" s="473">
        <f t="shared" si="28"/>
        <v>8.1720000000000006</v>
      </c>
      <c r="F56" s="469">
        <f>$E56*R46</f>
        <v>8.5177448655436763</v>
      </c>
      <c r="G56" s="469">
        <f t="shared" ref="G56:K56" si="30">$E56*S46</f>
        <v>8.7279362639683153</v>
      </c>
      <c r="H56" s="469">
        <f t="shared" si="30"/>
        <v>8.9041513310580065</v>
      </c>
      <c r="I56" s="469">
        <f t="shared" si="30"/>
        <v>9.3350747571229089</v>
      </c>
      <c r="J56" s="469">
        <f t="shared" si="30"/>
        <v>9.8976398286457101</v>
      </c>
      <c r="K56" s="469">
        <f t="shared" si="30"/>
        <v>10.585064441817908</v>
      </c>
    </row>
    <row r="57" spans="2:23" x14ac:dyDescent="0.3">
      <c r="B57" s="468" t="s">
        <v>27</v>
      </c>
      <c r="C57" s="472">
        <f t="shared" si="27"/>
        <v>45.597999999999999</v>
      </c>
      <c r="D57" s="472">
        <f t="shared" si="27"/>
        <v>44.088999999999999</v>
      </c>
      <c r="E57" s="473">
        <f t="shared" si="28"/>
        <v>44.859000000000002</v>
      </c>
      <c r="F57" s="469">
        <f>$E57*R47</f>
        <v>47.554550703772072</v>
      </c>
      <c r="G57" s="469">
        <f t="shared" ref="G57:K57" si="31">$E57*S47</f>
        <v>51.504271192773466</v>
      </c>
      <c r="H57" s="469">
        <f t="shared" si="31"/>
        <v>55.265992829105748</v>
      </c>
      <c r="I57" s="469">
        <f t="shared" si="31"/>
        <v>60.06038361296261</v>
      </c>
      <c r="J57" s="469">
        <f t="shared" si="31"/>
        <v>65.270121236797962</v>
      </c>
      <c r="K57" s="469">
        <f t="shared" si="31"/>
        <v>70.679031587662848</v>
      </c>
    </row>
    <row r="58" spans="2:23" x14ac:dyDescent="0.3">
      <c r="B58" s="468" t="s">
        <v>28</v>
      </c>
      <c r="C58" s="472">
        <f t="shared" si="27"/>
        <v>63.614999999999995</v>
      </c>
      <c r="D58" s="472">
        <f t="shared" si="27"/>
        <v>49.807000000000002</v>
      </c>
      <c r="E58" s="473">
        <f t="shared" si="28"/>
        <v>52.09</v>
      </c>
      <c r="F58" s="469">
        <f>$E58*R48</f>
        <v>55.555070674298925</v>
      </c>
      <c r="G58" s="469">
        <f t="shared" ref="G58:K58" si="32">$E58*S48</f>
        <v>60.438282748543116</v>
      </c>
      <c r="H58" s="469">
        <f t="shared" si="32"/>
        <v>64.996534643297508</v>
      </c>
      <c r="I58" s="469">
        <f t="shared" si="32"/>
        <v>70.538499204248893</v>
      </c>
      <c r="J58" s="469">
        <f t="shared" si="32"/>
        <v>76.917602576443542</v>
      </c>
      <c r="K58" s="469">
        <f t="shared" si="32"/>
        <v>83.98307746923723</v>
      </c>
    </row>
    <row r="59" spans="2:23" x14ac:dyDescent="0.3">
      <c r="B59" s="468" t="s">
        <v>29</v>
      </c>
      <c r="C59" s="472">
        <f t="shared" si="27"/>
        <v>23.724</v>
      </c>
      <c r="D59" s="472">
        <f t="shared" si="27"/>
        <v>22.257999999999999</v>
      </c>
      <c r="E59" s="473">
        <f t="shared" si="28"/>
        <v>23.780999999999999</v>
      </c>
      <c r="F59" s="469">
        <f>$E59*R48</f>
        <v>25.362932150230417</v>
      </c>
      <c r="G59" s="469">
        <f t="shared" ref="G59:K59" si="33">$E59*S48</f>
        <v>27.592297985085498</v>
      </c>
      <c r="H59" s="469">
        <f t="shared" si="33"/>
        <v>29.673307551396771</v>
      </c>
      <c r="I59" s="469">
        <f t="shared" si="33"/>
        <v>32.203418114345226</v>
      </c>
      <c r="J59" s="469">
        <f t="shared" si="33"/>
        <v>35.115713320606716</v>
      </c>
      <c r="K59" s="469">
        <f t="shared" si="33"/>
        <v>38.341362359299872</v>
      </c>
      <c r="L59" s="38" t="s">
        <v>1030</v>
      </c>
    </row>
    <row r="60" spans="2:23" x14ac:dyDescent="0.3">
      <c r="B60" s="470" t="s">
        <v>105</v>
      </c>
      <c r="C60" s="474">
        <f t="shared" ref="C60:K60" si="34">SUM(C54:C59)</f>
        <v>214.27599999999995</v>
      </c>
      <c r="D60" s="474">
        <f t="shared" si="34"/>
        <v>192.33600000000004</v>
      </c>
      <c r="E60" s="474">
        <f t="shared" si="34"/>
        <v>199.68700000000001</v>
      </c>
      <c r="F60" s="474">
        <f t="shared" si="34"/>
        <v>210.43284894979192</v>
      </c>
      <c r="G60" s="474">
        <f t="shared" si="34"/>
        <v>226.11417113481053</v>
      </c>
      <c r="H60" s="474">
        <f t="shared" si="34"/>
        <v>238.54598641828858</v>
      </c>
      <c r="I60" s="474">
        <f t="shared" si="34"/>
        <v>257.88007837450783</v>
      </c>
      <c r="J60" s="474">
        <f t="shared" si="34"/>
        <v>280.59581856309376</v>
      </c>
      <c r="K60" s="474">
        <f t="shared" si="34"/>
        <v>305.04136988823666</v>
      </c>
    </row>
    <row r="61" spans="2:23" x14ac:dyDescent="0.3">
      <c r="B61" s="475" t="s">
        <v>31</v>
      </c>
      <c r="C61" s="472">
        <f>G13</f>
        <v>114.88200000000001</v>
      </c>
      <c r="D61" s="472">
        <f>H13</f>
        <v>101.443</v>
      </c>
      <c r="E61" s="473">
        <f t="shared" si="28"/>
        <v>108.227</v>
      </c>
      <c r="F61" s="469">
        <f>$E61*L50</f>
        <v>111.90446198810282</v>
      </c>
      <c r="G61" s="469">
        <f t="shared" ref="G61:K61" si="35">$E61*M50</f>
        <v>111.60902686751734</v>
      </c>
      <c r="H61" s="469">
        <f t="shared" si="35"/>
        <v>110.28798392659493</v>
      </c>
      <c r="I61" s="469">
        <f t="shared" si="35"/>
        <v>110.67153195519023</v>
      </c>
      <c r="J61" s="469">
        <f t="shared" si="35"/>
        <v>112.51428931843975</v>
      </c>
      <c r="K61" s="469">
        <f t="shared" si="35"/>
        <v>116.70087476600506</v>
      </c>
    </row>
    <row r="62" spans="2:23" x14ac:dyDescent="0.3">
      <c r="F62" s="116">
        <f t="shared" ref="F62:K62" si="36">$D60*L49</f>
        <v>202.33507381305748</v>
      </c>
      <c r="G62" s="116">
        <f t="shared" si="36"/>
        <v>220.03848092170446</v>
      </c>
      <c r="H62" s="116">
        <f t="shared" si="36"/>
        <v>235.60223516079446</v>
      </c>
      <c r="I62" s="116">
        <f t="shared" si="36"/>
        <v>255.01041056887888</v>
      </c>
      <c r="J62" s="116">
        <f t="shared" si="36"/>
        <v>278.26460527794899</v>
      </c>
      <c r="K62" s="116">
        <f t="shared" si="36"/>
        <v>302.97144152033366</v>
      </c>
    </row>
    <row r="63" spans="2:23" x14ac:dyDescent="0.3">
      <c r="B63" s="38" t="s">
        <v>106</v>
      </c>
      <c r="C63" s="38">
        <f t="shared" ref="C63:K63" si="37">C60/$C60</f>
        <v>1</v>
      </c>
      <c r="D63" s="38">
        <f t="shared" si="37"/>
        <v>0.89760869159401935</v>
      </c>
      <c r="E63" s="38">
        <f t="shared" ref="E63" si="38">E60/$C60</f>
        <v>0.9319149134760778</v>
      </c>
      <c r="F63" s="38">
        <f t="shared" si="37"/>
        <v>0.98206448202221419</v>
      </c>
      <c r="G63" s="38">
        <f t="shared" si="37"/>
        <v>1.0552473031735266</v>
      </c>
      <c r="H63" s="38">
        <f t="shared" si="37"/>
        <v>1.1132650713019125</v>
      </c>
      <c r="I63" s="38">
        <f t="shared" si="37"/>
        <v>1.2034949241842665</v>
      </c>
      <c r="J63" s="38">
        <f t="shared" si="37"/>
        <v>1.3095065175899019</v>
      </c>
      <c r="K63" s="38">
        <f t="shared" si="37"/>
        <v>1.4235909289338831</v>
      </c>
    </row>
    <row r="64" spans="2:23" x14ac:dyDescent="0.3">
      <c r="B64" s="38" t="s">
        <v>107</v>
      </c>
      <c r="C64" s="38">
        <v>1</v>
      </c>
      <c r="D64" s="38">
        <v>0.87866105410226403</v>
      </c>
      <c r="F64" s="38">
        <v>1.0403239832145601</v>
      </c>
      <c r="G64" s="38">
        <v>1.0806995602577301</v>
      </c>
      <c r="H64" s="38">
        <v>1.13623483809699</v>
      </c>
      <c r="I64" s="38">
        <v>1.2212969159425799</v>
      </c>
      <c r="J64" s="38">
        <v>1.3223143634158401</v>
      </c>
      <c r="K64" s="38">
        <v>1.4280889824139</v>
      </c>
    </row>
    <row r="66" spans="2:25" x14ac:dyDescent="0.3">
      <c r="B66" s="661" t="s">
        <v>108</v>
      </c>
      <c r="C66" s="661"/>
      <c r="D66" s="661"/>
      <c r="E66" s="661"/>
      <c r="F66" s="661"/>
      <c r="H66" s="38" t="s">
        <v>109</v>
      </c>
    </row>
    <row r="67" spans="2:25" x14ac:dyDescent="0.3">
      <c r="H67" s="38" t="s">
        <v>110</v>
      </c>
    </row>
    <row r="69" spans="2:25" x14ac:dyDescent="0.3">
      <c r="B69" s="38" t="s">
        <v>111</v>
      </c>
      <c r="C69" s="38">
        <v>2019</v>
      </c>
      <c r="D69" s="54">
        <v>2020</v>
      </c>
      <c r="E69" s="54">
        <v>2021</v>
      </c>
      <c r="F69" s="54">
        <v>2025</v>
      </c>
      <c r="G69" s="38">
        <v>2030</v>
      </c>
      <c r="H69" s="54">
        <v>2035</v>
      </c>
      <c r="I69" s="54">
        <v>2040</v>
      </c>
      <c r="J69" s="54">
        <v>2045</v>
      </c>
      <c r="K69" s="38">
        <v>2050</v>
      </c>
      <c r="L69" s="38" t="s">
        <v>112</v>
      </c>
      <c r="O69" s="431" t="s">
        <v>113</v>
      </c>
      <c r="P69" s="431">
        <v>2019</v>
      </c>
      <c r="Q69" s="462">
        <v>2020</v>
      </c>
      <c r="R69" s="431">
        <v>2021</v>
      </c>
      <c r="S69" s="462">
        <v>2025</v>
      </c>
      <c r="T69" s="431">
        <v>2030</v>
      </c>
      <c r="U69" s="462">
        <v>2035</v>
      </c>
      <c r="V69" s="462">
        <v>2040</v>
      </c>
      <c r="W69" s="462">
        <v>2045</v>
      </c>
      <c r="X69" s="431">
        <v>2050</v>
      </c>
      <c r="Y69" s="52" t="s">
        <v>861</v>
      </c>
    </row>
    <row r="70" spans="2:25" x14ac:dyDescent="0.3">
      <c r="B70" s="36" t="s">
        <v>24</v>
      </c>
      <c r="C70" s="70">
        <v>0.92552547736913704</v>
      </c>
      <c r="D70" s="70">
        <v>0.9068413430628518</v>
      </c>
      <c r="E70" s="70">
        <v>0.92552547736913704</v>
      </c>
      <c r="F70" s="70">
        <v>0.81342067153142594</v>
      </c>
      <c r="G70" s="70">
        <v>0.72</v>
      </c>
      <c r="H70" s="70">
        <v>0.67500000000000004</v>
      </c>
      <c r="I70" s="70">
        <v>0.63</v>
      </c>
      <c r="J70" s="70">
        <v>0.58499999999999996</v>
      </c>
      <c r="K70" s="70">
        <v>0.54</v>
      </c>
      <c r="L70" s="38" t="s">
        <v>114</v>
      </c>
      <c r="O70" s="463" t="s">
        <v>24</v>
      </c>
      <c r="P70" s="442">
        <f>'A renseigner'!C51</f>
        <v>1</v>
      </c>
      <c r="Q70" s="442">
        <f>'A renseigner'!D51</f>
        <v>0.99354838709677418</v>
      </c>
      <c r="R70" s="442">
        <f>'A renseigner'!E51</f>
        <v>1</v>
      </c>
      <c r="S70" s="442">
        <f>'A renseigner'!F51</f>
        <v>0.98</v>
      </c>
      <c r="T70" s="442">
        <f>'A renseigner'!G51</f>
        <v>0.96</v>
      </c>
      <c r="U70" s="442">
        <f>'A renseigner'!H51</f>
        <v>0.94</v>
      </c>
      <c r="V70" s="442">
        <f>'A renseigner'!I51</f>
        <v>0.93</v>
      </c>
      <c r="W70" s="442">
        <f>'A renseigner'!J51</f>
        <v>0.92</v>
      </c>
      <c r="X70" s="442">
        <f>'A renseigner'!K51</f>
        <v>0.92</v>
      </c>
    </row>
    <row r="71" spans="2:25" x14ac:dyDescent="0.3">
      <c r="B71" s="36" t="s">
        <v>25</v>
      </c>
      <c r="C71" s="70">
        <v>1.0186421329141899</v>
      </c>
      <c r="D71" s="70">
        <v>1.0133110299219907</v>
      </c>
      <c r="E71" s="70">
        <v>1.0186421329141899</v>
      </c>
      <c r="F71" s="70">
        <v>0.98665551496099535</v>
      </c>
      <c r="G71" s="70">
        <v>0.96</v>
      </c>
      <c r="H71" s="70">
        <v>0.95</v>
      </c>
      <c r="I71" s="70">
        <v>0.94</v>
      </c>
      <c r="J71" s="70">
        <v>0.93</v>
      </c>
      <c r="K71" s="70">
        <v>0.92</v>
      </c>
      <c r="O71" s="463" t="s">
        <v>25</v>
      </c>
      <c r="P71" s="442">
        <f>'A renseigner'!C52</f>
        <v>1</v>
      </c>
      <c r="Q71" s="442">
        <f>'A renseigner'!D52</f>
        <v>0.99354838709677418</v>
      </c>
      <c r="R71" s="442">
        <f>'A renseigner'!E52</f>
        <v>1</v>
      </c>
      <c r="S71" s="442">
        <f>'A renseigner'!F52</f>
        <v>0.99</v>
      </c>
      <c r="T71" s="442">
        <f>'A renseigner'!G52</f>
        <v>0.98</v>
      </c>
      <c r="U71" s="442">
        <f>'A renseigner'!H52</f>
        <v>0.96</v>
      </c>
      <c r="V71" s="442">
        <f>'A renseigner'!I52</f>
        <v>0.94</v>
      </c>
      <c r="W71" s="442">
        <f>'A renseigner'!J52</f>
        <v>0.91999999999999993</v>
      </c>
      <c r="X71" s="442">
        <f>'A renseigner'!K52</f>
        <v>0.9</v>
      </c>
    </row>
    <row r="72" spans="2:25" x14ac:dyDescent="0.3">
      <c r="B72" s="36" t="s">
        <v>26</v>
      </c>
      <c r="C72" s="70">
        <v>0.733860088587031</v>
      </c>
      <c r="D72" s="70">
        <v>0.72169098962457368</v>
      </c>
      <c r="E72" s="70">
        <v>0.733860088587031</v>
      </c>
      <c r="F72" s="70">
        <v>0.66084549481228683</v>
      </c>
      <c r="G72" s="70">
        <v>0.6</v>
      </c>
      <c r="H72" s="70">
        <v>0.53500000000000003</v>
      </c>
      <c r="I72" s="70">
        <v>0.47</v>
      </c>
      <c r="J72" s="70">
        <v>0.40500000000000003</v>
      </c>
      <c r="K72" s="70">
        <v>0.34</v>
      </c>
      <c r="O72" s="463" t="s">
        <v>26</v>
      </c>
      <c r="P72" s="442">
        <f>'A renseigner'!C53</f>
        <v>1</v>
      </c>
      <c r="Q72" s="442">
        <f>'A renseigner'!D53</f>
        <v>0.99354838709677418</v>
      </c>
      <c r="R72" s="442">
        <f>'A renseigner'!E53</f>
        <v>1</v>
      </c>
      <c r="S72" s="442">
        <f>'A renseigner'!F53</f>
        <v>0.99</v>
      </c>
      <c r="T72" s="442">
        <f>'A renseigner'!G53</f>
        <v>0.98</v>
      </c>
      <c r="U72" s="442">
        <f>'A renseigner'!H53</f>
        <v>0.95500000000000007</v>
      </c>
      <c r="V72" s="442">
        <f>'A renseigner'!I53</f>
        <v>0.93</v>
      </c>
      <c r="W72" s="442">
        <f>'A renseigner'!J53</f>
        <v>0.91500000000000004</v>
      </c>
      <c r="X72" s="442">
        <f>'A renseigner'!K53</f>
        <v>0.9</v>
      </c>
    </row>
    <row r="73" spans="2:25" x14ac:dyDescent="0.3">
      <c r="B73" s="36" t="s">
        <v>27</v>
      </c>
      <c r="C73" s="70">
        <v>0.75483998978846301</v>
      </c>
      <c r="D73" s="70">
        <v>0.74621817253496636</v>
      </c>
      <c r="E73" s="70">
        <v>0.75483998978846301</v>
      </c>
      <c r="F73" s="70">
        <v>0.70310908626748325</v>
      </c>
      <c r="G73" s="70">
        <v>0.66</v>
      </c>
      <c r="H73" s="70">
        <v>0.6</v>
      </c>
      <c r="I73" s="70">
        <v>0.54</v>
      </c>
      <c r="J73" s="70">
        <v>0.48</v>
      </c>
      <c r="K73" s="70">
        <v>0.42</v>
      </c>
      <c r="O73" s="463" t="s">
        <v>27</v>
      </c>
      <c r="P73" s="442">
        <f>'A renseigner'!C54</f>
        <v>1</v>
      </c>
      <c r="Q73" s="442">
        <f>'A renseigner'!D54</f>
        <v>0.99354838709677418</v>
      </c>
      <c r="R73" s="442">
        <f>'A renseigner'!E54</f>
        <v>1</v>
      </c>
      <c r="S73" s="442">
        <f>'A renseigner'!F54</f>
        <v>0.98299999999999998</v>
      </c>
      <c r="T73" s="442">
        <f>'A renseigner'!G54</f>
        <v>0.95</v>
      </c>
      <c r="U73" s="442">
        <f>'A renseigner'!H54</f>
        <v>0.92500000000000004</v>
      </c>
      <c r="V73" s="442">
        <f>'A renseigner'!I54</f>
        <v>0.9</v>
      </c>
      <c r="W73" s="442">
        <f>'A renseigner'!J54</f>
        <v>0.9</v>
      </c>
      <c r="X73" s="442">
        <f>'A renseigner'!K54</f>
        <v>0.9</v>
      </c>
    </row>
    <row r="74" spans="2:25" x14ac:dyDescent="0.3">
      <c r="B74" s="36" t="s">
        <v>28</v>
      </c>
      <c r="C74" s="70">
        <v>0.84</v>
      </c>
      <c r="D74" s="70">
        <v>0.83181818181818179</v>
      </c>
      <c r="E74" s="70">
        <v>0.84</v>
      </c>
      <c r="F74" s="70">
        <v>0.79090909090909089</v>
      </c>
      <c r="G74" s="70">
        <v>0.75</v>
      </c>
      <c r="H74" s="70">
        <v>0.70250000000000001</v>
      </c>
      <c r="I74" s="70">
        <v>0.65500000000000003</v>
      </c>
      <c r="J74" s="70">
        <v>0.60750000000000004</v>
      </c>
      <c r="K74" s="70">
        <v>0.56000000000000005</v>
      </c>
      <c r="L74" s="38" t="s">
        <v>115</v>
      </c>
      <c r="O74" s="463" t="s">
        <v>28</v>
      </c>
      <c r="P74" s="442">
        <f>'A renseigner'!C55</f>
        <v>1</v>
      </c>
      <c r="Q74" s="442">
        <f>'A renseigner'!D55</f>
        <v>0.99354838709677418</v>
      </c>
      <c r="R74" s="442">
        <f>'A renseigner'!E55</f>
        <v>1</v>
      </c>
      <c r="S74" s="442">
        <f>'A renseigner'!F55</f>
        <v>0.98299999999999998</v>
      </c>
      <c r="T74" s="442">
        <f>'A renseigner'!G55</f>
        <v>0.95</v>
      </c>
      <c r="U74" s="442">
        <f>'A renseigner'!H55</f>
        <v>0.92500000000000004</v>
      </c>
      <c r="V74" s="442">
        <f>'A renseigner'!I55</f>
        <v>0.9</v>
      </c>
      <c r="W74" s="442">
        <f>'A renseigner'!J55</f>
        <v>0.875</v>
      </c>
      <c r="X74" s="442">
        <f>'A renseigner'!K55</f>
        <v>0.85</v>
      </c>
    </row>
    <row r="75" spans="2:25" x14ac:dyDescent="0.3">
      <c r="B75" s="36" t="s">
        <v>29</v>
      </c>
      <c r="C75" s="70">
        <v>0.8</v>
      </c>
      <c r="D75" s="70">
        <v>0.79272727272727272</v>
      </c>
      <c r="E75" s="70">
        <v>0.8</v>
      </c>
      <c r="F75" s="70">
        <v>0.75636363636363635</v>
      </c>
      <c r="G75" s="70">
        <v>0.72</v>
      </c>
      <c r="H75" s="70">
        <v>0.66749999999999998</v>
      </c>
      <c r="I75" s="70">
        <v>0.61499999999999999</v>
      </c>
      <c r="J75" s="70">
        <v>0.5625</v>
      </c>
      <c r="K75" s="70">
        <v>0.51</v>
      </c>
      <c r="L75" s="38" t="s">
        <v>116</v>
      </c>
      <c r="O75" s="463" t="s">
        <v>29</v>
      </c>
      <c r="P75" s="442">
        <f>'A renseigner'!C56</f>
        <v>1</v>
      </c>
      <c r="Q75" s="442">
        <f>'A renseigner'!D56</f>
        <v>0.99354838709677418</v>
      </c>
      <c r="R75" s="442">
        <f>'A renseigner'!E56</f>
        <v>1</v>
      </c>
      <c r="S75" s="442">
        <f>'A renseigner'!F56</f>
        <v>0.96129032258064517</v>
      </c>
      <c r="T75" s="442">
        <f>'A renseigner'!G56</f>
        <v>0.92903225806451617</v>
      </c>
      <c r="U75" s="442">
        <f>'A renseigner'!H56</f>
        <v>0.89677419354838717</v>
      </c>
      <c r="V75" s="442">
        <f>'A renseigner'!I56</f>
        <v>0.86451612903225805</v>
      </c>
      <c r="W75" s="442">
        <f>'A renseigner'!J56</f>
        <v>0.83225806451612905</v>
      </c>
      <c r="X75" s="442">
        <f>'A renseigner'!K56</f>
        <v>0.8</v>
      </c>
    </row>
    <row r="76" spans="2:25" x14ac:dyDescent="0.3">
      <c r="B76" s="36" t="s">
        <v>30</v>
      </c>
      <c r="C76" s="70">
        <v>0.8629381406464518</v>
      </c>
      <c r="D76" s="70">
        <v>0.85364372124189114</v>
      </c>
      <c r="E76" s="70">
        <v>0.8629381406464518</v>
      </c>
      <c r="F76" s="70">
        <v>0.80596534198198233</v>
      </c>
      <c r="G76" s="70">
        <v>0.76138909775032848</v>
      </c>
      <c r="H76" s="70">
        <v>0.71752689566282524</v>
      </c>
      <c r="I76" s="70">
        <v>0.67295957250276117</v>
      </c>
      <c r="J76" s="70">
        <v>0.62763170851759198</v>
      </c>
      <c r="K76" s="70">
        <v>0.58212751064211377</v>
      </c>
      <c r="L76" s="38" t="s">
        <v>117</v>
      </c>
      <c r="O76" s="463" t="s">
        <v>30</v>
      </c>
      <c r="P76" s="442">
        <f>'A renseigner'!C57</f>
        <v>1</v>
      </c>
      <c r="Q76" s="442">
        <f>'A renseigner'!D57</f>
        <v>0.99354838709677418</v>
      </c>
      <c r="R76" s="442">
        <f>'A renseigner'!E57</f>
        <v>1</v>
      </c>
      <c r="S76" s="442">
        <f>'A renseigner'!F57</f>
        <v>0.98195610477029172</v>
      </c>
      <c r="T76" s="442">
        <f>'A renseigner'!G57</f>
        <v>0.95680443093167034</v>
      </c>
      <c r="U76" s="442">
        <f>'A renseigner'!H57</f>
        <v>0.93240837183515834</v>
      </c>
      <c r="V76" s="442">
        <f>'A renseigner'!I57</f>
        <v>0.90944275192489354</v>
      </c>
      <c r="W76" s="442">
        <f>'A renseigner'!J57</f>
        <v>0.89277506947369645</v>
      </c>
      <c r="X76" s="442">
        <f>'A renseigner'!K57</f>
        <v>0.87752987074135325</v>
      </c>
    </row>
    <row r="77" spans="2:25" x14ac:dyDescent="0.3">
      <c r="B77" s="120" t="s">
        <v>31</v>
      </c>
      <c r="C77" s="70">
        <v>1</v>
      </c>
      <c r="D77" s="70">
        <v>1</v>
      </c>
      <c r="E77" s="70">
        <v>1</v>
      </c>
      <c r="F77" s="70">
        <v>1</v>
      </c>
      <c r="G77" s="70">
        <v>1</v>
      </c>
      <c r="H77" s="70">
        <v>1</v>
      </c>
      <c r="I77" s="70">
        <v>1</v>
      </c>
      <c r="J77" s="70">
        <v>1</v>
      </c>
      <c r="K77" s="70">
        <v>1</v>
      </c>
      <c r="O77" s="464" t="s">
        <v>31</v>
      </c>
      <c r="P77" s="442">
        <f>'A renseigner'!C58</f>
        <v>1</v>
      </c>
      <c r="Q77" s="442">
        <f>'A renseigner'!D58</f>
        <v>1</v>
      </c>
      <c r="R77" s="442">
        <f>'A renseigner'!E58</f>
        <v>1</v>
      </c>
      <c r="S77" s="442">
        <f>'A renseigner'!F58</f>
        <v>1</v>
      </c>
      <c r="T77" s="442">
        <f>'A renseigner'!G58</f>
        <v>1</v>
      </c>
      <c r="U77" s="442">
        <f>'A renseigner'!H58</f>
        <v>1</v>
      </c>
      <c r="V77" s="442">
        <f>'A renseigner'!I58</f>
        <v>1</v>
      </c>
      <c r="W77" s="442">
        <f>'A renseigner'!J58</f>
        <v>1</v>
      </c>
      <c r="X77" s="442">
        <f>'A renseigner'!K58</f>
        <v>1</v>
      </c>
    </row>
    <row r="81" spans="2:11" x14ac:dyDescent="0.3">
      <c r="B81" s="661" t="s">
        <v>118</v>
      </c>
      <c r="C81" s="661"/>
      <c r="D81" s="661"/>
      <c r="E81" s="661"/>
      <c r="F81" s="661"/>
    </row>
    <row r="83" spans="2:11" x14ac:dyDescent="0.3">
      <c r="B83" s="38" t="s">
        <v>3</v>
      </c>
      <c r="C83" s="5">
        <v>2019</v>
      </c>
      <c r="D83" s="5">
        <v>2020</v>
      </c>
      <c r="E83" s="408">
        <v>2021</v>
      </c>
      <c r="F83" s="113">
        <v>2025</v>
      </c>
      <c r="G83" s="113">
        <v>2030</v>
      </c>
      <c r="H83" s="113">
        <v>2035</v>
      </c>
      <c r="I83" s="113">
        <v>2040</v>
      </c>
      <c r="J83" s="113">
        <v>2045</v>
      </c>
      <c r="K83" s="114">
        <v>2050</v>
      </c>
    </row>
    <row r="84" spans="2:11" x14ac:dyDescent="0.3">
      <c r="B84" s="36" t="s">
        <v>24</v>
      </c>
      <c r="C84" s="107">
        <f>C30*P70</f>
        <v>25.805</v>
      </c>
      <c r="D84" s="107">
        <f>D30*Q70</f>
        <v>22.681716129032257</v>
      </c>
      <c r="E84" s="107">
        <f t="shared" ref="E84:E91" si="39">E30*S70</f>
        <v>23.967860000000002</v>
      </c>
      <c r="F84" s="107">
        <f t="shared" ref="F84:K91" si="40">F30*S70</f>
        <v>20.057741476744852</v>
      </c>
      <c r="G84" s="107">
        <f t="shared" si="40"/>
        <v>19.390415712956955</v>
      </c>
      <c r="H84" s="107">
        <f t="shared" si="40"/>
        <v>18.861672270079957</v>
      </c>
      <c r="I84" s="107">
        <f t="shared" si="40"/>
        <v>18.571029478494651</v>
      </c>
      <c r="J84" s="107">
        <f t="shared" si="40"/>
        <v>18.45466862299563</v>
      </c>
      <c r="K84" s="107">
        <f t="shared" si="40"/>
        <v>18.66981364430227</v>
      </c>
    </row>
    <row r="85" spans="2:11" x14ac:dyDescent="0.3">
      <c r="B85" s="36" t="s">
        <v>25</v>
      </c>
      <c r="C85" s="107">
        <f t="shared" ref="C85:D91" si="41">C31*P71</f>
        <v>47.174999999999997</v>
      </c>
      <c r="D85" s="107">
        <f t="shared" si="41"/>
        <v>45.592941935483879</v>
      </c>
      <c r="E85" s="107">
        <f t="shared" si="39"/>
        <v>45.864720000000005</v>
      </c>
      <c r="F85" s="107">
        <f t="shared" si="40"/>
        <v>41.753270741547617</v>
      </c>
      <c r="G85" s="107">
        <f t="shared" si="40"/>
        <v>41.635446475759451</v>
      </c>
      <c r="H85" s="107">
        <f t="shared" si="40"/>
        <v>41.731013213382475</v>
      </c>
      <c r="I85" s="107">
        <f t="shared" si="40"/>
        <v>42.059681146334718</v>
      </c>
      <c r="J85" s="107">
        <f t="shared" si="40"/>
        <v>42.813427459840661</v>
      </c>
      <c r="K85" s="107">
        <f t="shared" si="40"/>
        <v>43.905478443162501</v>
      </c>
    </row>
    <row r="86" spans="2:11" x14ac:dyDescent="0.3">
      <c r="B86" s="36" t="s">
        <v>26</v>
      </c>
      <c r="C86" s="107">
        <f t="shared" si="41"/>
        <v>8.359</v>
      </c>
      <c r="D86" s="107">
        <f t="shared" si="41"/>
        <v>7.4158451612903225</v>
      </c>
      <c r="E86" s="107">
        <f t="shared" si="39"/>
        <v>8.0902799999999999</v>
      </c>
      <c r="F86" s="107">
        <f t="shared" si="40"/>
        <v>7.2457422280392718</v>
      </c>
      <c r="G86" s="107">
        <f t="shared" si="40"/>
        <v>7.4149245773685957</v>
      </c>
      <c r="H86" s="107">
        <f t="shared" si="40"/>
        <v>7.5315757364526048</v>
      </c>
      <c r="I86" s="107">
        <f t="shared" si="40"/>
        <v>7.7337853281551867</v>
      </c>
      <c r="J86" s="107">
        <f t="shared" si="40"/>
        <v>8.1506098456412523</v>
      </c>
      <c r="K86" s="107">
        <f t="shared" si="40"/>
        <v>8.5968476928363771</v>
      </c>
    </row>
    <row r="87" spans="2:11" x14ac:dyDescent="0.3">
      <c r="B87" s="36" t="s">
        <v>27</v>
      </c>
      <c r="C87" s="107">
        <f t="shared" si="41"/>
        <v>45.597999999999999</v>
      </c>
      <c r="D87" s="107">
        <f t="shared" si="41"/>
        <v>43.804554838709677</v>
      </c>
      <c r="E87" s="107">
        <f t="shared" si="39"/>
        <v>44.096397000000003</v>
      </c>
      <c r="F87" s="107">
        <f t="shared" si="40"/>
        <v>43.470556632122687</v>
      </c>
      <c r="G87" s="107">
        <f t="shared" si="40"/>
        <v>42.854855660089562</v>
      </c>
      <c r="H87" s="107">
        <f t="shared" si="40"/>
        <v>43.381541373307371</v>
      </c>
      <c r="I87" s="107">
        <f t="shared" si="40"/>
        <v>44.65244922607458</v>
      </c>
      <c r="J87" s="107">
        <f t="shared" si="40"/>
        <v>48.281077225670067</v>
      </c>
      <c r="K87" s="107">
        <f t="shared" si="40"/>
        <v>52.423777196368924</v>
      </c>
    </row>
    <row r="88" spans="2:11" x14ac:dyDescent="0.3">
      <c r="B88" s="36" t="s">
        <v>28</v>
      </c>
      <c r="C88" s="107">
        <f t="shared" si="41"/>
        <v>63.614999999999995</v>
      </c>
      <c r="D88" s="107">
        <f t="shared" si="41"/>
        <v>49.485664516129034</v>
      </c>
      <c r="E88" s="107">
        <f t="shared" si="39"/>
        <v>51.204470000000001</v>
      </c>
      <c r="F88" s="107">
        <f t="shared" si="40"/>
        <v>51.386028356306603</v>
      </c>
      <c r="G88" s="107">
        <f t="shared" si="40"/>
        <v>52.251645285313209</v>
      </c>
      <c r="H88" s="107">
        <f t="shared" si="40"/>
        <v>54.090001073995055</v>
      </c>
      <c r="I88" s="107">
        <f t="shared" si="40"/>
        <v>57.006730610227429</v>
      </c>
      <c r="J88" s="107">
        <f t="shared" si="40"/>
        <v>60.360348735143141</v>
      </c>
      <c r="K88" s="107">
        <f t="shared" si="40"/>
        <v>63.677434912014142</v>
      </c>
    </row>
    <row r="89" spans="2:11" x14ac:dyDescent="0.3">
      <c r="B89" s="36" t="s">
        <v>29</v>
      </c>
      <c r="C89" s="107">
        <f t="shared" si="41"/>
        <v>23.724</v>
      </c>
      <c r="D89" s="107">
        <f t="shared" si="41"/>
        <v>22.1144</v>
      </c>
      <c r="E89" s="107">
        <f t="shared" si="39"/>
        <v>22.860445161290322</v>
      </c>
      <c r="F89" s="107">
        <f t="shared" si="40"/>
        <v>22.456489110486896</v>
      </c>
      <c r="G89" s="107">
        <f t="shared" si="40"/>
        <v>22.835099734825281</v>
      </c>
      <c r="H89" s="107">
        <f t="shared" si="40"/>
        <v>23.434414839927978</v>
      </c>
      <c r="I89" s="107">
        <f t="shared" si="40"/>
        <v>24.471042961258018</v>
      </c>
      <c r="J89" s="107">
        <f t="shared" si="40"/>
        <v>25.656502536574852</v>
      </c>
      <c r="K89" s="107">
        <f t="shared" si="40"/>
        <v>26.782577856816456</v>
      </c>
    </row>
    <row r="90" spans="2:11" x14ac:dyDescent="0.3">
      <c r="B90" s="36" t="s">
        <v>30</v>
      </c>
      <c r="C90" s="107">
        <f t="shared" si="41"/>
        <v>214.27599999999995</v>
      </c>
      <c r="D90" s="107">
        <f t="shared" si="41"/>
        <v>191.09512258064521</v>
      </c>
      <c r="E90" s="107">
        <f t="shared" si="39"/>
        <v>196.08386869326526</v>
      </c>
      <c r="F90" s="107">
        <f t="shared" si="40"/>
        <v>186.39377607645531</v>
      </c>
      <c r="G90" s="107">
        <f t="shared" si="40"/>
        <v>186.52070212257473</v>
      </c>
      <c r="H90" s="107">
        <f t="shared" si="40"/>
        <v>189.21216038788336</v>
      </c>
      <c r="I90" s="107">
        <f t="shared" si="40"/>
        <v>194.88429647997427</v>
      </c>
      <c r="J90" s="107">
        <f t="shared" si="40"/>
        <v>204.40978397886622</v>
      </c>
      <c r="K90" s="107">
        <f t="shared" si="40"/>
        <v>215.23235389802414</v>
      </c>
    </row>
    <row r="91" spans="2:11" x14ac:dyDescent="0.3">
      <c r="B91" s="120" t="s">
        <v>31</v>
      </c>
      <c r="C91" s="107">
        <f t="shared" si="41"/>
        <v>114.88200000000001</v>
      </c>
      <c r="D91" s="107">
        <f t="shared" si="41"/>
        <v>101.443</v>
      </c>
      <c r="E91" s="107">
        <f t="shared" si="39"/>
        <v>108.227</v>
      </c>
      <c r="F91" s="107">
        <f t="shared" si="40"/>
        <v>114.07709031300605</v>
      </c>
      <c r="G91" s="107">
        <f t="shared" si="40"/>
        <v>117.30882926786353</v>
      </c>
      <c r="H91" s="107">
        <f t="shared" si="40"/>
        <v>121.98493624758126</v>
      </c>
      <c r="I91" s="107">
        <f t="shared" si="40"/>
        <v>127.46802251378823</v>
      </c>
      <c r="J91" s="107">
        <f t="shared" si="40"/>
        <v>134.81295783795625</v>
      </c>
      <c r="K91" s="107">
        <f t="shared" si="40"/>
        <v>143.1910367337596</v>
      </c>
    </row>
    <row r="93" spans="2:11" x14ac:dyDescent="0.3">
      <c r="B93" s="38" t="s">
        <v>119</v>
      </c>
      <c r="C93" s="107">
        <f t="shared" ref="C93:K93" si="42">C90+C91</f>
        <v>329.15799999999996</v>
      </c>
      <c r="D93" s="107">
        <f t="shared" si="42"/>
        <v>292.53812258064522</v>
      </c>
      <c r="E93" s="107">
        <f t="shared" si="42"/>
        <v>304.31086869326526</v>
      </c>
      <c r="F93" s="107">
        <f t="shared" si="42"/>
        <v>300.47086638946138</v>
      </c>
      <c r="G93" s="107">
        <f t="shared" si="42"/>
        <v>303.82953139043826</v>
      </c>
      <c r="H93" s="107">
        <f t="shared" si="42"/>
        <v>311.19709663546462</v>
      </c>
      <c r="I93" s="107">
        <f t="shared" si="42"/>
        <v>322.35231899376248</v>
      </c>
      <c r="J93" s="107">
        <f t="shared" si="42"/>
        <v>339.22274181682246</v>
      </c>
      <c r="K93" s="107">
        <f t="shared" si="42"/>
        <v>358.42339063178372</v>
      </c>
    </row>
    <row r="94" spans="2:11" x14ac:dyDescent="0.3">
      <c r="B94" s="38" t="s">
        <v>120</v>
      </c>
      <c r="C94" s="38">
        <f t="shared" ref="C94:K94" si="43">C93/$C93</f>
        <v>1</v>
      </c>
      <c r="D94" s="70">
        <f t="shared" si="43"/>
        <v>0.88874681028759828</v>
      </c>
      <c r="E94" s="70">
        <f t="shared" si="43"/>
        <v>0.92451305662710703</v>
      </c>
      <c r="F94" s="70">
        <f t="shared" si="43"/>
        <v>0.91284691968435039</v>
      </c>
      <c r="G94" s="70">
        <f t="shared" si="43"/>
        <v>0.92305072758504514</v>
      </c>
      <c r="H94" s="70">
        <f t="shared" si="43"/>
        <v>0.94543379360509139</v>
      </c>
      <c r="I94" s="70">
        <f t="shared" si="43"/>
        <v>0.97932396901719698</v>
      </c>
      <c r="J94" s="70">
        <f t="shared" si="43"/>
        <v>1.0305772359074441</v>
      </c>
      <c r="K94" s="70">
        <f t="shared" si="43"/>
        <v>1.0889098567611413</v>
      </c>
    </row>
    <row r="96" spans="2:11" x14ac:dyDescent="0.3">
      <c r="B96" s="431" t="s">
        <v>4</v>
      </c>
      <c r="C96" s="470">
        <v>2019</v>
      </c>
      <c r="D96" s="470">
        <v>2020</v>
      </c>
      <c r="E96" s="471">
        <v>2021</v>
      </c>
      <c r="F96" s="466">
        <v>2025</v>
      </c>
      <c r="G96" s="466">
        <v>2030</v>
      </c>
      <c r="H96" s="466">
        <v>2035</v>
      </c>
      <c r="I96" s="466">
        <v>2040</v>
      </c>
      <c r="J96" s="466">
        <v>2045</v>
      </c>
      <c r="K96" s="467">
        <v>2050</v>
      </c>
    </row>
    <row r="97" spans="2:11" x14ac:dyDescent="0.3">
      <c r="B97" s="463" t="s">
        <v>24</v>
      </c>
      <c r="C97" s="476">
        <f t="shared" ref="C97:D104" si="44">P70*C54</f>
        <v>25.805</v>
      </c>
      <c r="D97" s="476">
        <f t="shared" si="44"/>
        <v>22.681716129032257</v>
      </c>
      <c r="E97" s="476">
        <f t="shared" ref="E97:E104" si="45">R70*E54</f>
        <v>24.457000000000001</v>
      </c>
      <c r="F97" s="476">
        <f t="shared" ref="F97:F104" si="46">S70*F54</f>
        <v>25.256464604687462</v>
      </c>
      <c r="G97" s="476">
        <f t="shared" ref="G97:G104" si="47">T70*G54</f>
        <v>25.999582431960746</v>
      </c>
      <c r="H97" s="476">
        <f t="shared" ref="H97:H104" si="48">U70*H54</f>
        <v>25.792603102870149</v>
      </c>
      <c r="I97" s="476">
        <f t="shared" ref="I97:I104" si="49">V70*I54</f>
        <v>27.173359302479476</v>
      </c>
      <c r="J97" s="476">
        <f t="shared" ref="J97:J104" si="50">W70*J54</f>
        <v>29.15270863675406</v>
      </c>
      <c r="K97" s="476">
        <f t="shared" ref="K97:K104" si="51">X70*K54</f>
        <v>31.63786209990819</v>
      </c>
    </row>
    <row r="98" spans="2:11" x14ac:dyDescent="0.3">
      <c r="B98" s="463" t="s">
        <v>25</v>
      </c>
      <c r="C98" s="476">
        <f t="shared" si="44"/>
        <v>47.174999999999997</v>
      </c>
      <c r="D98" s="476">
        <f t="shared" si="44"/>
        <v>45.592941935483879</v>
      </c>
      <c r="E98" s="476">
        <f t="shared" si="45"/>
        <v>46.328000000000003</v>
      </c>
      <c r="F98" s="476">
        <f t="shared" si="46"/>
        <v>47.193941419121451</v>
      </c>
      <c r="G98" s="476">
        <f t="shared" si="47"/>
        <v>49.753114886258068</v>
      </c>
      <c r="H98" s="476">
        <f t="shared" si="48"/>
        <v>50.176378168600408</v>
      </c>
      <c r="I98" s="476">
        <f t="shared" si="49"/>
        <v>53.13259456303259</v>
      </c>
      <c r="J98" s="476">
        <f t="shared" si="50"/>
        <v>56.770453635797828</v>
      </c>
      <c r="K98" s="476">
        <f t="shared" si="51"/>
        <v>60.3574681381563</v>
      </c>
    </row>
    <row r="99" spans="2:11" x14ac:dyDescent="0.3">
      <c r="B99" s="463" t="s">
        <v>26</v>
      </c>
      <c r="C99" s="476">
        <f t="shared" si="44"/>
        <v>8.359</v>
      </c>
      <c r="D99" s="476">
        <f t="shared" si="44"/>
        <v>7.4158451612903225</v>
      </c>
      <c r="E99" s="476">
        <f t="shared" si="45"/>
        <v>8.1720000000000006</v>
      </c>
      <c r="F99" s="476">
        <f t="shared" si="46"/>
        <v>8.4325674168882401</v>
      </c>
      <c r="G99" s="476">
        <f t="shared" si="47"/>
        <v>8.5533775386889488</v>
      </c>
      <c r="H99" s="476">
        <f t="shared" si="48"/>
        <v>8.5034645211603976</v>
      </c>
      <c r="I99" s="476">
        <f t="shared" si="49"/>
        <v>8.6816195241243062</v>
      </c>
      <c r="J99" s="476">
        <f t="shared" si="50"/>
        <v>9.056340443210825</v>
      </c>
      <c r="K99" s="476">
        <f t="shared" si="51"/>
        <v>9.5265579976361163</v>
      </c>
    </row>
    <row r="100" spans="2:11" x14ac:dyDescent="0.3">
      <c r="B100" s="463" t="s">
        <v>27</v>
      </c>
      <c r="C100" s="476">
        <f t="shared" si="44"/>
        <v>45.597999999999999</v>
      </c>
      <c r="D100" s="476">
        <f t="shared" si="44"/>
        <v>43.804554838709677</v>
      </c>
      <c r="E100" s="476">
        <f t="shared" si="45"/>
        <v>44.859000000000002</v>
      </c>
      <c r="F100" s="476">
        <f t="shared" si="46"/>
        <v>46.746123341807944</v>
      </c>
      <c r="G100" s="476">
        <f t="shared" si="47"/>
        <v>48.929057633134789</v>
      </c>
      <c r="H100" s="476">
        <f t="shared" si="48"/>
        <v>51.121043366922819</v>
      </c>
      <c r="I100" s="476">
        <f t="shared" si="49"/>
        <v>54.054345251666348</v>
      </c>
      <c r="J100" s="476">
        <f t="shared" si="50"/>
        <v>58.743109113118166</v>
      </c>
      <c r="K100" s="476">
        <f t="shared" si="51"/>
        <v>63.611128428896563</v>
      </c>
    </row>
    <row r="101" spans="2:11" x14ac:dyDescent="0.3">
      <c r="B101" s="463" t="s">
        <v>28</v>
      </c>
      <c r="C101" s="476">
        <f t="shared" si="44"/>
        <v>63.614999999999995</v>
      </c>
      <c r="D101" s="476">
        <f t="shared" si="44"/>
        <v>49.485664516129034</v>
      </c>
      <c r="E101" s="476">
        <f t="shared" si="45"/>
        <v>52.09</v>
      </c>
      <c r="F101" s="476">
        <f t="shared" si="46"/>
        <v>54.610634472835841</v>
      </c>
      <c r="G101" s="476">
        <f t="shared" si="47"/>
        <v>57.416368611115956</v>
      </c>
      <c r="H101" s="476">
        <f t="shared" si="48"/>
        <v>60.1217945450502</v>
      </c>
      <c r="I101" s="476">
        <f t="shared" si="49"/>
        <v>63.484649283824005</v>
      </c>
      <c r="J101" s="476">
        <f t="shared" si="50"/>
        <v>67.302902254388101</v>
      </c>
      <c r="K101" s="476">
        <f t="shared" si="51"/>
        <v>71.385615848851643</v>
      </c>
    </row>
    <row r="102" spans="2:11" x14ac:dyDescent="0.3">
      <c r="B102" s="463" t="s">
        <v>29</v>
      </c>
      <c r="C102" s="476">
        <f t="shared" si="44"/>
        <v>23.724</v>
      </c>
      <c r="D102" s="476">
        <f t="shared" si="44"/>
        <v>22.1144</v>
      </c>
      <c r="E102" s="476">
        <f t="shared" si="45"/>
        <v>23.780999999999999</v>
      </c>
      <c r="F102" s="476">
        <f t="shared" si="46"/>
        <v>24.381141228286015</v>
      </c>
      <c r="G102" s="476">
        <f t="shared" si="47"/>
        <v>25.634134902272979</v>
      </c>
      <c r="H102" s="476">
        <f t="shared" si="48"/>
        <v>26.610256449317106</v>
      </c>
      <c r="I102" s="476">
        <f t="shared" si="49"/>
        <v>27.840374369821035</v>
      </c>
      <c r="J102" s="476">
        <f t="shared" si="50"/>
        <v>29.225335602311397</v>
      </c>
      <c r="K102" s="476">
        <f t="shared" si="51"/>
        <v>30.6730898874399</v>
      </c>
    </row>
    <row r="103" spans="2:11" x14ac:dyDescent="0.3">
      <c r="B103" s="463" t="s">
        <v>30</v>
      </c>
      <c r="C103" s="476">
        <f t="shared" si="44"/>
        <v>214.27599999999995</v>
      </c>
      <c r="D103" s="476">
        <f t="shared" si="44"/>
        <v>191.09512258064521</v>
      </c>
      <c r="E103" s="476">
        <f t="shared" si="45"/>
        <v>199.68700000000001</v>
      </c>
      <c r="F103" s="476">
        <f t="shared" si="46"/>
        <v>206.63582067045283</v>
      </c>
      <c r="G103" s="476">
        <f t="shared" si="47"/>
        <v>216.34704083822871</v>
      </c>
      <c r="H103" s="476">
        <f t="shared" si="48"/>
        <v>222.42227480408826</v>
      </c>
      <c r="I103" s="476">
        <f t="shared" si="49"/>
        <v>234.52716814351962</v>
      </c>
      <c r="J103" s="476">
        <f t="shared" si="50"/>
        <v>250.50895141169477</v>
      </c>
      <c r="K103" s="476">
        <f t="shared" si="51"/>
        <v>267.68291388878964</v>
      </c>
    </row>
    <row r="104" spans="2:11" x14ac:dyDescent="0.3">
      <c r="B104" s="464" t="s">
        <v>31</v>
      </c>
      <c r="C104" s="476">
        <f t="shared" si="44"/>
        <v>114.88200000000001</v>
      </c>
      <c r="D104" s="476">
        <f t="shared" si="44"/>
        <v>101.443</v>
      </c>
      <c r="E104" s="476">
        <f t="shared" si="45"/>
        <v>108.227</v>
      </c>
      <c r="F104" s="476">
        <f t="shared" si="46"/>
        <v>111.90446198810282</v>
      </c>
      <c r="G104" s="476">
        <f t="shared" si="47"/>
        <v>111.60902686751734</v>
      </c>
      <c r="H104" s="476">
        <f t="shared" si="48"/>
        <v>110.28798392659493</v>
      </c>
      <c r="I104" s="476">
        <f t="shared" si="49"/>
        <v>110.67153195519023</v>
      </c>
      <c r="J104" s="476">
        <f t="shared" si="50"/>
        <v>112.51428931843975</v>
      </c>
      <c r="K104" s="476">
        <f t="shared" si="51"/>
        <v>116.70087476600506</v>
      </c>
    </row>
    <row r="105" spans="2:11" x14ac:dyDescent="0.3">
      <c r="B105" s="431"/>
      <c r="C105" s="431"/>
      <c r="D105" s="431"/>
      <c r="E105" s="431"/>
      <c r="F105" s="431"/>
      <c r="G105" s="431"/>
      <c r="H105" s="431"/>
      <c r="I105" s="431"/>
      <c r="J105" s="431"/>
      <c r="K105" s="431"/>
    </row>
    <row r="106" spans="2:11" x14ac:dyDescent="0.3">
      <c r="B106" s="431" t="s">
        <v>119</v>
      </c>
      <c r="C106" s="476">
        <f t="shared" ref="C106:D106" si="52">C103+C104</f>
        <v>329.15799999999996</v>
      </c>
      <c r="D106" s="476">
        <f t="shared" si="52"/>
        <v>292.53812258064522</v>
      </c>
      <c r="E106" s="476">
        <f t="shared" ref="E106:K106" si="53">E103+E104</f>
        <v>307.91399999999999</v>
      </c>
      <c r="F106" s="476">
        <f t="shared" si="53"/>
        <v>318.54028265855567</v>
      </c>
      <c r="G106" s="476">
        <f t="shared" si="53"/>
        <v>327.95606770574602</v>
      </c>
      <c r="H106" s="476">
        <f t="shared" si="53"/>
        <v>332.71025873068322</v>
      </c>
      <c r="I106" s="476">
        <f t="shared" si="53"/>
        <v>345.19870009870988</v>
      </c>
      <c r="J106" s="476">
        <f t="shared" si="53"/>
        <v>363.02324073013449</v>
      </c>
      <c r="K106" s="476">
        <f t="shared" si="53"/>
        <v>384.38378865479467</v>
      </c>
    </row>
    <row r="107" spans="2:11" x14ac:dyDescent="0.3">
      <c r="B107" s="431" t="s">
        <v>120</v>
      </c>
      <c r="C107" s="431">
        <f t="shared" ref="C107:D107" si="54">C106/$C106</f>
        <v>1</v>
      </c>
      <c r="D107" s="441">
        <f t="shared" si="54"/>
        <v>0.88874681028759828</v>
      </c>
      <c r="E107" s="441">
        <f t="shared" ref="E107:K107" si="55">E106/$C106</f>
        <v>0.93545956653035933</v>
      </c>
      <c r="F107" s="441">
        <f t="shared" si="55"/>
        <v>0.96774279421601694</v>
      </c>
      <c r="G107" s="441">
        <f t="shared" si="55"/>
        <v>0.99634846397701426</v>
      </c>
      <c r="H107" s="441">
        <f t="shared" si="55"/>
        <v>1.0107919562358603</v>
      </c>
      <c r="I107" s="441">
        <f t="shared" si="55"/>
        <v>1.0487325238903806</v>
      </c>
      <c r="J107" s="441">
        <f t="shared" si="55"/>
        <v>1.1028844528467621</v>
      </c>
      <c r="K107" s="441">
        <f t="shared" si="55"/>
        <v>1.1677789652835255</v>
      </c>
    </row>
    <row r="108" spans="2:11" x14ac:dyDescent="0.3">
      <c r="B108" s="431" t="s">
        <v>121</v>
      </c>
      <c r="C108" s="431">
        <v>1</v>
      </c>
      <c r="D108" s="441">
        <v>0.87866105410226403</v>
      </c>
      <c r="E108" s="441"/>
      <c r="F108" s="441">
        <v>0.93408673746918303</v>
      </c>
      <c r="G108" s="441">
        <v>0.97096905100025399</v>
      </c>
      <c r="H108" s="441">
        <v>0.97262960423195999</v>
      </c>
      <c r="I108" s="441">
        <v>0.984736859684059</v>
      </c>
      <c r="J108" s="441">
        <v>1.0177474299521501</v>
      </c>
      <c r="K108" s="441">
        <v>1.0578514907326699</v>
      </c>
    </row>
  </sheetData>
  <mergeCells count="11">
    <mergeCell ref="B81:F81"/>
    <mergeCell ref="R18:W18"/>
    <mergeCell ref="D42:K42"/>
    <mergeCell ref="L42:Q42"/>
    <mergeCell ref="R42:W42"/>
    <mergeCell ref="B66:F66"/>
    <mergeCell ref="B2:F2"/>
    <mergeCell ref="C4:I4"/>
    <mergeCell ref="B16:F16"/>
    <mergeCell ref="D18:K18"/>
    <mergeCell ref="L18:Q18"/>
  </mergeCell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DC3E6"/>
  </sheetPr>
  <dimension ref="A2:AMK216"/>
  <sheetViews>
    <sheetView topLeftCell="A28" workbookViewId="0">
      <selection activeCell="G8" sqref="G8"/>
    </sheetView>
  </sheetViews>
  <sheetFormatPr baseColWidth="10" defaultColWidth="8.6640625" defaultRowHeight="14.4" x14ac:dyDescent="0.3"/>
  <cols>
    <col min="1" max="1" width="10.44140625" style="1" customWidth="1"/>
    <col min="2" max="2" width="44.33203125" style="1" customWidth="1"/>
    <col min="3" max="1025" width="10.44140625" style="1" customWidth="1"/>
  </cols>
  <sheetData>
    <row r="2" spans="1:41" ht="22.2" x14ac:dyDescent="0.3">
      <c r="B2" s="121" t="s">
        <v>122</v>
      </c>
    </row>
    <row r="3" spans="1:41" ht="22.2" x14ac:dyDescent="0.3">
      <c r="A3" s="121"/>
    </row>
    <row r="4" spans="1:41" x14ac:dyDescent="0.3">
      <c r="C4" s="122">
        <f t="shared" ref="C4:W4" si="0">C16</f>
        <v>2000</v>
      </c>
      <c r="D4" s="122">
        <f t="shared" si="0"/>
        <v>2001</v>
      </c>
      <c r="E4" s="122">
        <f t="shared" si="0"/>
        <v>2002</v>
      </c>
      <c r="F4" s="122">
        <f t="shared" si="0"/>
        <v>2003</v>
      </c>
      <c r="G4" s="122">
        <f t="shared" si="0"/>
        <v>2004</v>
      </c>
      <c r="H4" s="122">
        <f t="shared" si="0"/>
        <v>2005</v>
      </c>
      <c r="I4" s="122">
        <f t="shared" si="0"/>
        <v>2006</v>
      </c>
      <c r="J4" s="122">
        <f t="shared" si="0"/>
        <v>2007</v>
      </c>
      <c r="K4" s="122">
        <f t="shared" si="0"/>
        <v>2008</v>
      </c>
      <c r="L4" s="122">
        <f t="shared" si="0"/>
        <v>2009</v>
      </c>
      <c r="M4" s="122">
        <f t="shared" si="0"/>
        <v>2010</v>
      </c>
      <c r="N4" s="122">
        <f t="shared" si="0"/>
        <v>2011</v>
      </c>
      <c r="O4" s="122">
        <f t="shared" si="0"/>
        <v>2012</v>
      </c>
      <c r="P4" s="122">
        <f t="shared" si="0"/>
        <v>2013</v>
      </c>
      <c r="Q4" s="122">
        <f t="shared" si="0"/>
        <v>2014</v>
      </c>
      <c r="R4" s="122">
        <f t="shared" si="0"/>
        <v>2015</v>
      </c>
      <c r="S4" s="122">
        <f t="shared" si="0"/>
        <v>2016</v>
      </c>
      <c r="T4" s="122">
        <f t="shared" si="0"/>
        <v>2017</v>
      </c>
      <c r="U4" s="122">
        <f t="shared" si="0"/>
        <v>2018</v>
      </c>
      <c r="V4" s="122">
        <f t="shared" si="0"/>
        <v>2019</v>
      </c>
      <c r="W4" s="123">
        <f t="shared" si="0"/>
        <v>2020</v>
      </c>
      <c r="X4" s="1">
        <v>2021</v>
      </c>
    </row>
    <row r="5" spans="1:41" x14ac:dyDescent="0.3">
      <c r="A5" s="124" t="s">
        <v>24</v>
      </c>
      <c r="B5" s="125" t="s">
        <v>123</v>
      </c>
      <c r="C5" s="126">
        <f t="shared" ref="C5:V5" si="1">C99</f>
        <v>24.254999999999999</v>
      </c>
      <c r="D5" s="126">
        <f t="shared" si="1"/>
        <v>24.448</v>
      </c>
      <c r="E5" s="126">
        <f t="shared" si="1"/>
        <v>24.38</v>
      </c>
      <c r="F5" s="126">
        <f t="shared" si="1"/>
        <v>24.315000000000001</v>
      </c>
      <c r="G5" s="126">
        <f t="shared" si="1"/>
        <v>24.667000000000002</v>
      </c>
      <c r="H5" s="126">
        <f t="shared" si="1"/>
        <v>23.864999999999998</v>
      </c>
      <c r="I5" s="126">
        <f t="shared" si="1"/>
        <v>24.026</v>
      </c>
      <c r="J5" s="126">
        <f t="shared" si="1"/>
        <v>24.463000000000001</v>
      </c>
      <c r="K5" s="126">
        <f t="shared" si="1"/>
        <v>23.97</v>
      </c>
      <c r="L5" s="126">
        <f t="shared" si="1"/>
        <v>23.940999999999999</v>
      </c>
      <c r="M5" s="126">
        <f t="shared" si="1"/>
        <v>24.628</v>
      </c>
      <c r="N5" s="126">
        <f t="shared" si="1"/>
        <v>24.859000000000002</v>
      </c>
      <c r="O5" s="126">
        <f t="shared" si="1"/>
        <v>24.396000000000001</v>
      </c>
      <c r="P5" s="126">
        <f t="shared" si="1"/>
        <v>25.766999999999999</v>
      </c>
      <c r="Q5" s="126">
        <f t="shared" si="1"/>
        <v>25.215</v>
      </c>
      <c r="R5" s="126">
        <f t="shared" si="1"/>
        <v>25.623999999999999</v>
      </c>
      <c r="S5" s="126">
        <f t="shared" si="1"/>
        <v>26.013999999999999</v>
      </c>
      <c r="T5" s="126">
        <f t="shared" si="1"/>
        <v>26.658000000000001</v>
      </c>
      <c r="U5" s="126">
        <f t="shared" si="1"/>
        <v>25.46</v>
      </c>
      <c r="V5" s="126">
        <f t="shared" si="1"/>
        <v>25.805</v>
      </c>
      <c r="W5" s="126">
        <f t="shared" ref="W5:X5" si="2">W99</f>
        <v>22.829000000000001</v>
      </c>
      <c r="X5" s="126">
        <f t="shared" si="2"/>
        <v>24.457000000000001</v>
      </c>
    </row>
    <row r="6" spans="1:41" x14ac:dyDescent="0.3">
      <c r="A6" s="127" t="s">
        <v>25</v>
      </c>
      <c r="B6" s="125" t="str">
        <f>B5</f>
        <v>G€2014</v>
      </c>
      <c r="C6" s="126">
        <f t="shared" ref="C6:V6" si="3">C34+C33+C97</f>
        <v>31.943000000000001</v>
      </c>
      <c r="D6" s="126">
        <f t="shared" si="3"/>
        <v>33.274000000000001</v>
      </c>
      <c r="E6" s="126">
        <f t="shared" si="3"/>
        <v>33.192</v>
      </c>
      <c r="F6" s="126">
        <f t="shared" si="3"/>
        <v>34.757000000000005</v>
      </c>
      <c r="G6" s="126">
        <f t="shared" si="3"/>
        <v>34.884999999999998</v>
      </c>
      <c r="H6" s="126">
        <f t="shared" si="3"/>
        <v>37.536000000000001</v>
      </c>
      <c r="I6" s="126">
        <f t="shared" si="3"/>
        <v>38.942999999999998</v>
      </c>
      <c r="J6" s="126">
        <f t="shared" si="3"/>
        <v>40.137</v>
      </c>
      <c r="K6" s="126">
        <f t="shared" si="3"/>
        <v>39.390999999999998</v>
      </c>
      <c r="L6" s="126">
        <f t="shared" si="3"/>
        <v>38.159999999999997</v>
      </c>
      <c r="M6" s="126">
        <f t="shared" si="3"/>
        <v>36.265000000000001</v>
      </c>
      <c r="N6" s="126">
        <f t="shared" si="3"/>
        <v>38.771000000000001</v>
      </c>
      <c r="O6" s="126">
        <f t="shared" si="3"/>
        <v>39.070999999999998</v>
      </c>
      <c r="P6" s="126">
        <f t="shared" si="3"/>
        <v>39.991999999999997</v>
      </c>
      <c r="Q6" s="126">
        <f t="shared" si="3"/>
        <v>40.500999999999998</v>
      </c>
      <c r="R6" s="126">
        <f t="shared" si="3"/>
        <v>41.414999999999999</v>
      </c>
      <c r="S6" s="126">
        <f t="shared" si="3"/>
        <v>42.558999999999997</v>
      </c>
      <c r="T6" s="126">
        <f t="shared" si="3"/>
        <v>43.824999999999996</v>
      </c>
      <c r="U6" s="126">
        <f t="shared" si="3"/>
        <v>45.193000000000005</v>
      </c>
      <c r="V6" s="126">
        <f t="shared" si="3"/>
        <v>47.174999999999997</v>
      </c>
      <c r="W6" s="126">
        <f t="shared" ref="W6:X6" si="4">W34+W33+W97</f>
        <v>45.88900000000001</v>
      </c>
      <c r="X6" s="126">
        <f t="shared" si="4"/>
        <v>46.328000000000003</v>
      </c>
      <c r="AB6" s="115"/>
      <c r="AC6" s="115"/>
      <c r="AD6" s="115"/>
      <c r="AE6" s="115"/>
      <c r="AF6" s="115"/>
      <c r="AG6" s="115"/>
      <c r="AJ6" s="115"/>
      <c r="AK6" s="115"/>
      <c r="AL6" s="115"/>
      <c r="AM6" s="115"/>
      <c r="AN6" s="115"/>
      <c r="AO6" s="115"/>
    </row>
    <row r="7" spans="1:41" x14ac:dyDescent="0.3">
      <c r="A7" s="128" t="s">
        <v>26</v>
      </c>
      <c r="B7" s="125" t="str">
        <f>B6</f>
        <v>G€2014</v>
      </c>
      <c r="C7" s="126">
        <f t="shared" ref="C7:V7" si="5">C98</f>
        <v>8.09</v>
      </c>
      <c r="D7" s="126">
        <f t="shared" si="5"/>
        <v>7.98</v>
      </c>
      <c r="E7" s="126">
        <f t="shared" si="5"/>
        <v>8.0449999999999999</v>
      </c>
      <c r="F7" s="126">
        <f t="shared" si="5"/>
        <v>8.0969999999999995</v>
      </c>
      <c r="G7" s="126">
        <f t="shared" si="5"/>
        <v>8.032</v>
      </c>
      <c r="H7" s="126">
        <f t="shared" si="5"/>
        <v>7.97</v>
      </c>
      <c r="I7" s="126">
        <f t="shared" si="5"/>
        <v>8.2550000000000008</v>
      </c>
      <c r="J7" s="126">
        <f t="shared" si="5"/>
        <v>8.4169999999999998</v>
      </c>
      <c r="K7" s="126">
        <f t="shared" si="5"/>
        <v>7.84</v>
      </c>
      <c r="L7" s="126">
        <f t="shared" si="5"/>
        <v>6.9829999999999997</v>
      </c>
      <c r="M7" s="126">
        <f t="shared" si="5"/>
        <v>7.415</v>
      </c>
      <c r="N7" s="126">
        <f t="shared" si="5"/>
        <v>8.1859999999999999</v>
      </c>
      <c r="O7" s="126">
        <f t="shared" si="5"/>
        <v>7.8339999999999996</v>
      </c>
      <c r="P7" s="126">
        <f t="shared" si="5"/>
        <v>7.5739999999999998</v>
      </c>
      <c r="Q7" s="126">
        <f t="shared" si="5"/>
        <v>7.7430000000000003</v>
      </c>
      <c r="R7" s="126">
        <f t="shared" si="5"/>
        <v>8.0229999999999997</v>
      </c>
      <c r="S7" s="126">
        <f t="shared" si="5"/>
        <v>8.1</v>
      </c>
      <c r="T7" s="126">
        <f t="shared" si="5"/>
        <v>8.2919999999999998</v>
      </c>
      <c r="U7" s="126">
        <f t="shared" si="5"/>
        <v>8.2710000000000008</v>
      </c>
      <c r="V7" s="126">
        <f t="shared" si="5"/>
        <v>8.359</v>
      </c>
      <c r="W7" s="126">
        <f t="shared" ref="W7:X7" si="6">W98</f>
        <v>7.4640000000000004</v>
      </c>
      <c r="X7" s="126">
        <f t="shared" si="6"/>
        <v>8.1720000000000006</v>
      </c>
      <c r="AB7" s="115"/>
      <c r="AC7" s="115"/>
      <c r="AD7" s="115"/>
      <c r="AE7" s="115"/>
      <c r="AF7" s="115"/>
      <c r="AG7" s="115"/>
      <c r="AJ7" s="115"/>
      <c r="AK7" s="115"/>
      <c r="AL7" s="115"/>
      <c r="AM7" s="115"/>
      <c r="AN7" s="115"/>
      <c r="AO7" s="115"/>
    </row>
    <row r="8" spans="1:41" x14ac:dyDescent="0.3">
      <c r="A8" s="129" t="s">
        <v>124</v>
      </c>
      <c r="B8" s="125" t="str">
        <f>B7</f>
        <v>G€2014</v>
      </c>
      <c r="C8" s="126">
        <f t="shared" ref="C8:V8" si="7">C23</f>
        <v>37.850999999999999</v>
      </c>
      <c r="D8" s="126">
        <f t="shared" si="7"/>
        <v>36.603000000000002</v>
      </c>
      <c r="E8" s="126">
        <f t="shared" si="7"/>
        <v>37.548000000000002</v>
      </c>
      <c r="F8" s="126">
        <f t="shared" si="7"/>
        <v>39.651000000000003</v>
      </c>
      <c r="G8" s="126">
        <f t="shared" si="7"/>
        <v>40.61</v>
      </c>
      <c r="H8" s="126">
        <f t="shared" si="7"/>
        <v>40.848999999999997</v>
      </c>
      <c r="I8" s="126">
        <f t="shared" si="7"/>
        <v>40.817999999999998</v>
      </c>
      <c r="J8" s="126">
        <f t="shared" si="7"/>
        <v>41.448999999999998</v>
      </c>
      <c r="K8" s="126">
        <f t="shared" si="7"/>
        <v>37.908000000000001</v>
      </c>
      <c r="L8" s="126">
        <f t="shared" si="7"/>
        <v>38.774000000000001</v>
      </c>
      <c r="M8" s="126">
        <f t="shared" si="7"/>
        <v>40.454999999999998</v>
      </c>
      <c r="N8" s="126">
        <f t="shared" si="7"/>
        <v>42.097999999999999</v>
      </c>
      <c r="O8" s="126">
        <f t="shared" si="7"/>
        <v>41.755000000000003</v>
      </c>
      <c r="P8" s="126">
        <f t="shared" si="7"/>
        <v>41.637</v>
      </c>
      <c r="Q8" s="126">
        <f t="shared" si="7"/>
        <v>42.826000000000001</v>
      </c>
      <c r="R8" s="126">
        <f t="shared" si="7"/>
        <v>43.508000000000003</v>
      </c>
      <c r="S8" s="126">
        <f t="shared" si="7"/>
        <v>44.673999999999999</v>
      </c>
      <c r="T8" s="126">
        <f t="shared" si="7"/>
        <v>45.484999999999999</v>
      </c>
      <c r="U8" s="126">
        <f t="shared" si="7"/>
        <v>45.279000000000003</v>
      </c>
      <c r="V8" s="126">
        <f t="shared" si="7"/>
        <v>45.597999999999999</v>
      </c>
      <c r="W8" s="126">
        <f t="shared" ref="W8:X8" si="8">W23</f>
        <v>44.088999999999999</v>
      </c>
      <c r="X8" s="126">
        <f t="shared" si="8"/>
        <v>44.859000000000002</v>
      </c>
      <c r="AB8" s="115"/>
      <c r="AC8" s="115"/>
      <c r="AD8" s="115"/>
      <c r="AE8" s="115"/>
      <c r="AF8" s="115"/>
      <c r="AG8" s="115"/>
      <c r="AJ8" s="115"/>
      <c r="AK8" s="115"/>
      <c r="AL8" s="115"/>
      <c r="AM8" s="115"/>
      <c r="AN8" s="115"/>
      <c r="AO8" s="115"/>
    </row>
    <row r="9" spans="1:41" x14ac:dyDescent="0.3">
      <c r="A9" s="130" t="s">
        <v>125</v>
      </c>
      <c r="B9" s="125" t="str">
        <f>B8</f>
        <v>G€2014</v>
      </c>
      <c r="C9" s="126">
        <f t="shared" ref="C9:V9" si="9">C104+C105+C111</f>
        <v>62.795000000000002</v>
      </c>
      <c r="D9" s="126">
        <f t="shared" si="9"/>
        <v>62.381</v>
      </c>
      <c r="E9" s="126">
        <f t="shared" si="9"/>
        <v>60.610999999999997</v>
      </c>
      <c r="F9" s="126">
        <f t="shared" si="9"/>
        <v>61.796999999999997</v>
      </c>
      <c r="G9" s="126">
        <f t="shared" si="9"/>
        <v>64.275999999999996</v>
      </c>
      <c r="H9" s="126">
        <f t="shared" si="9"/>
        <v>66.463999999999999</v>
      </c>
      <c r="I9" s="126">
        <f t="shared" si="9"/>
        <v>67.635999999999996</v>
      </c>
      <c r="J9" s="126">
        <f t="shared" si="9"/>
        <v>68.948000000000008</v>
      </c>
      <c r="K9" s="126">
        <f t="shared" si="9"/>
        <v>67.927999999999997</v>
      </c>
      <c r="L9" s="126">
        <f t="shared" si="9"/>
        <v>59.212999999999994</v>
      </c>
      <c r="M9" s="126">
        <f t="shared" si="9"/>
        <v>61.441000000000003</v>
      </c>
      <c r="N9" s="126">
        <f t="shared" si="9"/>
        <v>63.442999999999998</v>
      </c>
      <c r="O9" s="126">
        <f t="shared" si="9"/>
        <v>63.849000000000004</v>
      </c>
      <c r="P9" s="126">
        <f t="shared" si="9"/>
        <v>61.155999999999999</v>
      </c>
      <c r="Q9" s="126">
        <f t="shared" si="9"/>
        <v>60.86</v>
      </c>
      <c r="R9" s="126">
        <f t="shared" si="9"/>
        <v>60.172999999999995</v>
      </c>
      <c r="S9" s="126">
        <f t="shared" si="9"/>
        <v>59.025999999999996</v>
      </c>
      <c r="T9" s="126">
        <f t="shared" si="9"/>
        <v>60.472999999999999</v>
      </c>
      <c r="U9" s="126">
        <f t="shared" si="9"/>
        <v>63.185999999999993</v>
      </c>
      <c r="V9" s="126">
        <f t="shared" si="9"/>
        <v>63.614999999999995</v>
      </c>
      <c r="W9" s="126">
        <f t="shared" ref="W9:X9" si="10">W104+W105+W111</f>
        <v>49.807000000000002</v>
      </c>
      <c r="X9" s="126">
        <f t="shared" si="10"/>
        <v>52.09</v>
      </c>
      <c r="AB9" s="115"/>
      <c r="AC9" s="115"/>
      <c r="AD9" s="115"/>
      <c r="AE9" s="115"/>
      <c r="AF9" s="115"/>
      <c r="AG9" s="115"/>
      <c r="AJ9" s="115"/>
      <c r="AK9" s="115"/>
      <c r="AL9" s="115"/>
      <c r="AM9" s="115"/>
      <c r="AN9" s="115"/>
      <c r="AO9" s="115"/>
    </row>
    <row r="10" spans="1:41" x14ac:dyDescent="0.3">
      <c r="A10" s="131" t="s">
        <v>31</v>
      </c>
      <c r="B10" s="125" t="str">
        <f>B9</f>
        <v>G€2014</v>
      </c>
      <c r="C10" s="126">
        <f t="shared" ref="C10:V10" si="11">C38</f>
        <v>115.435</v>
      </c>
      <c r="D10" s="126">
        <f t="shared" si="11"/>
        <v>119.967</v>
      </c>
      <c r="E10" s="126">
        <f t="shared" si="11"/>
        <v>119.42100000000001</v>
      </c>
      <c r="F10" s="126">
        <f t="shared" si="11"/>
        <v>119.089</v>
      </c>
      <c r="G10" s="126">
        <f t="shared" si="11"/>
        <v>121.36799999999999</v>
      </c>
      <c r="H10" s="126">
        <f t="shared" si="11"/>
        <v>124.699</v>
      </c>
      <c r="I10" s="126">
        <f t="shared" si="11"/>
        <v>127.733</v>
      </c>
      <c r="J10" s="126">
        <f t="shared" si="11"/>
        <v>133.59700000000001</v>
      </c>
      <c r="K10" s="126">
        <f t="shared" si="11"/>
        <v>131.619</v>
      </c>
      <c r="L10" s="126">
        <f t="shared" si="11"/>
        <v>123.994</v>
      </c>
      <c r="M10" s="126">
        <f t="shared" si="11"/>
        <v>120.90300000000001</v>
      </c>
      <c r="N10" s="126">
        <f t="shared" si="11"/>
        <v>118.619</v>
      </c>
      <c r="O10" s="126">
        <f t="shared" si="11"/>
        <v>112.59399999999999</v>
      </c>
      <c r="P10" s="126">
        <f t="shared" si="11"/>
        <v>113.121</v>
      </c>
      <c r="Q10" s="126">
        <f t="shared" si="11"/>
        <v>110.116</v>
      </c>
      <c r="R10" s="126">
        <f t="shared" si="11"/>
        <v>109.505</v>
      </c>
      <c r="S10" s="126">
        <f t="shared" si="11"/>
        <v>108.449</v>
      </c>
      <c r="T10" s="126">
        <f t="shared" si="11"/>
        <v>110.801</v>
      </c>
      <c r="U10" s="126">
        <f t="shared" si="11"/>
        <v>111.943</v>
      </c>
      <c r="V10" s="126">
        <f t="shared" si="11"/>
        <v>114.88200000000001</v>
      </c>
      <c r="W10" s="126">
        <f t="shared" ref="W10:X10" si="12">W38</f>
        <v>101.443</v>
      </c>
      <c r="X10" s="126">
        <f t="shared" si="12"/>
        <v>108.227</v>
      </c>
      <c r="AB10" s="115"/>
      <c r="AC10" s="115"/>
      <c r="AD10" s="115"/>
      <c r="AE10" s="115"/>
      <c r="AF10" s="115"/>
      <c r="AG10" s="115"/>
      <c r="AJ10" s="115"/>
      <c r="AK10" s="115"/>
      <c r="AL10" s="115"/>
      <c r="AM10" s="115"/>
      <c r="AN10" s="115"/>
      <c r="AO10" s="115"/>
    </row>
    <row r="11" spans="1:41" x14ac:dyDescent="0.3">
      <c r="A11" s="132" t="s">
        <v>29</v>
      </c>
      <c r="B11" s="125" t="str">
        <f>B9</f>
        <v>G€2014</v>
      </c>
      <c r="C11" s="126">
        <f t="shared" ref="C11:V11" si="13">C31+C90+C91+C92+C109+C110</f>
        <v>25.815999999999999</v>
      </c>
      <c r="D11" s="126">
        <f t="shared" si="13"/>
        <v>27.180999999999997</v>
      </c>
      <c r="E11" s="126">
        <f t="shared" si="13"/>
        <v>26.584</v>
      </c>
      <c r="F11" s="126">
        <f t="shared" si="13"/>
        <v>26.466999999999999</v>
      </c>
      <c r="G11" s="126">
        <f t="shared" si="13"/>
        <v>26.3</v>
      </c>
      <c r="H11" s="126">
        <f t="shared" si="13"/>
        <v>25.722999999999999</v>
      </c>
      <c r="I11" s="126">
        <f t="shared" si="13"/>
        <v>25.212</v>
      </c>
      <c r="J11" s="126">
        <f t="shared" si="13"/>
        <v>25.722000000000001</v>
      </c>
      <c r="K11" s="126">
        <f t="shared" si="13"/>
        <v>25.295000000000002</v>
      </c>
      <c r="L11" s="126">
        <f t="shared" si="13"/>
        <v>23.753</v>
      </c>
      <c r="M11" s="126">
        <f t="shared" si="13"/>
        <v>23.253</v>
      </c>
      <c r="N11" s="126">
        <f t="shared" si="13"/>
        <v>24.532999999999998</v>
      </c>
      <c r="O11" s="126">
        <f t="shared" si="13"/>
        <v>24.334999999999997</v>
      </c>
      <c r="P11" s="126">
        <f t="shared" si="13"/>
        <v>23.709999999999997</v>
      </c>
      <c r="Q11" s="126">
        <f t="shared" si="13"/>
        <v>23.558999999999997</v>
      </c>
      <c r="R11" s="126">
        <f t="shared" si="13"/>
        <v>23.295999999999999</v>
      </c>
      <c r="S11" s="126">
        <f t="shared" si="13"/>
        <v>23.045999999999999</v>
      </c>
      <c r="T11" s="126">
        <f t="shared" si="13"/>
        <v>23.308</v>
      </c>
      <c r="U11" s="126">
        <f t="shared" si="13"/>
        <v>23.242000000000004</v>
      </c>
      <c r="V11" s="126">
        <f t="shared" si="13"/>
        <v>23.724</v>
      </c>
      <c r="W11" s="126">
        <f t="shared" ref="W11:X11" si="14">W31+W90+W91+W92+W109+W110</f>
        <v>22.257999999999999</v>
      </c>
      <c r="X11" s="126">
        <f t="shared" si="14"/>
        <v>23.780999999999999</v>
      </c>
      <c r="AB11" s="115"/>
      <c r="AC11" s="115"/>
      <c r="AD11" s="115"/>
      <c r="AE11" s="115"/>
      <c r="AF11" s="115"/>
      <c r="AG11" s="115"/>
      <c r="AJ11" s="115"/>
      <c r="AK11" s="115"/>
      <c r="AL11" s="115"/>
      <c r="AM11" s="115"/>
      <c r="AN11" s="115"/>
      <c r="AO11" s="115"/>
    </row>
    <row r="12" spans="1:41" x14ac:dyDescent="0.3">
      <c r="A12" s="1" t="s">
        <v>126</v>
      </c>
      <c r="C12" s="133"/>
      <c r="D12" s="133"/>
      <c r="E12" s="133"/>
      <c r="F12" s="133"/>
      <c r="G12" s="133"/>
      <c r="H12" s="133"/>
      <c r="I12" s="133"/>
      <c r="J12" s="133"/>
      <c r="K12" s="133"/>
      <c r="L12" s="133"/>
      <c r="M12" s="133"/>
      <c r="N12" s="133"/>
      <c r="O12" s="133"/>
      <c r="P12" s="133"/>
      <c r="Q12" s="133"/>
      <c r="R12" s="133"/>
    </row>
    <row r="14" spans="1:41" x14ac:dyDescent="0.3">
      <c r="A14" s="134" t="s">
        <v>127</v>
      </c>
    </row>
    <row r="16" spans="1:41" x14ac:dyDescent="0.3">
      <c r="C16" s="134">
        <v>2000</v>
      </c>
      <c r="D16" s="134">
        <v>2001</v>
      </c>
      <c r="E16" s="134">
        <v>2002</v>
      </c>
      <c r="F16" s="134">
        <v>2003</v>
      </c>
      <c r="G16" s="134">
        <v>2004</v>
      </c>
      <c r="H16" s="134">
        <v>2005</v>
      </c>
      <c r="I16" s="134">
        <v>2006</v>
      </c>
      <c r="J16" s="134">
        <v>2007</v>
      </c>
      <c r="K16" s="134">
        <v>2008</v>
      </c>
      <c r="L16" s="134">
        <v>2009</v>
      </c>
      <c r="M16" s="134">
        <v>2010</v>
      </c>
      <c r="N16" s="134">
        <v>2011</v>
      </c>
      <c r="O16" s="134">
        <v>2012</v>
      </c>
      <c r="P16" s="134">
        <v>2013</v>
      </c>
      <c r="Q16" s="134">
        <v>2014</v>
      </c>
      <c r="R16" s="134">
        <v>2015</v>
      </c>
      <c r="S16" s="134">
        <v>2016</v>
      </c>
      <c r="T16" s="134">
        <v>2017</v>
      </c>
      <c r="U16" s="134">
        <v>2018</v>
      </c>
      <c r="V16" s="135">
        <v>2019</v>
      </c>
      <c r="W16" s="135">
        <v>2020</v>
      </c>
      <c r="X16" s="418">
        <v>2021</v>
      </c>
    </row>
    <row r="17" spans="1:24" x14ac:dyDescent="0.3">
      <c r="A17" s="1" t="s">
        <v>128</v>
      </c>
      <c r="B17" s="133" t="s">
        <v>129</v>
      </c>
      <c r="C17" s="136">
        <v>29.39</v>
      </c>
      <c r="D17" s="136">
        <v>28.545999999999999</v>
      </c>
      <c r="E17" s="136">
        <v>30.172000000000001</v>
      </c>
      <c r="F17" s="136">
        <v>25.571000000000002</v>
      </c>
      <c r="G17" s="136">
        <v>31.018999999999998</v>
      </c>
      <c r="H17" s="136">
        <v>29.215</v>
      </c>
      <c r="I17" s="136">
        <v>29.276</v>
      </c>
      <c r="J17" s="136">
        <v>29.047000000000001</v>
      </c>
      <c r="K17" s="136">
        <v>30.347000000000001</v>
      </c>
      <c r="L17" s="136">
        <v>32.326999999999998</v>
      </c>
      <c r="M17" s="136">
        <v>31.228999999999999</v>
      </c>
      <c r="N17" s="136">
        <v>32.475000000000001</v>
      </c>
      <c r="O17" s="136">
        <v>29.742999999999999</v>
      </c>
      <c r="P17" s="136">
        <v>29.169</v>
      </c>
      <c r="Q17" s="136">
        <v>33.457999999999998</v>
      </c>
      <c r="R17" s="136">
        <v>33.505000000000003</v>
      </c>
      <c r="S17" s="136">
        <v>29.363</v>
      </c>
      <c r="T17" s="136">
        <v>31.780999999999999</v>
      </c>
      <c r="U17" s="136">
        <v>33.024999999999999</v>
      </c>
      <c r="V17" s="136">
        <v>32.262</v>
      </c>
      <c r="W17" s="136">
        <v>30.288</v>
      </c>
      <c r="X17" s="1">
        <v>28.951000000000001</v>
      </c>
    </row>
    <row r="18" spans="1:24" x14ac:dyDescent="0.3">
      <c r="A18" s="1" t="s">
        <v>130</v>
      </c>
      <c r="B18" s="133" t="s">
        <v>131</v>
      </c>
      <c r="C18" s="136">
        <v>251.25200000000001</v>
      </c>
      <c r="D18" s="136">
        <v>255.68600000000001</v>
      </c>
      <c r="E18" s="136">
        <v>257.88</v>
      </c>
      <c r="F18" s="136">
        <v>262.48099999999999</v>
      </c>
      <c r="G18" s="136">
        <v>269.12400000000002</v>
      </c>
      <c r="H18" s="136">
        <v>270.99700000000001</v>
      </c>
      <c r="I18" s="136">
        <v>275.58199999999999</v>
      </c>
      <c r="J18" s="136">
        <v>280.49</v>
      </c>
      <c r="K18" s="136">
        <v>270.35300000000001</v>
      </c>
      <c r="L18" s="136">
        <v>254.03800000000001</v>
      </c>
      <c r="M18" s="136">
        <v>258.73899999999998</v>
      </c>
      <c r="N18" s="136">
        <v>266.07400000000001</v>
      </c>
      <c r="O18" s="136">
        <v>268.13099999999997</v>
      </c>
      <c r="P18" s="136">
        <v>270.12900000000002</v>
      </c>
      <c r="Q18" s="136">
        <v>271.38</v>
      </c>
      <c r="R18" s="136">
        <v>272.50400000000002</v>
      </c>
      <c r="S18" s="136">
        <v>273.29399999999998</v>
      </c>
      <c r="T18" s="136">
        <v>276.21100000000001</v>
      </c>
      <c r="U18" s="136">
        <v>282.17399999999998</v>
      </c>
      <c r="V18" s="136">
        <v>286.887</v>
      </c>
      <c r="W18" s="136">
        <v>262.00299999999999</v>
      </c>
      <c r="X18" s="1">
        <v>272.27499999999998</v>
      </c>
    </row>
    <row r="19" spans="1:24" x14ac:dyDescent="0.3">
      <c r="A19" s="1" t="s">
        <v>132</v>
      </c>
      <c r="B19" s="133" t="s">
        <v>133</v>
      </c>
      <c r="C19" s="136">
        <v>52.436</v>
      </c>
      <c r="D19" s="136">
        <v>55.314</v>
      </c>
      <c r="E19" s="136">
        <v>59.034999999999997</v>
      </c>
      <c r="F19" s="136">
        <v>58.792999999999999</v>
      </c>
      <c r="G19" s="136">
        <v>60.555</v>
      </c>
      <c r="H19" s="136">
        <v>58.023000000000003</v>
      </c>
      <c r="I19" s="136">
        <v>56.268000000000001</v>
      </c>
      <c r="J19" s="136">
        <v>56.65</v>
      </c>
      <c r="K19" s="136">
        <v>53.451999999999998</v>
      </c>
      <c r="L19" s="136">
        <v>49.648000000000003</v>
      </c>
      <c r="M19" s="136">
        <v>49.286000000000001</v>
      </c>
      <c r="N19" s="136">
        <v>47.758000000000003</v>
      </c>
      <c r="O19" s="136">
        <v>50.470999999999997</v>
      </c>
      <c r="P19" s="136">
        <v>52.837000000000003</v>
      </c>
      <c r="Q19" s="136">
        <v>50.375</v>
      </c>
      <c r="R19" s="136">
        <v>50.024000000000001</v>
      </c>
      <c r="S19" s="136">
        <v>48.904000000000003</v>
      </c>
      <c r="T19" s="136">
        <v>46.866</v>
      </c>
      <c r="U19" s="136">
        <v>48.963000000000001</v>
      </c>
      <c r="V19" s="136">
        <v>48.927</v>
      </c>
      <c r="W19" s="136">
        <v>47.097999999999999</v>
      </c>
      <c r="X19" s="1">
        <v>49.375999999999998</v>
      </c>
    </row>
    <row r="20" spans="1:24" x14ac:dyDescent="0.3">
      <c r="A20" s="1" t="s">
        <v>134</v>
      </c>
      <c r="B20" s="133" t="s">
        <v>135</v>
      </c>
      <c r="C20" s="136">
        <v>4.5389999999999997</v>
      </c>
      <c r="D20" s="136">
        <v>4.0140000000000002</v>
      </c>
      <c r="E20" s="136">
        <v>3.7930000000000001</v>
      </c>
      <c r="F20" s="136">
        <v>3.395</v>
      </c>
      <c r="G20" s="136">
        <v>3.181</v>
      </c>
      <c r="H20" s="136">
        <v>2.9220000000000002</v>
      </c>
      <c r="I20" s="136">
        <v>3.0870000000000002</v>
      </c>
      <c r="J20" s="136">
        <v>3.153</v>
      </c>
      <c r="K20" s="136">
        <v>2.9289999999999998</v>
      </c>
      <c r="L20" s="136">
        <v>2.6589999999999998</v>
      </c>
      <c r="M20" s="136">
        <v>2.5790000000000002</v>
      </c>
      <c r="N20" s="136">
        <v>2.5640000000000001</v>
      </c>
      <c r="O20" s="136">
        <v>2.4159999999999999</v>
      </c>
      <c r="P20" s="136">
        <v>2.1909999999999998</v>
      </c>
      <c r="Q20" s="136">
        <v>2.1840000000000002</v>
      </c>
      <c r="R20" s="136">
        <v>2.0489999999999999</v>
      </c>
      <c r="S20" s="136">
        <v>1.9750000000000001</v>
      </c>
      <c r="T20" s="136">
        <v>2.0009999999999999</v>
      </c>
      <c r="U20" s="136">
        <v>2.0009999999999999</v>
      </c>
      <c r="V20" s="136">
        <v>1.982</v>
      </c>
      <c r="W20" s="136">
        <v>1.802</v>
      </c>
      <c r="X20" s="1">
        <v>1.865</v>
      </c>
    </row>
    <row r="21" spans="1:24" x14ac:dyDescent="0.3">
      <c r="A21" s="1" t="s">
        <v>136</v>
      </c>
      <c r="B21" s="133" t="s">
        <v>137</v>
      </c>
      <c r="C21" s="136">
        <v>36.494999999999997</v>
      </c>
      <c r="D21" s="136">
        <v>38.878999999999998</v>
      </c>
      <c r="E21" s="136">
        <v>42.148000000000003</v>
      </c>
      <c r="F21" s="136">
        <v>40.938000000000002</v>
      </c>
      <c r="G21" s="136">
        <v>43.335000000000001</v>
      </c>
      <c r="H21" s="136">
        <v>41.021000000000001</v>
      </c>
      <c r="I21" s="136">
        <v>38.976999999999997</v>
      </c>
      <c r="J21" s="136">
        <v>39.198</v>
      </c>
      <c r="K21" s="136">
        <v>36.378</v>
      </c>
      <c r="L21" s="136">
        <v>32.28</v>
      </c>
      <c r="M21" s="136">
        <v>31.420999999999999</v>
      </c>
      <c r="N21" s="136">
        <v>30.068000000000001</v>
      </c>
      <c r="O21" s="136">
        <v>33.414000000000001</v>
      </c>
      <c r="P21" s="136">
        <v>35.939</v>
      </c>
      <c r="Q21" s="136">
        <v>34.085000000000001</v>
      </c>
      <c r="R21" s="136">
        <v>34.383000000000003</v>
      </c>
      <c r="S21" s="136">
        <v>33.533999999999999</v>
      </c>
      <c r="T21" s="136">
        <v>30.997</v>
      </c>
      <c r="U21" s="136">
        <v>33.131999999999998</v>
      </c>
      <c r="V21" s="136">
        <v>33.003</v>
      </c>
      <c r="W21" s="136">
        <v>31.981999999999999</v>
      </c>
      <c r="X21" s="1">
        <v>33.075000000000003</v>
      </c>
    </row>
    <row r="22" spans="1:24" x14ac:dyDescent="0.3">
      <c r="A22" s="1" t="s">
        <v>138</v>
      </c>
      <c r="B22" s="133" t="s">
        <v>139</v>
      </c>
      <c r="C22" s="136">
        <v>12.547000000000001</v>
      </c>
      <c r="D22" s="136">
        <v>13.336</v>
      </c>
      <c r="E22" s="136">
        <v>13.965999999999999</v>
      </c>
      <c r="F22" s="136">
        <v>15.098000000000001</v>
      </c>
      <c r="G22" s="136">
        <v>14.641</v>
      </c>
      <c r="H22" s="136">
        <v>14.563000000000001</v>
      </c>
      <c r="I22" s="136">
        <v>14.71</v>
      </c>
      <c r="J22" s="136">
        <v>14.815</v>
      </c>
      <c r="K22" s="136">
        <v>14.502000000000001</v>
      </c>
      <c r="L22" s="136">
        <v>14.712</v>
      </c>
      <c r="M22" s="136">
        <v>15.254</v>
      </c>
      <c r="N22" s="136">
        <v>15.058</v>
      </c>
      <c r="O22" s="136">
        <v>14.619</v>
      </c>
      <c r="P22" s="136">
        <v>14.715999999999999</v>
      </c>
      <c r="Q22" s="136">
        <v>14.106</v>
      </c>
      <c r="R22" s="136">
        <v>13.592000000000001</v>
      </c>
      <c r="S22" s="136">
        <v>13.391999999999999</v>
      </c>
      <c r="T22" s="136">
        <v>13.868</v>
      </c>
      <c r="U22" s="136">
        <v>13.83</v>
      </c>
      <c r="V22" s="136">
        <v>13.936999999999999</v>
      </c>
      <c r="W22" s="136">
        <v>13.275</v>
      </c>
      <c r="X22" s="1">
        <v>14.468</v>
      </c>
    </row>
    <row r="23" spans="1:24" x14ac:dyDescent="0.3">
      <c r="A23" s="137" t="s">
        <v>140</v>
      </c>
      <c r="B23" s="137" t="s">
        <v>141</v>
      </c>
      <c r="C23" s="136">
        <v>37.850999999999999</v>
      </c>
      <c r="D23" s="136">
        <v>36.603000000000002</v>
      </c>
      <c r="E23" s="136">
        <v>37.548000000000002</v>
      </c>
      <c r="F23" s="136">
        <v>39.651000000000003</v>
      </c>
      <c r="G23" s="136">
        <v>40.61</v>
      </c>
      <c r="H23" s="136">
        <v>40.848999999999997</v>
      </c>
      <c r="I23" s="136">
        <v>40.817999999999998</v>
      </c>
      <c r="J23" s="136">
        <v>41.448999999999998</v>
      </c>
      <c r="K23" s="136">
        <v>37.908000000000001</v>
      </c>
      <c r="L23" s="136">
        <v>38.774000000000001</v>
      </c>
      <c r="M23" s="136">
        <v>40.454999999999998</v>
      </c>
      <c r="N23" s="136">
        <v>42.097999999999999</v>
      </c>
      <c r="O23" s="136">
        <v>41.755000000000003</v>
      </c>
      <c r="P23" s="136">
        <v>41.637</v>
      </c>
      <c r="Q23" s="136">
        <v>42.826000000000001</v>
      </c>
      <c r="R23" s="136">
        <v>43.508000000000003</v>
      </c>
      <c r="S23" s="136">
        <v>44.673999999999999</v>
      </c>
      <c r="T23" s="136">
        <v>45.484999999999999</v>
      </c>
      <c r="U23" s="136">
        <v>45.279000000000003</v>
      </c>
      <c r="V23" s="136">
        <v>45.597999999999999</v>
      </c>
      <c r="W23" s="136">
        <v>44.088999999999999</v>
      </c>
      <c r="X23" s="1">
        <v>44.859000000000002</v>
      </c>
    </row>
    <row r="24" spans="1:24" x14ac:dyDescent="0.3">
      <c r="A24" s="1" t="s">
        <v>142</v>
      </c>
      <c r="B24" s="133" t="s">
        <v>143</v>
      </c>
      <c r="C24" s="136">
        <v>2.7589999999999999</v>
      </c>
      <c r="D24" s="136">
        <v>3.585</v>
      </c>
      <c r="E24" s="136">
        <v>4.8659999999999997</v>
      </c>
      <c r="F24" s="136">
        <v>3.6320000000000001</v>
      </c>
      <c r="G24" s="136">
        <v>3.1179999999999999</v>
      </c>
      <c r="H24" s="136">
        <v>3.0910000000000002</v>
      </c>
      <c r="I24" s="136">
        <v>3.952</v>
      </c>
      <c r="J24" s="136">
        <v>3.919</v>
      </c>
      <c r="K24" s="136">
        <v>2.335</v>
      </c>
      <c r="L24" s="136">
        <v>1.6930000000000001</v>
      </c>
      <c r="M24" s="136">
        <v>1.4650000000000001</v>
      </c>
      <c r="N24" s="136">
        <v>1.41</v>
      </c>
      <c r="O24" s="136">
        <v>1.21</v>
      </c>
      <c r="P24" s="136">
        <v>1.143</v>
      </c>
      <c r="Q24" s="136">
        <v>2.2589999999999999</v>
      </c>
      <c r="R24" s="136">
        <v>2.4540000000000002</v>
      </c>
      <c r="S24" s="136">
        <v>2.66</v>
      </c>
      <c r="T24" s="136">
        <v>2.6160000000000001</v>
      </c>
      <c r="U24" s="136">
        <v>3.1110000000000002</v>
      </c>
      <c r="V24" s="136">
        <v>3.0379999999999998</v>
      </c>
      <c r="W24" s="136">
        <v>5.96</v>
      </c>
      <c r="X24" s="1">
        <v>2.0790000000000002</v>
      </c>
    </row>
    <row r="25" spans="1:24" x14ac:dyDescent="0.3">
      <c r="A25" s="1" t="s">
        <v>144</v>
      </c>
      <c r="B25" s="133" t="s">
        <v>145</v>
      </c>
      <c r="C25" s="136">
        <v>24.422000000000001</v>
      </c>
      <c r="D25" s="136">
        <v>24.707999999999998</v>
      </c>
      <c r="E25" s="136">
        <v>24.756</v>
      </c>
      <c r="F25" s="136">
        <v>24.817</v>
      </c>
      <c r="G25" s="136">
        <v>27.07</v>
      </c>
      <c r="H25" s="136">
        <v>27.271999999999998</v>
      </c>
      <c r="I25" s="136">
        <v>29.533000000000001</v>
      </c>
      <c r="J25" s="136">
        <v>30.224</v>
      </c>
      <c r="K25" s="136">
        <v>30.256</v>
      </c>
      <c r="L25" s="136">
        <v>25.765999999999998</v>
      </c>
      <c r="M25" s="136">
        <v>28.044</v>
      </c>
      <c r="N25" s="136">
        <v>29.355</v>
      </c>
      <c r="O25" s="136">
        <v>29.515000000000001</v>
      </c>
      <c r="P25" s="136">
        <v>30.238</v>
      </c>
      <c r="Q25" s="136">
        <v>30.53</v>
      </c>
      <c r="R25" s="136">
        <v>29.863</v>
      </c>
      <c r="S25" s="136">
        <v>29.393999999999998</v>
      </c>
      <c r="T25" s="136">
        <v>29.733000000000001</v>
      </c>
      <c r="U25" s="136">
        <v>30.314</v>
      </c>
      <c r="V25" s="136">
        <v>31.823</v>
      </c>
      <c r="W25" s="136">
        <v>29.385000000000002</v>
      </c>
      <c r="X25" s="1">
        <v>31.120999999999999</v>
      </c>
    </row>
    <row r="26" spans="1:24" x14ac:dyDescent="0.3">
      <c r="A26" s="1" t="s">
        <v>146</v>
      </c>
      <c r="B26" s="133" t="s">
        <v>147</v>
      </c>
      <c r="C26" s="136">
        <v>5.3319999999999999</v>
      </c>
      <c r="D26" s="136">
        <v>5.2910000000000004</v>
      </c>
      <c r="E26" s="136">
        <v>5.53</v>
      </c>
      <c r="F26" s="136">
        <v>5.6429999999999998</v>
      </c>
      <c r="G26" s="136">
        <v>6.234</v>
      </c>
      <c r="H26" s="136">
        <v>6.516</v>
      </c>
      <c r="I26" s="136">
        <v>7.585</v>
      </c>
      <c r="J26" s="136">
        <v>7.6870000000000003</v>
      </c>
      <c r="K26" s="136">
        <v>7.9320000000000004</v>
      </c>
      <c r="L26" s="136">
        <v>7.407</v>
      </c>
      <c r="M26" s="136">
        <v>9.0370000000000008</v>
      </c>
      <c r="N26" s="136">
        <v>9.3789999999999996</v>
      </c>
      <c r="O26" s="136">
        <v>9.8279999999999994</v>
      </c>
      <c r="P26" s="136">
        <v>10.702</v>
      </c>
      <c r="Q26" s="136">
        <v>11.122999999999999</v>
      </c>
      <c r="R26" s="136">
        <v>11.129</v>
      </c>
      <c r="S26" s="136">
        <v>11.394</v>
      </c>
      <c r="T26" s="136">
        <v>11.787000000000001</v>
      </c>
      <c r="U26" s="136">
        <v>12.26</v>
      </c>
      <c r="V26" s="136">
        <v>13.493</v>
      </c>
      <c r="W26" s="136">
        <v>12.481999999999999</v>
      </c>
      <c r="X26" s="1">
        <v>13.193</v>
      </c>
    </row>
    <row r="27" spans="1:24" x14ac:dyDescent="0.3">
      <c r="A27" s="1" t="s">
        <v>148</v>
      </c>
      <c r="B27" s="133" t="s">
        <v>149</v>
      </c>
      <c r="C27" s="136">
        <v>10.618</v>
      </c>
      <c r="D27" s="136">
        <v>10.121</v>
      </c>
      <c r="E27" s="136">
        <v>9.65</v>
      </c>
      <c r="F27" s="136">
        <v>9.0389999999999997</v>
      </c>
      <c r="G27" s="136">
        <v>9.7550000000000008</v>
      </c>
      <c r="H27" s="136">
        <v>9.2140000000000004</v>
      </c>
      <c r="I27" s="136">
        <v>8.91</v>
      </c>
      <c r="J27" s="136">
        <v>9.1940000000000008</v>
      </c>
      <c r="K27" s="136">
        <v>8.9190000000000005</v>
      </c>
      <c r="L27" s="136">
        <v>7.5789999999999997</v>
      </c>
      <c r="M27" s="136">
        <v>7.7069999999999999</v>
      </c>
      <c r="N27" s="136">
        <v>7.3879999999999999</v>
      </c>
      <c r="O27" s="136">
        <v>7.2560000000000002</v>
      </c>
      <c r="P27" s="136">
        <v>7.1230000000000002</v>
      </c>
      <c r="Q27" s="136">
        <v>6.92</v>
      </c>
      <c r="R27" s="136">
        <v>6.86</v>
      </c>
      <c r="S27" s="136">
        <v>6.9050000000000002</v>
      </c>
      <c r="T27" s="136">
        <v>6.9429999999999996</v>
      </c>
      <c r="U27" s="136">
        <v>7.0540000000000003</v>
      </c>
      <c r="V27" s="136">
        <v>7.1210000000000004</v>
      </c>
      <c r="W27" s="136">
        <v>6.3639999999999999</v>
      </c>
      <c r="X27" s="1">
        <v>6.8479999999999999</v>
      </c>
    </row>
    <row r="28" spans="1:24" x14ac:dyDescent="0.3">
      <c r="A28" s="1" t="s">
        <v>150</v>
      </c>
      <c r="B28" s="133" t="s">
        <v>151</v>
      </c>
      <c r="C28" s="136">
        <v>11.486000000000001</v>
      </c>
      <c r="D28" s="136">
        <v>12.401</v>
      </c>
      <c r="E28" s="136">
        <v>12.157</v>
      </c>
      <c r="F28" s="136">
        <v>12.441000000000001</v>
      </c>
      <c r="G28" s="136">
        <v>13.455</v>
      </c>
      <c r="H28" s="136">
        <v>13.507</v>
      </c>
      <c r="I28" s="136">
        <v>14.391</v>
      </c>
      <c r="J28" s="136">
        <v>14.807</v>
      </c>
      <c r="K28" s="136">
        <v>14.644</v>
      </c>
      <c r="L28" s="136">
        <v>11.404999999999999</v>
      </c>
      <c r="M28" s="136">
        <v>11.494999999999999</v>
      </c>
      <c r="N28" s="136">
        <v>12.772</v>
      </c>
      <c r="O28" s="136">
        <v>12.523999999999999</v>
      </c>
      <c r="P28" s="136">
        <v>12.428000000000001</v>
      </c>
      <c r="Q28" s="136">
        <v>12.487</v>
      </c>
      <c r="R28" s="136">
        <v>11.875</v>
      </c>
      <c r="S28" s="136">
        <v>11.096</v>
      </c>
      <c r="T28" s="136">
        <v>11.007999999999999</v>
      </c>
      <c r="U28" s="136">
        <v>11.013</v>
      </c>
      <c r="V28" s="136">
        <v>11.254</v>
      </c>
      <c r="W28" s="136">
        <v>10.564</v>
      </c>
      <c r="X28" s="1">
        <v>11.114000000000001</v>
      </c>
    </row>
    <row r="29" spans="1:24" x14ac:dyDescent="0.3">
      <c r="A29" s="1" t="s">
        <v>152</v>
      </c>
      <c r="B29" s="133" t="s">
        <v>153</v>
      </c>
      <c r="C29" s="136">
        <v>31.312000000000001</v>
      </c>
      <c r="D29" s="136">
        <v>30.239000000000001</v>
      </c>
      <c r="E29" s="136">
        <v>28.800999999999998</v>
      </c>
      <c r="F29" s="136">
        <v>30.741</v>
      </c>
      <c r="G29" s="136">
        <v>31.459</v>
      </c>
      <c r="H29" s="136">
        <v>32.54</v>
      </c>
      <c r="I29" s="136">
        <v>32.32</v>
      </c>
      <c r="J29" s="136">
        <v>32.323</v>
      </c>
      <c r="K29" s="136">
        <v>31.062999999999999</v>
      </c>
      <c r="L29" s="136">
        <v>26.001000000000001</v>
      </c>
      <c r="M29" s="136">
        <v>28.478000000000002</v>
      </c>
      <c r="N29" s="136">
        <v>28.440999999999999</v>
      </c>
      <c r="O29" s="136">
        <v>28.448</v>
      </c>
      <c r="P29" s="136">
        <v>26.992999999999999</v>
      </c>
      <c r="Q29" s="136">
        <v>27.035</v>
      </c>
      <c r="R29" s="136">
        <v>26.907</v>
      </c>
      <c r="S29" s="136">
        <v>27.062999999999999</v>
      </c>
      <c r="T29" s="136">
        <v>28.382000000000001</v>
      </c>
      <c r="U29" s="136">
        <v>30.481999999999999</v>
      </c>
      <c r="V29" s="136">
        <v>29.811</v>
      </c>
      <c r="W29" s="136">
        <v>19.581</v>
      </c>
      <c r="X29" s="1">
        <v>20.626000000000001</v>
      </c>
    </row>
    <row r="30" spans="1:24" x14ac:dyDescent="0.3">
      <c r="A30" s="1" t="s">
        <v>154</v>
      </c>
      <c r="B30" s="133" t="s">
        <v>155</v>
      </c>
      <c r="C30" s="136">
        <v>107.636</v>
      </c>
      <c r="D30" s="136">
        <v>110.736</v>
      </c>
      <c r="E30" s="136">
        <v>110.261</v>
      </c>
      <c r="F30" s="136">
        <v>111.235</v>
      </c>
      <c r="G30" s="136">
        <v>112.004</v>
      </c>
      <c r="H30" s="136">
        <v>114.196</v>
      </c>
      <c r="I30" s="136">
        <v>116.58799999999999</v>
      </c>
      <c r="J30" s="136">
        <v>119.581</v>
      </c>
      <c r="K30" s="136">
        <v>117.84</v>
      </c>
      <c r="L30" s="136">
        <v>114.04</v>
      </c>
      <c r="M30" s="136">
        <v>112.60299999999999</v>
      </c>
      <c r="N30" s="136">
        <v>118.184</v>
      </c>
      <c r="O30" s="136">
        <v>118.121</v>
      </c>
      <c r="P30" s="136">
        <v>118.718</v>
      </c>
      <c r="Q30" s="136">
        <v>118.357</v>
      </c>
      <c r="R30" s="136">
        <v>119.748</v>
      </c>
      <c r="S30" s="136">
        <v>120.605</v>
      </c>
      <c r="T30" s="136">
        <v>123.13500000000001</v>
      </c>
      <c r="U30" s="136">
        <v>123.837</v>
      </c>
      <c r="V30" s="136">
        <v>127.56399999999999</v>
      </c>
      <c r="W30" s="136">
        <v>117.774</v>
      </c>
      <c r="X30" s="1">
        <v>122.89</v>
      </c>
    </row>
    <row r="31" spans="1:24" x14ac:dyDescent="0.3">
      <c r="A31" s="138" t="s">
        <v>156</v>
      </c>
      <c r="B31" s="138" t="s">
        <v>157</v>
      </c>
      <c r="C31" s="136">
        <v>7.7279999999999998</v>
      </c>
      <c r="D31" s="136">
        <v>7.9160000000000004</v>
      </c>
      <c r="E31" s="136">
        <v>7.6189999999999998</v>
      </c>
      <c r="F31" s="136">
        <v>7.2809999999999997</v>
      </c>
      <c r="G31" s="136">
        <v>6.9169999999999998</v>
      </c>
      <c r="H31" s="136">
        <v>6.6159999999999997</v>
      </c>
      <c r="I31" s="136">
        <v>6.3769999999999998</v>
      </c>
      <c r="J31" s="136">
        <v>6.609</v>
      </c>
      <c r="K31" s="136">
        <v>6.3570000000000002</v>
      </c>
      <c r="L31" s="136">
        <v>5.2</v>
      </c>
      <c r="M31" s="136">
        <v>5.0220000000000002</v>
      </c>
      <c r="N31" s="136">
        <v>5.7210000000000001</v>
      </c>
      <c r="O31" s="136">
        <v>5.7850000000000001</v>
      </c>
      <c r="P31" s="136">
        <v>5.4669999999999996</v>
      </c>
      <c r="Q31" s="136">
        <v>5.048</v>
      </c>
      <c r="R31" s="136">
        <v>5.27</v>
      </c>
      <c r="S31" s="136">
        <v>5.234</v>
      </c>
      <c r="T31" s="136">
        <v>5.42</v>
      </c>
      <c r="U31" s="136">
        <v>5.7119999999999997</v>
      </c>
      <c r="V31" s="136">
        <v>5.7409999999999997</v>
      </c>
      <c r="W31" s="136">
        <v>5.6020000000000003</v>
      </c>
      <c r="X31" s="1">
        <v>6.0860000000000003</v>
      </c>
    </row>
    <row r="32" spans="1:24" x14ac:dyDescent="0.3">
      <c r="A32" s="1" t="s">
        <v>158</v>
      </c>
      <c r="B32" s="133" t="s">
        <v>159</v>
      </c>
      <c r="C32" s="136">
        <v>9.7560000000000002</v>
      </c>
      <c r="D32" s="136">
        <v>10.233000000000001</v>
      </c>
      <c r="E32" s="136">
        <v>10.209</v>
      </c>
      <c r="F32" s="136">
        <v>10.473000000000001</v>
      </c>
      <c r="G32" s="136">
        <v>10.473000000000001</v>
      </c>
      <c r="H32" s="136">
        <v>10.244999999999999</v>
      </c>
      <c r="I32" s="136">
        <v>9.9930000000000003</v>
      </c>
      <c r="J32" s="136">
        <v>10.055</v>
      </c>
      <c r="K32" s="136">
        <v>10.362</v>
      </c>
      <c r="L32" s="136">
        <v>10.316000000000001</v>
      </c>
      <c r="M32" s="136">
        <v>10.129</v>
      </c>
      <c r="N32" s="136">
        <v>10.804</v>
      </c>
      <c r="O32" s="136">
        <v>10.891</v>
      </c>
      <c r="P32" s="136">
        <v>10.933</v>
      </c>
      <c r="Q32" s="136">
        <v>11.156000000000001</v>
      </c>
      <c r="R32" s="136">
        <v>10.877000000000001</v>
      </c>
      <c r="S32" s="136">
        <v>10.965</v>
      </c>
      <c r="T32" s="136">
        <v>11.11</v>
      </c>
      <c r="U32" s="136">
        <v>10.568</v>
      </c>
      <c r="V32" s="136">
        <v>10.879</v>
      </c>
      <c r="W32" s="136">
        <v>10.577999999999999</v>
      </c>
      <c r="X32" s="1">
        <v>10.805999999999999</v>
      </c>
    </row>
    <row r="33" spans="1:24" x14ac:dyDescent="0.3">
      <c r="A33" s="139" t="s">
        <v>160</v>
      </c>
      <c r="B33" s="139" t="s">
        <v>161</v>
      </c>
      <c r="C33" s="136">
        <v>15.202</v>
      </c>
      <c r="D33" s="136">
        <v>14.763999999999999</v>
      </c>
      <c r="E33" s="136">
        <v>14.066000000000001</v>
      </c>
      <c r="F33" s="136">
        <v>14.154</v>
      </c>
      <c r="G33" s="136">
        <v>14.134</v>
      </c>
      <c r="H33" s="136">
        <v>15.497</v>
      </c>
      <c r="I33" s="136">
        <v>14.823</v>
      </c>
      <c r="J33" s="136">
        <v>15.474</v>
      </c>
      <c r="K33" s="136">
        <v>14.489000000000001</v>
      </c>
      <c r="L33" s="136">
        <v>15.201000000000001</v>
      </c>
      <c r="M33" s="136">
        <v>14.443</v>
      </c>
      <c r="N33" s="136">
        <v>15.151999999999999</v>
      </c>
      <c r="O33" s="136">
        <v>15.475</v>
      </c>
      <c r="P33" s="136">
        <v>17.462</v>
      </c>
      <c r="Q33" s="136">
        <v>18.202999999999999</v>
      </c>
      <c r="R33" s="136">
        <v>18.338999999999999</v>
      </c>
      <c r="S33" s="136">
        <v>19.16</v>
      </c>
      <c r="T33" s="136">
        <v>20.071999999999999</v>
      </c>
      <c r="U33" s="136">
        <v>19.722999999999999</v>
      </c>
      <c r="V33" s="136">
        <v>20.785</v>
      </c>
      <c r="W33" s="136">
        <v>20.452000000000002</v>
      </c>
      <c r="X33" s="1">
        <v>20.323</v>
      </c>
    </row>
    <row r="34" spans="1:24" x14ac:dyDescent="0.3">
      <c r="A34" s="139" t="s">
        <v>162</v>
      </c>
      <c r="B34" s="139" t="s">
        <v>163</v>
      </c>
      <c r="C34" s="136">
        <v>7.0960000000000001</v>
      </c>
      <c r="D34" s="136">
        <v>8.1969999999999992</v>
      </c>
      <c r="E34" s="136">
        <v>8.5359999999999996</v>
      </c>
      <c r="F34" s="136">
        <v>8.8360000000000003</v>
      </c>
      <c r="G34" s="136">
        <v>8.5609999999999999</v>
      </c>
      <c r="H34" s="136">
        <v>9.2469999999999999</v>
      </c>
      <c r="I34" s="136">
        <v>10.981999999999999</v>
      </c>
      <c r="J34" s="136">
        <v>11.227</v>
      </c>
      <c r="K34" s="136">
        <v>11.34</v>
      </c>
      <c r="L34" s="136">
        <v>11</v>
      </c>
      <c r="M34" s="136">
        <v>10.984999999999999</v>
      </c>
      <c r="N34" s="136">
        <v>11.393000000000001</v>
      </c>
      <c r="O34" s="136">
        <v>11.747999999999999</v>
      </c>
      <c r="P34" s="136">
        <v>11.401</v>
      </c>
      <c r="Q34" s="136">
        <v>11.518000000000001</v>
      </c>
      <c r="R34" s="136">
        <v>12.272</v>
      </c>
      <c r="S34" s="136">
        <v>12.815</v>
      </c>
      <c r="T34" s="136">
        <v>13.151999999999999</v>
      </c>
      <c r="U34" s="136">
        <v>13.968</v>
      </c>
      <c r="V34" s="136">
        <v>14.941000000000001</v>
      </c>
      <c r="W34" s="136">
        <v>15.823</v>
      </c>
      <c r="X34" s="1">
        <v>15.898</v>
      </c>
    </row>
    <row r="35" spans="1:24" x14ac:dyDescent="0.3">
      <c r="A35" s="1" t="s">
        <v>164</v>
      </c>
      <c r="B35" s="133" t="s">
        <v>165</v>
      </c>
      <c r="C35" s="136">
        <v>17.413</v>
      </c>
      <c r="D35" s="136">
        <v>18.055</v>
      </c>
      <c r="E35" s="136">
        <v>18.41</v>
      </c>
      <c r="F35" s="136">
        <v>19.716000000000001</v>
      </c>
      <c r="G35" s="136">
        <v>20.100999999999999</v>
      </c>
      <c r="H35" s="136">
        <v>20.670999999999999</v>
      </c>
      <c r="I35" s="136">
        <v>21.298999999999999</v>
      </c>
      <c r="J35" s="136">
        <v>21.756</v>
      </c>
      <c r="K35" s="136">
        <v>21.268000000000001</v>
      </c>
      <c r="L35" s="136">
        <v>18.832000000000001</v>
      </c>
      <c r="M35" s="136">
        <v>18.248999999999999</v>
      </c>
      <c r="N35" s="136">
        <v>20.401</v>
      </c>
      <c r="O35" s="136">
        <v>19.666</v>
      </c>
      <c r="P35" s="136">
        <v>18.696000000000002</v>
      </c>
      <c r="Q35" s="136">
        <v>18.524000000000001</v>
      </c>
      <c r="R35" s="136">
        <v>18.827000000000002</v>
      </c>
      <c r="S35" s="136">
        <v>18.675999999999998</v>
      </c>
      <c r="T35" s="136">
        <v>18.876000000000001</v>
      </c>
      <c r="U35" s="136">
        <v>19.779</v>
      </c>
      <c r="V35" s="136">
        <v>19.812999999999999</v>
      </c>
      <c r="W35" s="136">
        <v>17.088999999999999</v>
      </c>
      <c r="X35" s="1">
        <v>18.292000000000002</v>
      </c>
    </row>
    <row r="36" spans="1:24" x14ac:dyDescent="0.3">
      <c r="A36" s="140" t="s">
        <v>166</v>
      </c>
      <c r="B36" s="140" t="s">
        <v>167</v>
      </c>
      <c r="C36" s="136">
        <v>24.254999999999999</v>
      </c>
      <c r="D36" s="136">
        <v>24.448</v>
      </c>
      <c r="E36" s="136">
        <v>24.38</v>
      </c>
      <c r="F36" s="136">
        <v>24.315000000000001</v>
      </c>
      <c r="G36" s="136">
        <v>24.667000000000002</v>
      </c>
      <c r="H36" s="136">
        <v>23.864999999999998</v>
      </c>
      <c r="I36" s="136">
        <v>24.026</v>
      </c>
      <c r="J36" s="136">
        <v>24.463000000000001</v>
      </c>
      <c r="K36" s="136">
        <v>23.97</v>
      </c>
      <c r="L36" s="136">
        <v>23.940999999999999</v>
      </c>
      <c r="M36" s="136">
        <v>24.628</v>
      </c>
      <c r="N36" s="136">
        <v>24.859000000000002</v>
      </c>
      <c r="O36" s="136">
        <v>24.396000000000001</v>
      </c>
      <c r="P36" s="136">
        <v>25.766999999999999</v>
      </c>
      <c r="Q36" s="136">
        <v>25.215</v>
      </c>
      <c r="R36" s="136">
        <v>25.623999999999999</v>
      </c>
      <c r="S36" s="136">
        <v>26.013999999999999</v>
      </c>
      <c r="T36" s="136">
        <v>26.658000000000001</v>
      </c>
      <c r="U36" s="136">
        <v>25.46</v>
      </c>
      <c r="V36" s="136">
        <v>25.805</v>
      </c>
      <c r="W36" s="136">
        <v>22.829000000000001</v>
      </c>
      <c r="X36" s="1">
        <v>24.457000000000001</v>
      </c>
    </row>
    <row r="37" spans="1:24" x14ac:dyDescent="0.3">
      <c r="A37" s="1" t="s">
        <v>168</v>
      </c>
      <c r="B37" s="133" t="s">
        <v>169</v>
      </c>
      <c r="C37" s="136">
        <v>28.254999999999999</v>
      </c>
      <c r="D37" s="136">
        <v>28.725000000000001</v>
      </c>
      <c r="E37" s="136">
        <v>28.358000000000001</v>
      </c>
      <c r="F37" s="136">
        <v>27.245000000000001</v>
      </c>
      <c r="G37" s="136">
        <v>28.21</v>
      </c>
      <c r="H37" s="136">
        <v>29.231000000000002</v>
      </c>
      <c r="I37" s="136">
        <v>29.78</v>
      </c>
      <c r="J37" s="136">
        <v>30.866</v>
      </c>
      <c r="K37" s="136">
        <v>30.780999999999999</v>
      </c>
      <c r="L37" s="136">
        <v>30.004000000000001</v>
      </c>
      <c r="M37" s="136">
        <v>29.555</v>
      </c>
      <c r="N37" s="136">
        <v>30.236000000000001</v>
      </c>
      <c r="O37" s="136">
        <v>30.524000000000001</v>
      </c>
      <c r="P37" s="136">
        <v>29.044</v>
      </c>
      <c r="Q37" s="136">
        <v>28.693000000000001</v>
      </c>
      <c r="R37" s="136">
        <v>28.539000000000001</v>
      </c>
      <c r="S37" s="136">
        <v>27.721</v>
      </c>
      <c r="T37" s="136">
        <v>27.869</v>
      </c>
      <c r="U37" s="136">
        <v>28.652000000000001</v>
      </c>
      <c r="V37" s="136">
        <v>29.664999999999999</v>
      </c>
      <c r="W37" s="136">
        <v>25.838000000000001</v>
      </c>
      <c r="X37" s="1">
        <v>27.312999999999999</v>
      </c>
    </row>
    <row r="38" spans="1:24" x14ac:dyDescent="0.3">
      <c r="A38" s="141" t="s">
        <v>170</v>
      </c>
      <c r="B38" s="142" t="s">
        <v>31</v>
      </c>
      <c r="C38" s="136">
        <v>115.435</v>
      </c>
      <c r="D38" s="136">
        <v>119.967</v>
      </c>
      <c r="E38" s="136">
        <v>119.42100000000001</v>
      </c>
      <c r="F38" s="136">
        <v>119.089</v>
      </c>
      <c r="G38" s="136">
        <v>121.36799999999999</v>
      </c>
      <c r="H38" s="136">
        <v>124.699</v>
      </c>
      <c r="I38" s="136">
        <v>127.733</v>
      </c>
      <c r="J38" s="136">
        <v>133.59700000000001</v>
      </c>
      <c r="K38" s="136">
        <v>131.619</v>
      </c>
      <c r="L38" s="136">
        <v>123.994</v>
      </c>
      <c r="M38" s="136">
        <v>120.90300000000001</v>
      </c>
      <c r="N38" s="136">
        <v>118.619</v>
      </c>
      <c r="O38" s="136">
        <v>112.59399999999999</v>
      </c>
      <c r="P38" s="136">
        <v>113.121</v>
      </c>
      <c r="Q38" s="136">
        <v>110.116</v>
      </c>
      <c r="R38" s="136">
        <v>109.505</v>
      </c>
      <c r="S38" s="136">
        <v>108.449</v>
      </c>
      <c r="T38" s="136">
        <v>110.801</v>
      </c>
      <c r="U38" s="136">
        <v>111.943</v>
      </c>
      <c r="V38" s="136">
        <v>114.88200000000001</v>
      </c>
      <c r="W38" s="136">
        <v>101.443</v>
      </c>
      <c r="X38" s="1">
        <v>108.227</v>
      </c>
    </row>
    <row r="39" spans="1:24" x14ac:dyDescent="0.3">
      <c r="A39" s="1" t="s">
        <v>171</v>
      </c>
      <c r="B39" s="133" t="s">
        <v>172</v>
      </c>
      <c r="C39" s="136">
        <v>854.66099999999994</v>
      </c>
      <c r="D39" s="136">
        <v>874.04399999999998</v>
      </c>
      <c r="E39" s="136">
        <v>886.50900000000001</v>
      </c>
      <c r="F39" s="136">
        <v>896.77800000000002</v>
      </c>
      <c r="G39" s="136">
        <v>923.68899999999996</v>
      </c>
      <c r="H39" s="136">
        <v>942.78899999999999</v>
      </c>
      <c r="I39" s="136">
        <v>972.29399999999998</v>
      </c>
      <c r="J39" s="136">
        <v>1003.9589999999999</v>
      </c>
      <c r="K39" s="136">
        <v>1019.252</v>
      </c>
      <c r="L39" s="136">
        <v>987.10500000000002</v>
      </c>
      <c r="M39" s="136">
        <v>1013.316</v>
      </c>
      <c r="N39" s="136">
        <v>1041.904</v>
      </c>
      <c r="O39" s="136">
        <v>1053.191</v>
      </c>
      <c r="P39" s="136">
        <v>1058.5170000000001</v>
      </c>
      <c r="Q39" s="136">
        <v>1072.5709999999999</v>
      </c>
      <c r="R39" s="136">
        <v>1087.992</v>
      </c>
      <c r="S39" s="136">
        <v>1106.654</v>
      </c>
      <c r="T39" s="136">
        <v>1137.0419999999999</v>
      </c>
      <c r="U39" s="136">
        <v>1163.338</v>
      </c>
      <c r="V39" s="136">
        <v>1192.8389999999999</v>
      </c>
      <c r="W39" s="136">
        <v>1103.596</v>
      </c>
      <c r="X39" s="1">
        <v>1179.501</v>
      </c>
    </row>
    <row r="40" spans="1:24" x14ac:dyDescent="0.3">
      <c r="A40" s="1" t="s">
        <v>173</v>
      </c>
      <c r="B40" s="133" t="s">
        <v>174</v>
      </c>
      <c r="C40" s="136">
        <v>290.84399999999999</v>
      </c>
      <c r="D40" s="136">
        <v>298.63600000000002</v>
      </c>
      <c r="E40" s="136">
        <v>301.47800000000001</v>
      </c>
      <c r="F40" s="136">
        <v>302.77300000000002</v>
      </c>
      <c r="G40" s="136">
        <v>307.17899999999997</v>
      </c>
      <c r="H40" s="136">
        <v>310.75299999999999</v>
      </c>
      <c r="I40" s="136">
        <v>316.59399999999999</v>
      </c>
      <c r="J40" s="136">
        <v>326.74799999999999</v>
      </c>
      <c r="K40" s="136">
        <v>331.68299999999999</v>
      </c>
      <c r="L40" s="136">
        <v>314.35599999999999</v>
      </c>
      <c r="M40" s="136">
        <v>321.78300000000002</v>
      </c>
      <c r="N40" s="136">
        <v>332.43200000000002</v>
      </c>
      <c r="O40" s="136">
        <v>333.55200000000002</v>
      </c>
      <c r="P40" s="136">
        <v>333.72699999999998</v>
      </c>
      <c r="Q40" s="136">
        <v>336.86599999999999</v>
      </c>
      <c r="R40" s="136">
        <v>344.029</v>
      </c>
      <c r="S40" s="136">
        <v>351.19799999999998</v>
      </c>
      <c r="T40" s="136">
        <v>358.51900000000001</v>
      </c>
      <c r="U40" s="136">
        <v>359.12900000000002</v>
      </c>
      <c r="V40" s="136">
        <v>367.57400000000001</v>
      </c>
      <c r="W40" s="136">
        <v>319.38099999999997</v>
      </c>
      <c r="X40" s="1">
        <v>344.85399999999998</v>
      </c>
    </row>
    <row r="41" spans="1:24" x14ac:dyDescent="0.3">
      <c r="A41" s="1" t="s">
        <v>175</v>
      </c>
      <c r="B41" s="133" t="s">
        <v>176</v>
      </c>
      <c r="C41" s="136">
        <v>171.39599999999999</v>
      </c>
      <c r="D41" s="136">
        <v>178.03899999999999</v>
      </c>
      <c r="E41" s="136">
        <v>180.916</v>
      </c>
      <c r="F41" s="136">
        <v>182.40299999999999</v>
      </c>
      <c r="G41" s="136">
        <v>183.625</v>
      </c>
      <c r="H41" s="136">
        <v>184.18899999999999</v>
      </c>
      <c r="I41" s="136">
        <v>186.79400000000001</v>
      </c>
      <c r="J41" s="136">
        <v>192.822</v>
      </c>
      <c r="K41" s="136">
        <v>197.99299999999999</v>
      </c>
      <c r="L41" s="136">
        <v>186.68899999999999</v>
      </c>
      <c r="M41" s="136">
        <v>186.60400000000001</v>
      </c>
      <c r="N41" s="136">
        <v>192.73400000000001</v>
      </c>
      <c r="O41" s="136">
        <v>192.94300000000001</v>
      </c>
      <c r="P41" s="136">
        <v>194.751</v>
      </c>
      <c r="Q41" s="136">
        <v>198.27099999999999</v>
      </c>
      <c r="R41" s="136">
        <v>208.25399999999999</v>
      </c>
      <c r="S41" s="136">
        <v>213.191</v>
      </c>
      <c r="T41" s="136">
        <v>217.577</v>
      </c>
      <c r="U41" s="136">
        <v>219.71600000000001</v>
      </c>
      <c r="V41" s="136">
        <v>221.64099999999999</v>
      </c>
      <c r="W41" s="136">
        <v>218.376</v>
      </c>
      <c r="X41" s="1">
        <v>233.31</v>
      </c>
    </row>
    <row r="42" spans="1:24" x14ac:dyDescent="0.3">
      <c r="A42" s="1" t="s">
        <v>177</v>
      </c>
      <c r="B42" s="133" t="s">
        <v>178</v>
      </c>
      <c r="C42" s="136">
        <v>74.156999999999996</v>
      </c>
      <c r="D42" s="136">
        <v>73.977999999999994</v>
      </c>
      <c r="E42" s="136">
        <v>75.009</v>
      </c>
      <c r="F42" s="136">
        <v>74.95</v>
      </c>
      <c r="G42" s="136">
        <v>78.468999999999994</v>
      </c>
      <c r="H42" s="136">
        <v>80.724999999999994</v>
      </c>
      <c r="I42" s="136">
        <v>83.277000000000001</v>
      </c>
      <c r="J42" s="136">
        <v>85.965999999999994</v>
      </c>
      <c r="K42" s="136">
        <v>85.510999999999996</v>
      </c>
      <c r="L42" s="136">
        <v>80.593000000000004</v>
      </c>
      <c r="M42" s="136">
        <v>86.68</v>
      </c>
      <c r="N42" s="136">
        <v>88.569000000000003</v>
      </c>
      <c r="O42" s="136">
        <v>89.68</v>
      </c>
      <c r="P42" s="136">
        <v>87.569000000000003</v>
      </c>
      <c r="Q42" s="136">
        <v>87.695999999999998</v>
      </c>
      <c r="R42" s="136">
        <v>85.025999999999996</v>
      </c>
      <c r="S42" s="136">
        <v>86.509</v>
      </c>
      <c r="T42" s="136">
        <v>88.748999999999995</v>
      </c>
      <c r="U42" s="136">
        <v>86.409000000000006</v>
      </c>
      <c r="V42" s="136">
        <v>89.756</v>
      </c>
      <c r="W42" s="136">
        <v>70.378</v>
      </c>
      <c r="X42" s="1">
        <v>77.745999999999995</v>
      </c>
    </row>
    <row r="43" spans="1:24" x14ac:dyDescent="0.3">
      <c r="A43" s="1" t="s">
        <v>179</v>
      </c>
      <c r="B43" s="133" t="s">
        <v>180</v>
      </c>
      <c r="C43" s="136">
        <v>45.636000000000003</v>
      </c>
      <c r="D43" s="136">
        <v>46.78</v>
      </c>
      <c r="E43" s="136">
        <v>45.37</v>
      </c>
      <c r="F43" s="136">
        <v>45.164999999999999</v>
      </c>
      <c r="G43" s="136">
        <v>44.853000000000002</v>
      </c>
      <c r="H43" s="136">
        <v>45.738999999999997</v>
      </c>
      <c r="I43" s="136">
        <v>46.484999999999999</v>
      </c>
      <c r="J43" s="136">
        <v>47.918999999999997</v>
      </c>
      <c r="K43" s="136">
        <v>48.024000000000001</v>
      </c>
      <c r="L43" s="136">
        <v>47.01</v>
      </c>
      <c r="M43" s="136">
        <v>48.664000000000001</v>
      </c>
      <c r="N43" s="136">
        <v>51.290999999999997</v>
      </c>
      <c r="O43" s="136">
        <v>51.133000000000003</v>
      </c>
      <c r="P43" s="136">
        <v>51.460999999999999</v>
      </c>
      <c r="Q43" s="136">
        <v>50.898000000000003</v>
      </c>
      <c r="R43" s="136">
        <v>50.749000000000002</v>
      </c>
      <c r="S43" s="136">
        <v>51.533000000000001</v>
      </c>
      <c r="T43" s="136">
        <v>52.220999999999997</v>
      </c>
      <c r="U43" s="136">
        <v>53.183999999999997</v>
      </c>
      <c r="V43" s="136">
        <v>56.055999999999997</v>
      </c>
      <c r="W43" s="136">
        <v>32.924999999999997</v>
      </c>
      <c r="X43" s="1">
        <v>35.970999999999997</v>
      </c>
    </row>
    <row r="44" spans="1:24" x14ac:dyDescent="0.3">
      <c r="A44" s="1" t="s">
        <v>181</v>
      </c>
      <c r="B44" s="133" t="s">
        <v>182</v>
      </c>
      <c r="C44" s="136">
        <v>52.548999999999999</v>
      </c>
      <c r="D44" s="136">
        <v>56.908999999999999</v>
      </c>
      <c r="E44" s="136">
        <v>61.429000000000002</v>
      </c>
      <c r="F44" s="136">
        <v>63.722000000000001</v>
      </c>
      <c r="G44" s="136">
        <v>68.501999999999995</v>
      </c>
      <c r="H44" s="136">
        <v>69.33</v>
      </c>
      <c r="I44" s="136">
        <v>75.668000000000006</v>
      </c>
      <c r="J44" s="136">
        <v>79.396000000000001</v>
      </c>
      <c r="K44" s="136">
        <v>82.105999999999995</v>
      </c>
      <c r="L44" s="136">
        <v>78.834999999999994</v>
      </c>
      <c r="M44" s="136">
        <v>81.816000000000003</v>
      </c>
      <c r="N44" s="136">
        <v>87.004999999999995</v>
      </c>
      <c r="O44" s="136">
        <v>91.058999999999997</v>
      </c>
      <c r="P44" s="136">
        <v>90.575000000000003</v>
      </c>
      <c r="Q44" s="136">
        <v>94.376000000000005</v>
      </c>
      <c r="R44" s="136">
        <v>97.953000000000003</v>
      </c>
      <c r="S44" s="136">
        <v>100.968</v>
      </c>
      <c r="T44" s="136">
        <v>107.086</v>
      </c>
      <c r="U44" s="136">
        <v>113.02800000000001</v>
      </c>
      <c r="V44" s="136">
        <v>118.482</v>
      </c>
      <c r="W44" s="136">
        <v>118.69499999999999</v>
      </c>
      <c r="X44" s="1">
        <v>128.88499999999999</v>
      </c>
    </row>
    <row r="45" spans="1:24" x14ac:dyDescent="0.3">
      <c r="A45" s="1" t="s">
        <v>183</v>
      </c>
      <c r="B45" s="133" t="s">
        <v>184</v>
      </c>
      <c r="C45" s="136">
        <v>19.382999999999999</v>
      </c>
      <c r="D45" s="136">
        <v>19.888999999999999</v>
      </c>
      <c r="E45" s="136">
        <v>19.806999999999999</v>
      </c>
      <c r="F45" s="136">
        <v>20.318000000000001</v>
      </c>
      <c r="G45" s="136">
        <v>21.898</v>
      </c>
      <c r="H45" s="136">
        <v>22.440999999999999</v>
      </c>
      <c r="I45" s="136">
        <v>23.190999999999999</v>
      </c>
      <c r="J45" s="136">
        <v>24.02</v>
      </c>
      <c r="K45" s="136">
        <v>23.673999999999999</v>
      </c>
      <c r="L45" s="136">
        <v>21.876999999999999</v>
      </c>
      <c r="M45" s="136">
        <v>22.751000000000001</v>
      </c>
      <c r="N45" s="136">
        <v>24.045999999999999</v>
      </c>
      <c r="O45" s="136">
        <v>23.244</v>
      </c>
      <c r="P45" s="136">
        <v>22.837</v>
      </c>
      <c r="Q45" s="136">
        <v>23.408000000000001</v>
      </c>
      <c r="R45" s="136">
        <v>23.428999999999998</v>
      </c>
      <c r="S45" s="136">
        <v>23.812000000000001</v>
      </c>
      <c r="T45" s="136">
        <v>25.364999999999998</v>
      </c>
      <c r="U45" s="136">
        <v>26.044</v>
      </c>
      <c r="V45" s="136">
        <v>26.847000000000001</v>
      </c>
      <c r="W45" s="136">
        <v>25.745000000000001</v>
      </c>
      <c r="X45" s="1">
        <v>28.274999999999999</v>
      </c>
    </row>
    <row r="46" spans="1:24" x14ac:dyDescent="0.3">
      <c r="A46" s="1" t="s">
        <v>185</v>
      </c>
      <c r="B46" s="133" t="s">
        <v>186</v>
      </c>
      <c r="C46" s="136">
        <v>9.0079999999999991</v>
      </c>
      <c r="D46" s="136">
        <v>10.81</v>
      </c>
      <c r="E46" s="136">
        <v>13.618</v>
      </c>
      <c r="F46" s="136">
        <v>13.939</v>
      </c>
      <c r="G46" s="136">
        <v>15.007999999999999</v>
      </c>
      <c r="H46" s="136">
        <v>15.022</v>
      </c>
      <c r="I46" s="136">
        <v>17.100000000000001</v>
      </c>
      <c r="J46" s="136">
        <v>17.902000000000001</v>
      </c>
      <c r="K46" s="136">
        <v>18.385999999999999</v>
      </c>
      <c r="L46" s="136">
        <v>17.933</v>
      </c>
      <c r="M46" s="136">
        <v>18.638000000000002</v>
      </c>
      <c r="N46" s="136">
        <v>20.963000000000001</v>
      </c>
      <c r="O46" s="136">
        <v>23.169</v>
      </c>
      <c r="P46" s="136">
        <v>23.22</v>
      </c>
      <c r="Q46" s="136">
        <v>24.140999999999998</v>
      </c>
      <c r="R46" s="136">
        <v>25.388000000000002</v>
      </c>
      <c r="S46" s="136">
        <v>24.902000000000001</v>
      </c>
      <c r="T46" s="136">
        <v>26.11</v>
      </c>
      <c r="U46" s="136">
        <v>27.289000000000001</v>
      </c>
      <c r="V46" s="136">
        <v>28.413</v>
      </c>
      <c r="W46" s="136">
        <v>29.456</v>
      </c>
      <c r="X46" s="1">
        <v>31.331</v>
      </c>
    </row>
    <row r="47" spans="1:24" x14ac:dyDescent="0.3">
      <c r="A47" s="1" t="s">
        <v>187</v>
      </c>
      <c r="B47" s="133" t="s">
        <v>188</v>
      </c>
      <c r="C47" s="136">
        <v>28.864000000000001</v>
      </c>
      <c r="D47" s="136">
        <v>29.841999999999999</v>
      </c>
      <c r="E47" s="136">
        <v>29.69</v>
      </c>
      <c r="F47" s="136">
        <v>31.34</v>
      </c>
      <c r="G47" s="136">
        <v>33.594999999999999</v>
      </c>
      <c r="H47" s="136">
        <v>34.079000000000001</v>
      </c>
      <c r="I47" s="136">
        <v>36.96</v>
      </c>
      <c r="J47" s="136">
        <v>39.130000000000003</v>
      </c>
      <c r="K47" s="136">
        <v>41.677</v>
      </c>
      <c r="L47" s="136">
        <v>40.287999999999997</v>
      </c>
      <c r="M47" s="136">
        <v>41.718000000000004</v>
      </c>
      <c r="N47" s="136">
        <v>42.609000000000002</v>
      </c>
      <c r="O47" s="136">
        <v>44.679000000000002</v>
      </c>
      <c r="P47" s="136">
        <v>44.511000000000003</v>
      </c>
      <c r="Q47" s="136">
        <v>46.826999999999998</v>
      </c>
      <c r="R47" s="136">
        <v>49.136000000000003</v>
      </c>
      <c r="S47" s="136">
        <v>52.228000000000002</v>
      </c>
      <c r="T47" s="136">
        <v>55.573999999999998</v>
      </c>
      <c r="U47" s="136">
        <v>59.667000000000002</v>
      </c>
      <c r="V47" s="136">
        <v>63.19</v>
      </c>
      <c r="W47" s="136">
        <v>63.607999999999997</v>
      </c>
      <c r="X47" s="1">
        <v>69.31</v>
      </c>
    </row>
    <row r="48" spans="1:24" x14ac:dyDescent="0.3">
      <c r="A48" s="1" t="s">
        <v>189</v>
      </c>
      <c r="B48" s="133" t="s">
        <v>190</v>
      </c>
      <c r="C48" s="136">
        <v>62.868000000000002</v>
      </c>
      <c r="D48" s="136">
        <v>61.42</v>
      </c>
      <c r="E48" s="136">
        <v>63.902000000000001</v>
      </c>
      <c r="F48" s="136">
        <v>64.975999999999999</v>
      </c>
      <c r="G48" s="136">
        <v>68.617000000000004</v>
      </c>
      <c r="H48" s="136">
        <v>68.927000000000007</v>
      </c>
      <c r="I48" s="136">
        <v>67.465000000000003</v>
      </c>
      <c r="J48" s="136">
        <v>72.481999999999999</v>
      </c>
      <c r="K48" s="136">
        <v>73.459999999999994</v>
      </c>
      <c r="L48" s="136">
        <v>78.393000000000001</v>
      </c>
      <c r="M48" s="136">
        <v>78.692999999999998</v>
      </c>
      <c r="N48" s="136">
        <v>83.878</v>
      </c>
      <c r="O48" s="136">
        <v>85.825999999999993</v>
      </c>
      <c r="P48" s="136">
        <v>85.828999999999994</v>
      </c>
      <c r="Q48" s="136">
        <v>86.923000000000002</v>
      </c>
      <c r="R48" s="136">
        <v>87.091999999999999</v>
      </c>
      <c r="S48" s="136">
        <v>86.822000000000003</v>
      </c>
      <c r="T48" s="136">
        <v>87.272000000000006</v>
      </c>
      <c r="U48" s="136">
        <v>93.555999999999997</v>
      </c>
      <c r="V48" s="136">
        <v>95.153999999999996</v>
      </c>
      <c r="W48" s="136">
        <v>91.224000000000004</v>
      </c>
      <c r="X48" s="1">
        <v>104.166</v>
      </c>
    </row>
    <row r="49" spans="1:24" x14ac:dyDescent="0.3">
      <c r="A49" s="1" t="s">
        <v>191</v>
      </c>
      <c r="B49" s="133" t="s">
        <v>192</v>
      </c>
      <c r="C49" s="136">
        <v>199.852</v>
      </c>
      <c r="D49" s="136">
        <v>206.11199999999999</v>
      </c>
      <c r="E49" s="136">
        <v>202.70699999999999</v>
      </c>
      <c r="F49" s="136">
        <v>204.071</v>
      </c>
      <c r="G49" s="136">
        <v>211.83</v>
      </c>
      <c r="H49" s="136">
        <v>218.52099999999999</v>
      </c>
      <c r="I49" s="136">
        <v>225.14699999999999</v>
      </c>
      <c r="J49" s="136">
        <v>228.09700000000001</v>
      </c>
      <c r="K49" s="136">
        <v>228.50700000000001</v>
      </c>
      <c r="L49" s="136">
        <v>230.21899999999999</v>
      </c>
      <c r="M49" s="136">
        <v>234.797</v>
      </c>
      <c r="N49" s="136">
        <v>234.244</v>
      </c>
      <c r="O49" s="136">
        <v>238.52199999999999</v>
      </c>
      <c r="P49" s="136">
        <v>243.20099999999999</v>
      </c>
      <c r="Q49" s="136">
        <v>245.92099999999999</v>
      </c>
      <c r="R49" s="136">
        <v>246.72800000000001</v>
      </c>
      <c r="S49" s="136">
        <v>248.684</v>
      </c>
      <c r="T49" s="136">
        <v>250.64500000000001</v>
      </c>
      <c r="U49" s="136">
        <v>253.90199999999999</v>
      </c>
      <c r="V49" s="136">
        <v>258.66399999999999</v>
      </c>
      <c r="W49" s="136">
        <v>257.88600000000002</v>
      </c>
      <c r="X49" s="1">
        <v>261.64800000000002</v>
      </c>
    </row>
    <row r="50" spans="1:24" x14ac:dyDescent="0.3">
      <c r="A50" s="1" t="s">
        <v>193</v>
      </c>
      <c r="B50" s="133" t="s">
        <v>194</v>
      </c>
      <c r="C50" s="136">
        <v>209.58799999999999</v>
      </c>
      <c r="D50" s="136">
        <v>208.52500000000001</v>
      </c>
      <c r="E50" s="136">
        <v>210.81700000000001</v>
      </c>
      <c r="F50" s="136">
        <v>212.733</v>
      </c>
      <c r="G50" s="136">
        <v>217.172</v>
      </c>
      <c r="H50" s="136">
        <v>224.64</v>
      </c>
      <c r="I50" s="136">
        <v>233.86099999999999</v>
      </c>
      <c r="J50" s="136">
        <v>242.28</v>
      </c>
      <c r="K50" s="136">
        <v>246.595</v>
      </c>
      <c r="L50" s="136">
        <v>228.91300000000001</v>
      </c>
      <c r="M50" s="136">
        <v>237.929</v>
      </c>
      <c r="N50" s="136">
        <v>246.17</v>
      </c>
      <c r="O50" s="136">
        <v>245.92699999999999</v>
      </c>
      <c r="P50" s="136">
        <v>246.898</v>
      </c>
      <c r="Q50" s="136">
        <v>250.226</v>
      </c>
      <c r="R50" s="136">
        <v>254.54900000000001</v>
      </c>
      <c r="S50" s="136">
        <v>261.28500000000003</v>
      </c>
      <c r="T50" s="136">
        <v>274.96100000000001</v>
      </c>
      <c r="U50" s="136">
        <v>284.709</v>
      </c>
      <c r="V50" s="136">
        <v>292.64999999999998</v>
      </c>
      <c r="W50" s="136">
        <v>273.02600000000001</v>
      </c>
      <c r="X50" s="1">
        <v>291.75900000000001</v>
      </c>
    </row>
    <row r="51" spans="1:24" x14ac:dyDescent="0.3">
      <c r="A51" s="1" t="s">
        <v>195</v>
      </c>
      <c r="B51" s="133" t="s">
        <v>196</v>
      </c>
      <c r="C51" s="136">
        <v>69.866</v>
      </c>
      <c r="D51" s="136">
        <v>69.078999999999994</v>
      </c>
      <c r="E51" s="136">
        <v>72.162000000000006</v>
      </c>
      <c r="F51" s="136">
        <v>75.703999999999994</v>
      </c>
      <c r="G51" s="136">
        <v>78.426000000000002</v>
      </c>
      <c r="H51" s="136">
        <v>81.716999999999999</v>
      </c>
      <c r="I51" s="136">
        <v>87.155000000000001</v>
      </c>
      <c r="J51" s="136">
        <v>90.31</v>
      </c>
      <c r="K51" s="136">
        <v>92.02</v>
      </c>
      <c r="L51" s="136">
        <v>87.376999999999995</v>
      </c>
      <c r="M51" s="136">
        <v>92.35</v>
      </c>
      <c r="N51" s="136">
        <v>95.64</v>
      </c>
      <c r="O51" s="136">
        <v>97.611000000000004</v>
      </c>
      <c r="P51" s="136">
        <v>98.986000000000004</v>
      </c>
      <c r="Q51" s="136">
        <v>100.60899999999999</v>
      </c>
      <c r="R51" s="136">
        <v>102.375</v>
      </c>
      <c r="S51" s="136">
        <v>105.077</v>
      </c>
      <c r="T51" s="136">
        <v>110.178</v>
      </c>
      <c r="U51" s="136">
        <v>114.41500000000001</v>
      </c>
      <c r="V51" s="136">
        <v>118.261</v>
      </c>
      <c r="W51" s="136">
        <v>113.672</v>
      </c>
      <c r="X51" s="1">
        <v>121.696</v>
      </c>
    </row>
    <row r="52" spans="1:24" x14ac:dyDescent="0.3">
      <c r="A52" s="1" t="s">
        <v>197</v>
      </c>
      <c r="B52" s="133" t="s">
        <v>198</v>
      </c>
      <c r="C52" s="136">
        <v>27.414000000000001</v>
      </c>
      <c r="D52" s="136">
        <v>26.475999999999999</v>
      </c>
      <c r="E52" s="136">
        <v>27.087</v>
      </c>
      <c r="F52" s="136">
        <v>26.675999999999998</v>
      </c>
      <c r="G52" s="136">
        <v>26.896000000000001</v>
      </c>
      <c r="H52" s="136">
        <v>26.565000000000001</v>
      </c>
      <c r="I52" s="136">
        <v>26.984999999999999</v>
      </c>
      <c r="J52" s="136">
        <v>27.640999999999998</v>
      </c>
      <c r="K52" s="136">
        <v>29.067</v>
      </c>
      <c r="L52" s="136">
        <v>29.597000000000001</v>
      </c>
      <c r="M52" s="136">
        <v>30.390999999999998</v>
      </c>
      <c r="N52" s="136">
        <v>31.111000000000001</v>
      </c>
      <c r="O52" s="136">
        <v>31.905999999999999</v>
      </c>
      <c r="P52" s="136">
        <v>32.930999999999997</v>
      </c>
      <c r="Q52" s="136">
        <v>33.549999999999997</v>
      </c>
      <c r="R52" s="136">
        <v>33.456000000000003</v>
      </c>
      <c r="S52" s="136">
        <v>33.363</v>
      </c>
      <c r="T52" s="136">
        <v>35.353000000000002</v>
      </c>
      <c r="U52" s="136">
        <v>35.546999999999997</v>
      </c>
      <c r="V52" s="136">
        <v>36.015000000000001</v>
      </c>
      <c r="W52" s="136">
        <v>34.698</v>
      </c>
      <c r="X52" s="1">
        <v>36.573</v>
      </c>
    </row>
    <row r="53" spans="1:24" x14ac:dyDescent="0.3">
      <c r="A53" s="1" t="s">
        <v>199</v>
      </c>
      <c r="B53" s="133" t="s">
        <v>200</v>
      </c>
      <c r="C53" s="136">
        <v>10.734</v>
      </c>
      <c r="D53" s="136">
        <v>10.707000000000001</v>
      </c>
      <c r="E53" s="136">
        <v>11.292</v>
      </c>
      <c r="F53" s="136">
        <v>10.709</v>
      </c>
      <c r="G53" s="136">
        <v>11.259</v>
      </c>
      <c r="H53" s="136">
        <v>11.983000000000001</v>
      </c>
      <c r="I53" s="136">
        <v>12.145</v>
      </c>
      <c r="J53" s="136">
        <v>12.519</v>
      </c>
      <c r="K53" s="136">
        <v>12.7</v>
      </c>
      <c r="L53" s="136">
        <v>12.486000000000001</v>
      </c>
      <c r="M53" s="136">
        <v>13.04</v>
      </c>
      <c r="N53" s="136">
        <v>13.939</v>
      </c>
      <c r="O53" s="136">
        <v>14.51</v>
      </c>
      <c r="P53" s="136">
        <v>14.326000000000001</v>
      </c>
      <c r="Q53" s="136">
        <v>14.586</v>
      </c>
      <c r="R53" s="136">
        <v>14.891</v>
      </c>
      <c r="S53" s="136">
        <v>14.951000000000001</v>
      </c>
      <c r="T53" s="136">
        <v>15.388</v>
      </c>
      <c r="U53" s="136">
        <v>15.743</v>
      </c>
      <c r="V53" s="136">
        <v>16.323</v>
      </c>
      <c r="W53" s="136">
        <v>15.284000000000001</v>
      </c>
      <c r="X53" s="1">
        <v>16.207999999999998</v>
      </c>
    </row>
    <row r="54" spans="1:24" x14ac:dyDescent="0.3">
      <c r="A54" s="1" t="s">
        <v>201</v>
      </c>
      <c r="B54" s="133" t="s">
        <v>202</v>
      </c>
      <c r="C54" s="136">
        <v>103.00700000000001</v>
      </c>
      <c r="D54" s="136">
        <v>103.79</v>
      </c>
      <c r="E54" s="136">
        <v>101.416</v>
      </c>
      <c r="F54" s="136">
        <v>100.94199999999999</v>
      </c>
      <c r="G54" s="136">
        <v>101.749</v>
      </c>
      <c r="H54" s="136">
        <v>105.559</v>
      </c>
      <c r="I54" s="136">
        <v>108.78</v>
      </c>
      <c r="J54" s="136">
        <v>113.11799999999999</v>
      </c>
      <c r="K54" s="136">
        <v>114.03400000000001</v>
      </c>
      <c r="L54" s="136">
        <v>99.93</v>
      </c>
      <c r="M54" s="136">
        <v>102.496</v>
      </c>
      <c r="N54" s="136">
        <v>105.782</v>
      </c>
      <c r="O54" s="136">
        <v>101.932</v>
      </c>
      <c r="P54" s="136">
        <v>100.66200000000001</v>
      </c>
      <c r="Q54" s="136">
        <v>101.48099999999999</v>
      </c>
      <c r="R54" s="136">
        <v>103.828</v>
      </c>
      <c r="S54" s="136">
        <v>107.887</v>
      </c>
      <c r="T54" s="136">
        <v>114.035</v>
      </c>
      <c r="U54" s="136">
        <v>119.004</v>
      </c>
      <c r="V54" s="136">
        <v>122.05</v>
      </c>
      <c r="W54" s="136">
        <v>109.363</v>
      </c>
      <c r="X54" s="1">
        <v>117.267</v>
      </c>
    </row>
    <row r="55" spans="1:24" x14ac:dyDescent="0.3">
      <c r="A55" s="1" t="s">
        <v>203</v>
      </c>
      <c r="B55" s="133" t="s">
        <v>204</v>
      </c>
      <c r="C55" s="136">
        <v>47.348999999999997</v>
      </c>
      <c r="D55" s="136">
        <v>49.063000000000002</v>
      </c>
      <c r="E55" s="136">
        <v>50.262999999999998</v>
      </c>
      <c r="F55" s="136">
        <v>51.798000000000002</v>
      </c>
      <c r="G55" s="136">
        <v>52.844000000000001</v>
      </c>
      <c r="H55" s="136">
        <v>53.58</v>
      </c>
      <c r="I55" s="136">
        <v>55.183999999999997</v>
      </c>
      <c r="J55" s="136">
        <v>56.283999999999999</v>
      </c>
      <c r="K55" s="136">
        <v>58.073</v>
      </c>
      <c r="L55" s="136">
        <v>57.844999999999999</v>
      </c>
      <c r="M55" s="136">
        <v>59.524999999999999</v>
      </c>
      <c r="N55" s="136">
        <v>58.591000000000001</v>
      </c>
      <c r="O55" s="136">
        <v>58.430999999999997</v>
      </c>
      <c r="P55" s="136">
        <v>58.375999999999998</v>
      </c>
      <c r="Q55" s="136">
        <v>58.261000000000003</v>
      </c>
      <c r="R55" s="136">
        <v>57.640999999999998</v>
      </c>
      <c r="S55" s="136">
        <v>57.707000000000001</v>
      </c>
      <c r="T55" s="136">
        <v>58.585999999999999</v>
      </c>
      <c r="U55" s="136">
        <v>59.621000000000002</v>
      </c>
      <c r="V55" s="136">
        <v>61.000999999999998</v>
      </c>
      <c r="W55" s="136">
        <v>44.552</v>
      </c>
      <c r="X55" s="1">
        <v>50.378999999999998</v>
      </c>
    </row>
    <row r="56" spans="1:24" x14ac:dyDescent="0.3">
      <c r="A56" s="1" t="s">
        <v>205</v>
      </c>
      <c r="B56" s="133" t="s">
        <v>206</v>
      </c>
      <c r="C56" s="136">
        <v>18.263999999999999</v>
      </c>
      <c r="D56" s="136">
        <v>19.841000000000001</v>
      </c>
      <c r="E56" s="136">
        <v>21.669</v>
      </c>
      <c r="F56" s="136">
        <v>22.937000000000001</v>
      </c>
      <c r="G56" s="136">
        <v>22.858000000000001</v>
      </c>
      <c r="H56" s="136">
        <v>23.35</v>
      </c>
      <c r="I56" s="136">
        <v>24.103000000000002</v>
      </c>
      <c r="J56" s="136">
        <v>24.565000000000001</v>
      </c>
      <c r="K56" s="136">
        <v>25.603000000000002</v>
      </c>
      <c r="L56" s="136">
        <v>25.859000000000002</v>
      </c>
      <c r="M56" s="136">
        <v>26.641999999999999</v>
      </c>
      <c r="N56" s="136">
        <v>26.556000000000001</v>
      </c>
      <c r="O56" s="136">
        <v>26.344999999999999</v>
      </c>
      <c r="P56" s="136">
        <v>26.826000000000001</v>
      </c>
      <c r="Q56" s="136">
        <v>27.183</v>
      </c>
      <c r="R56" s="136">
        <v>27.422999999999998</v>
      </c>
      <c r="S56" s="136">
        <v>27.614000000000001</v>
      </c>
      <c r="T56" s="136">
        <v>28.344000000000001</v>
      </c>
      <c r="U56" s="136">
        <v>29.584</v>
      </c>
      <c r="V56" s="136">
        <v>30.768000000000001</v>
      </c>
      <c r="W56" s="136">
        <v>18.597000000000001</v>
      </c>
      <c r="X56" s="1">
        <v>21.963999999999999</v>
      </c>
    </row>
    <row r="57" spans="1:24" x14ac:dyDescent="0.3">
      <c r="A57" s="1" t="s">
        <v>207</v>
      </c>
      <c r="B57" s="133" t="s">
        <v>208</v>
      </c>
      <c r="C57" s="136">
        <v>25.364999999999998</v>
      </c>
      <c r="D57" s="136">
        <v>25.494</v>
      </c>
      <c r="E57" s="136">
        <v>24.713000000000001</v>
      </c>
      <c r="F57" s="136">
        <v>24.844000000000001</v>
      </c>
      <c r="G57" s="136">
        <v>25.827000000000002</v>
      </c>
      <c r="H57" s="136">
        <v>26.132999999999999</v>
      </c>
      <c r="I57" s="136">
        <v>27.004000000000001</v>
      </c>
      <c r="J57" s="136">
        <v>27.646999999999998</v>
      </c>
      <c r="K57" s="136">
        <v>28.28</v>
      </c>
      <c r="L57" s="136">
        <v>27.827000000000002</v>
      </c>
      <c r="M57" s="136">
        <v>28.713000000000001</v>
      </c>
      <c r="N57" s="136">
        <v>27.988</v>
      </c>
      <c r="O57" s="136">
        <v>28.181999999999999</v>
      </c>
      <c r="P57" s="136">
        <v>27.832999999999998</v>
      </c>
      <c r="Q57" s="136">
        <v>27.475000000000001</v>
      </c>
      <c r="R57" s="136">
        <v>26.704000000000001</v>
      </c>
      <c r="S57" s="136">
        <v>26.53</v>
      </c>
      <c r="T57" s="136">
        <v>26.690999999999999</v>
      </c>
      <c r="U57" s="136">
        <v>26.594999999999999</v>
      </c>
      <c r="V57" s="136">
        <v>26.783999999999999</v>
      </c>
      <c r="W57" s="136">
        <v>23.167000000000002</v>
      </c>
      <c r="X57" s="1">
        <v>24.934999999999999</v>
      </c>
    </row>
    <row r="58" spans="1:24" x14ac:dyDescent="0.3">
      <c r="A58" s="1" t="s">
        <v>209</v>
      </c>
      <c r="B58" s="133" t="s">
        <v>210</v>
      </c>
      <c r="C58" s="136">
        <v>3.536</v>
      </c>
      <c r="D58" s="136">
        <v>3.5739999999999998</v>
      </c>
      <c r="E58" s="136">
        <v>3.7890000000000001</v>
      </c>
      <c r="F58" s="136">
        <v>3.9649999999999999</v>
      </c>
      <c r="G58" s="136">
        <v>4.05</v>
      </c>
      <c r="H58" s="136">
        <v>4.0170000000000003</v>
      </c>
      <c r="I58" s="136">
        <v>4.0250000000000004</v>
      </c>
      <c r="J58" s="136">
        <v>4.0350000000000001</v>
      </c>
      <c r="K58" s="136">
        <v>4.16</v>
      </c>
      <c r="L58" s="136">
        <v>4.1420000000000003</v>
      </c>
      <c r="M58" s="136">
        <v>4.1559999999999997</v>
      </c>
      <c r="N58" s="136">
        <v>4.04</v>
      </c>
      <c r="O58" s="136">
        <v>3.9009999999999998</v>
      </c>
      <c r="P58" s="136">
        <v>3.718</v>
      </c>
      <c r="Q58" s="136">
        <v>3.6030000000000002</v>
      </c>
      <c r="R58" s="136">
        <v>3.5139999999999998</v>
      </c>
      <c r="S58" s="136">
        <v>3.5659999999999998</v>
      </c>
      <c r="T58" s="136">
        <v>3.5539999999999998</v>
      </c>
      <c r="U58" s="136">
        <v>3.4329999999999998</v>
      </c>
      <c r="V58" s="136">
        <v>3.3650000000000002</v>
      </c>
      <c r="W58" s="136">
        <v>2.9529999999999998</v>
      </c>
      <c r="X58" s="1">
        <v>3.2109999999999999</v>
      </c>
    </row>
    <row r="59" spans="1:24" x14ac:dyDescent="0.3">
      <c r="A59" s="1" t="s">
        <v>211</v>
      </c>
      <c r="B59" s="133" t="s">
        <v>212</v>
      </c>
      <c r="C59" s="136">
        <v>373.85199999999998</v>
      </c>
      <c r="D59" s="136">
        <v>379.65699999999998</v>
      </c>
      <c r="E59" s="136">
        <v>381.137</v>
      </c>
      <c r="F59" s="136">
        <v>383.38400000000001</v>
      </c>
      <c r="G59" s="136">
        <v>391.12599999999998</v>
      </c>
      <c r="H59" s="136">
        <v>395.00200000000001</v>
      </c>
      <c r="I59" s="136">
        <v>401.39</v>
      </c>
      <c r="J59" s="136">
        <v>405.45400000000001</v>
      </c>
      <c r="K59" s="136">
        <v>409.79899999999998</v>
      </c>
      <c r="L59" s="136">
        <v>415.25099999999998</v>
      </c>
      <c r="M59" s="136">
        <v>419.03500000000003</v>
      </c>
      <c r="N59" s="136">
        <v>424.83800000000002</v>
      </c>
      <c r="O59" s="136">
        <v>430.79899999999998</v>
      </c>
      <c r="P59" s="136">
        <v>435.38900000000001</v>
      </c>
      <c r="Q59" s="136">
        <v>439.70499999999998</v>
      </c>
      <c r="R59" s="136">
        <v>441.12700000000001</v>
      </c>
      <c r="S59" s="136">
        <v>445.87299999999999</v>
      </c>
      <c r="T59" s="136">
        <v>450.38099999999997</v>
      </c>
      <c r="U59" s="136">
        <v>453.51</v>
      </c>
      <c r="V59" s="136">
        <v>456.024</v>
      </c>
      <c r="W59" s="136">
        <v>429.92899999999997</v>
      </c>
      <c r="X59" s="1">
        <v>456.82100000000003</v>
      </c>
    </row>
    <row r="60" spans="1:24" x14ac:dyDescent="0.3">
      <c r="A60" s="1" t="s">
        <v>213</v>
      </c>
      <c r="B60" s="133" t="s">
        <v>214</v>
      </c>
      <c r="C60" s="136">
        <v>140.702</v>
      </c>
      <c r="D60" s="136">
        <v>141.958</v>
      </c>
      <c r="E60" s="136">
        <v>139.554</v>
      </c>
      <c r="F60" s="136">
        <v>141.00800000000001</v>
      </c>
      <c r="G60" s="136">
        <v>143.41999999999999</v>
      </c>
      <c r="H60" s="136">
        <v>146.11600000000001</v>
      </c>
      <c r="I60" s="136">
        <v>147.61600000000001</v>
      </c>
      <c r="J60" s="136">
        <v>148.702</v>
      </c>
      <c r="K60" s="136">
        <v>148.916</v>
      </c>
      <c r="L60" s="136">
        <v>152.654</v>
      </c>
      <c r="M60" s="136">
        <v>153.43</v>
      </c>
      <c r="N60" s="136">
        <v>154.054</v>
      </c>
      <c r="O60" s="136">
        <v>155.71100000000001</v>
      </c>
      <c r="P60" s="136">
        <v>157.273</v>
      </c>
      <c r="Q60" s="136">
        <v>158.179</v>
      </c>
      <c r="R60" s="136">
        <v>157.38</v>
      </c>
      <c r="S60" s="136">
        <v>157.608</v>
      </c>
      <c r="T60" s="136">
        <v>157.85300000000001</v>
      </c>
      <c r="U60" s="136">
        <v>159.5</v>
      </c>
      <c r="V60" s="136">
        <v>161.572</v>
      </c>
      <c r="W60" s="136">
        <v>157.374</v>
      </c>
      <c r="X60" s="1">
        <v>162.90700000000001</v>
      </c>
    </row>
    <row r="61" spans="1:24" x14ac:dyDescent="0.3">
      <c r="A61" s="1" t="s">
        <v>215</v>
      </c>
      <c r="B61" s="133" t="s">
        <v>216</v>
      </c>
      <c r="C61" s="136">
        <v>102.59699999999999</v>
      </c>
      <c r="D61" s="136">
        <v>103.53700000000001</v>
      </c>
      <c r="E61" s="136">
        <v>102.038</v>
      </c>
      <c r="F61" s="136">
        <v>102.33</v>
      </c>
      <c r="G61" s="136">
        <v>103.316</v>
      </c>
      <c r="H61" s="136">
        <v>102.70399999999999</v>
      </c>
      <c r="I61" s="136">
        <v>102.036</v>
      </c>
      <c r="J61" s="136">
        <v>103.07899999999999</v>
      </c>
      <c r="K61" s="136">
        <v>102.208</v>
      </c>
      <c r="L61" s="136">
        <v>100.687</v>
      </c>
      <c r="M61" s="136">
        <v>100.51900000000001</v>
      </c>
      <c r="N61" s="136">
        <v>101.136</v>
      </c>
      <c r="O61" s="136">
        <v>102.44499999999999</v>
      </c>
      <c r="P61" s="136">
        <v>102.858</v>
      </c>
      <c r="Q61" s="136">
        <v>103.45399999999999</v>
      </c>
      <c r="R61" s="136">
        <v>103.977</v>
      </c>
      <c r="S61" s="136">
        <v>105.425</v>
      </c>
      <c r="T61" s="136">
        <v>106.494</v>
      </c>
      <c r="U61" s="136">
        <v>107.646</v>
      </c>
      <c r="V61" s="136">
        <v>107.509</v>
      </c>
      <c r="W61" s="136">
        <v>100.14700000000001</v>
      </c>
      <c r="X61" s="1">
        <v>106.252</v>
      </c>
    </row>
    <row r="62" spans="1:24" x14ac:dyDescent="0.3">
      <c r="A62" s="1" t="s">
        <v>217</v>
      </c>
      <c r="B62" s="133" t="s">
        <v>218</v>
      </c>
      <c r="C62" s="136">
        <v>84.548000000000002</v>
      </c>
      <c r="D62" s="136">
        <v>86.992999999999995</v>
      </c>
      <c r="E62" s="136">
        <v>89.372</v>
      </c>
      <c r="F62" s="136">
        <v>89.156000000000006</v>
      </c>
      <c r="G62" s="136">
        <v>91.941999999999993</v>
      </c>
      <c r="H62" s="136">
        <v>93.43</v>
      </c>
      <c r="I62" s="136">
        <v>94.227000000000004</v>
      </c>
      <c r="J62" s="136">
        <v>96.138000000000005</v>
      </c>
      <c r="K62" s="136">
        <v>99.802999999999997</v>
      </c>
      <c r="L62" s="136">
        <v>101.92100000000001</v>
      </c>
      <c r="M62" s="136">
        <v>103.871</v>
      </c>
      <c r="N62" s="136">
        <v>107.01900000000001</v>
      </c>
      <c r="O62" s="136">
        <v>109.13</v>
      </c>
      <c r="P62" s="136">
        <v>111.09699999999999</v>
      </c>
      <c r="Q62" s="136">
        <v>113.346</v>
      </c>
      <c r="R62" s="136">
        <v>115.411</v>
      </c>
      <c r="S62" s="136">
        <v>118.477</v>
      </c>
      <c r="T62" s="136">
        <v>120.70099999999999</v>
      </c>
      <c r="U62" s="136">
        <v>121.164</v>
      </c>
      <c r="V62" s="136">
        <v>121.55800000000001</v>
      </c>
      <c r="W62" s="136">
        <v>110.402</v>
      </c>
      <c r="X62" s="1">
        <v>123.636</v>
      </c>
    </row>
    <row r="63" spans="1:24" x14ac:dyDescent="0.3">
      <c r="A63" s="1" t="s">
        <v>219</v>
      </c>
      <c r="B63" s="133" t="s">
        <v>220</v>
      </c>
      <c r="C63" s="136">
        <v>46.338000000000001</v>
      </c>
      <c r="D63" s="136">
        <v>47.500999999999998</v>
      </c>
      <c r="E63" s="136">
        <v>50.694000000000003</v>
      </c>
      <c r="F63" s="136">
        <v>51.460999999999999</v>
      </c>
      <c r="G63" s="136">
        <v>52.978000000000002</v>
      </c>
      <c r="H63" s="136">
        <v>53.048000000000002</v>
      </c>
      <c r="I63" s="136">
        <v>58.03</v>
      </c>
      <c r="J63" s="136">
        <v>57.932000000000002</v>
      </c>
      <c r="K63" s="136">
        <v>59.018999999999998</v>
      </c>
      <c r="L63" s="136">
        <v>60.033999999999999</v>
      </c>
      <c r="M63" s="136">
        <v>61.247</v>
      </c>
      <c r="N63" s="136">
        <v>62.639000000000003</v>
      </c>
      <c r="O63" s="136">
        <v>63.518000000000001</v>
      </c>
      <c r="P63" s="136">
        <v>64.162000000000006</v>
      </c>
      <c r="Q63" s="136">
        <v>64.724999999999994</v>
      </c>
      <c r="R63" s="136">
        <v>64.358000000000004</v>
      </c>
      <c r="S63" s="136">
        <v>64.364999999999995</v>
      </c>
      <c r="T63" s="136">
        <v>65.328999999999994</v>
      </c>
      <c r="U63" s="136">
        <v>65.194000000000003</v>
      </c>
      <c r="V63" s="136">
        <v>65.391000000000005</v>
      </c>
      <c r="W63" s="136">
        <v>61.988</v>
      </c>
      <c r="X63" s="1">
        <v>63.834000000000003</v>
      </c>
    </row>
    <row r="64" spans="1:24" x14ac:dyDescent="0.3">
      <c r="A64" s="1" t="s">
        <v>85</v>
      </c>
      <c r="B64" s="133" t="s">
        <v>221</v>
      </c>
      <c r="C64" s="136">
        <v>1621.2449999999999</v>
      </c>
      <c r="D64" s="136">
        <v>1653.422</v>
      </c>
      <c r="E64" s="136">
        <v>1671.8510000000001</v>
      </c>
      <c r="F64" s="136">
        <v>1683.7660000000001</v>
      </c>
      <c r="G64" s="136">
        <v>1734.798</v>
      </c>
      <c r="H64" s="136">
        <v>1760.5170000000001</v>
      </c>
      <c r="I64" s="136">
        <v>1804.1310000000001</v>
      </c>
      <c r="J64" s="136">
        <v>1850.1869999999999</v>
      </c>
      <c r="K64" s="136">
        <v>1859.701</v>
      </c>
      <c r="L64" s="136">
        <v>1810.8869999999999</v>
      </c>
      <c r="M64" s="136">
        <v>1842.424</v>
      </c>
      <c r="N64" s="136">
        <v>1883.6690000000001</v>
      </c>
      <c r="O64" s="136">
        <v>1894.309</v>
      </c>
      <c r="P64" s="136">
        <v>1906.0429999999999</v>
      </c>
      <c r="Q64" s="136">
        <v>1927.23</v>
      </c>
      <c r="R64" s="136">
        <v>1944.633</v>
      </c>
      <c r="S64" s="136">
        <v>1963.461</v>
      </c>
      <c r="T64" s="136">
        <v>2006.1780000000001</v>
      </c>
      <c r="U64" s="136">
        <v>2043.9829999999999</v>
      </c>
      <c r="V64" s="136">
        <v>2082.6579999999999</v>
      </c>
      <c r="W64" s="136">
        <v>1926.874</v>
      </c>
      <c r="X64" s="1">
        <v>2044.95</v>
      </c>
    </row>
    <row r="65" spans="1:24" x14ac:dyDescent="0.3">
      <c r="B65" s="133" t="s">
        <v>222</v>
      </c>
    </row>
    <row r="66" spans="1:24" x14ac:dyDescent="0.3">
      <c r="B66" s="133"/>
    </row>
    <row r="67" spans="1:24" x14ac:dyDescent="0.3">
      <c r="B67" s="133" t="s">
        <v>223</v>
      </c>
    </row>
    <row r="69" spans="1:24" x14ac:dyDescent="0.3">
      <c r="A69" s="134" t="s">
        <v>224</v>
      </c>
    </row>
    <row r="70" spans="1:24" x14ac:dyDescent="0.3">
      <c r="C70" s="135">
        <v>2000</v>
      </c>
      <c r="D70" s="135">
        <v>2001</v>
      </c>
      <c r="E70" s="135">
        <v>2002</v>
      </c>
      <c r="F70" s="135">
        <v>2003</v>
      </c>
      <c r="G70" s="135">
        <v>2004</v>
      </c>
      <c r="H70" s="135">
        <v>2005</v>
      </c>
      <c r="I70" s="135">
        <v>2006</v>
      </c>
      <c r="J70" s="135">
        <v>2007</v>
      </c>
      <c r="K70" s="135">
        <v>2008</v>
      </c>
      <c r="L70" s="135">
        <v>2009</v>
      </c>
      <c r="M70" s="135">
        <v>2010</v>
      </c>
      <c r="N70" s="135">
        <v>2011</v>
      </c>
      <c r="O70" s="135">
        <v>2012</v>
      </c>
      <c r="P70" s="135">
        <v>2013</v>
      </c>
      <c r="Q70" s="135">
        <v>2014</v>
      </c>
      <c r="R70" s="135">
        <v>2015</v>
      </c>
      <c r="S70" s="135">
        <v>2016</v>
      </c>
      <c r="T70" s="135">
        <v>2017</v>
      </c>
      <c r="U70" s="135">
        <v>2018</v>
      </c>
      <c r="V70" s="135">
        <v>2019</v>
      </c>
      <c r="W70" s="135">
        <v>2020</v>
      </c>
      <c r="X70" s="135">
        <v>2021</v>
      </c>
    </row>
    <row r="71" spans="1:24" x14ac:dyDescent="0.3">
      <c r="A71" s="1" t="s">
        <v>225</v>
      </c>
      <c r="B71" s="133" t="s">
        <v>129</v>
      </c>
      <c r="C71" s="136">
        <v>29.39</v>
      </c>
      <c r="D71" s="136">
        <v>28.545999999999999</v>
      </c>
      <c r="E71" s="136">
        <v>30.172000000000001</v>
      </c>
      <c r="F71" s="136">
        <v>25.571000000000002</v>
      </c>
      <c r="G71" s="136">
        <v>31.018999999999998</v>
      </c>
      <c r="H71" s="136">
        <v>29.215</v>
      </c>
      <c r="I71" s="136">
        <v>29.276</v>
      </c>
      <c r="J71" s="136">
        <v>29.047000000000001</v>
      </c>
      <c r="K71" s="136">
        <v>30.347000000000001</v>
      </c>
      <c r="L71" s="136">
        <v>32.326999999999998</v>
      </c>
      <c r="M71" s="136">
        <v>31.228999999999999</v>
      </c>
      <c r="N71" s="136">
        <v>32.475000000000001</v>
      </c>
      <c r="O71" s="136">
        <v>29.742999999999999</v>
      </c>
      <c r="P71" s="136">
        <v>29.169</v>
      </c>
      <c r="Q71" s="136">
        <v>33.457999999999998</v>
      </c>
      <c r="R71" s="136">
        <v>33.505000000000003</v>
      </c>
      <c r="S71" s="136">
        <v>29.363</v>
      </c>
      <c r="T71" s="136">
        <v>31.780999999999999</v>
      </c>
      <c r="U71" s="136">
        <v>33.024999999999999</v>
      </c>
      <c r="V71" s="136">
        <v>32.262</v>
      </c>
      <c r="W71" s="1">
        <v>30.288</v>
      </c>
      <c r="X71" s="1">
        <v>28.951000000000001</v>
      </c>
    </row>
    <row r="72" spans="1:24" x14ac:dyDescent="0.3">
      <c r="A72" s="1" t="s">
        <v>226</v>
      </c>
      <c r="B72" s="133" t="s">
        <v>227</v>
      </c>
      <c r="C72" s="136">
        <v>25.332999999999998</v>
      </c>
      <c r="D72" s="136">
        <v>24.233000000000001</v>
      </c>
      <c r="E72" s="136">
        <v>25.989000000000001</v>
      </c>
      <c r="F72" s="136">
        <v>22.036999999999999</v>
      </c>
      <c r="G72" s="136">
        <v>27.113</v>
      </c>
      <c r="H72" s="136">
        <v>25.422999999999998</v>
      </c>
      <c r="I72" s="136">
        <v>25.582000000000001</v>
      </c>
      <c r="J72" s="136">
        <v>25.291</v>
      </c>
      <c r="K72" s="136">
        <v>26.88</v>
      </c>
      <c r="L72" s="136">
        <v>29.099</v>
      </c>
      <c r="M72" s="136">
        <v>27.888000000000002</v>
      </c>
      <c r="N72" s="136">
        <v>29.021999999999998</v>
      </c>
      <c r="O72" s="136">
        <v>26.337</v>
      </c>
      <c r="P72" s="136">
        <v>25.7</v>
      </c>
      <c r="Q72" s="136">
        <v>29.690999999999999</v>
      </c>
      <c r="R72" s="136">
        <v>29.699000000000002</v>
      </c>
      <c r="S72" s="136">
        <v>25.728000000000002</v>
      </c>
      <c r="T72" s="136">
        <v>28.138999999999999</v>
      </c>
      <c r="U72" s="136">
        <v>29.373999999999999</v>
      </c>
      <c r="V72" s="136">
        <v>28.681000000000001</v>
      </c>
      <c r="W72" s="1">
        <v>26.908000000000001</v>
      </c>
      <c r="X72" s="1">
        <v>25.526</v>
      </c>
    </row>
    <row r="73" spans="1:24" x14ac:dyDescent="0.3">
      <c r="A73" s="1" t="s">
        <v>228</v>
      </c>
      <c r="B73" s="133" t="s">
        <v>229</v>
      </c>
      <c r="C73" s="136">
        <v>3.5089999999999999</v>
      </c>
      <c r="D73" s="136">
        <v>4.1340000000000003</v>
      </c>
      <c r="E73" s="136">
        <v>3.8</v>
      </c>
      <c r="F73" s="136">
        <v>2.9220000000000002</v>
      </c>
      <c r="G73" s="136">
        <v>3.1520000000000001</v>
      </c>
      <c r="H73" s="136">
        <v>3.1360000000000001</v>
      </c>
      <c r="I73" s="136">
        <v>3.0019999999999998</v>
      </c>
      <c r="J73" s="136">
        <v>3.0960000000000001</v>
      </c>
      <c r="K73" s="136">
        <v>2.8450000000000002</v>
      </c>
      <c r="L73" s="136">
        <v>2.54</v>
      </c>
      <c r="M73" s="136">
        <v>2.6869999999999998</v>
      </c>
      <c r="N73" s="136">
        <v>2.81</v>
      </c>
      <c r="O73" s="136">
        <v>2.766</v>
      </c>
      <c r="P73" s="136">
        <v>2.8889999999999998</v>
      </c>
      <c r="Q73" s="136">
        <v>3.0659999999999998</v>
      </c>
      <c r="R73" s="136">
        <v>3.1589999999999998</v>
      </c>
      <c r="S73" s="136">
        <v>2.9870000000000001</v>
      </c>
      <c r="T73" s="136">
        <v>2.907</v>
      </c>
      <c r="U73" s="136">
        <v>2.9279999999999999</v>
      </c>
      <c r="V73" s="136">
        <v>2.851</v>
      </c>
      <c r="W73" s="1">
        <v>2.7909999999999999</v>
      </c>
      <c r="X73" s="1">
        <v>2.7930000000000001</v>
      </c>
    </row>
    <row r="74" spans="1:24" x14ac:dyDescent="0.3">
      <c r="A74" s="1" t="s">
        <v>230</v>
      </c>
      <c r="B74" s="133" t="s">
        <v>231</v>
      </c>
      <c r="C74" s="136">
        <v>0.83099999999999996</v>
      </c>
      <c r="D74" s="136">
        <v>0.81</v>
      </c>
      <c r="E74" s="136">
        <v>0.79400000000000004</v>
      </c>
      <c r="F74" s="136">
        <v>0.81799999999999995</v>
      </c>
      <c r="G74" s="136">
        <v>0.79600000000000004</v>
      </c>
      <c r="H74" s="136">
        <v>0.76600000000000001</v>
      </c>
      <c r="I74" s="136">
        <v>0.74299999999999999</v>
      </c>
      <c r="J74" s="136">
        <v>0.73299999999999998</v>
      </c>
      <c r="K74" s="136">
        <v>0.63100000000000001</v>
      </c>
      <c r="L74" s="136">
        <v>0.63400000000000001</v>
      </c>
      <c r="M74" s="136">
        <v>0.624</v>
      </c>
      <c r="N74" s="136">
        <v>0.61699999999999999</v>
      </c>
      <c r="O74" s="136">
        <v>0.63400000000000001</v>
      </c>
      <c r="P74" s="136">
        <v>0.64</v>
      </c>
      <c r="Q74" s="136">
        <v>0.70099999999999996</v>
      </c>
      <c r="R74" s="136">
        <v>0.64600000000000002</v>
      </c>
      <c r="S74" s="136">
        <v>0.64400000000000002</v>
      </c>
      <c r="T74" s="136">
        <v>0.70799999999999996</v>
      </c>
      <c r="U74" s="136">
        <v>0.68899999999999995</v>
      </c>
      <c r="V74" s="136">
        <v>0.69699999999999995</v>
      </c>
      <c r="W74" s="1">
        <v>0.57699999999999996</v>
      </c>
      <c r="X74" s="1">
        <v>0.64</v>
      </c>
    </row>
    <row r="75" spans="1:24" x14ac:dyDescent="0.3">
      <c r="A75" s="1" t="s">
        <v>134</v>
      </c>
      <c r="B75" s="133" t="s">
        <v>232</v>
      </c>
      <c r="C75" s="136">
        <v>4.5389999999999997</v>
      </c>
      <c r="D75" s="136">
        <v>4.0140000000000002</v>
      </c>
      <c r="E75" s="136">
        <v>3.7930000000000001</v>
      </c>
      <c r="F75" s="136">
        <v>3.395</v>
      </c>
      <c r="G75" s="136">
        <v>3.181</v>
      </c>
      <c r="H75" s="136">
        <v>2.9220000000000002</v>
      </c>
      <c r="I75" s="136">
        <v>3.0870000000000002</v>
      </c>
      <c r="J75" s="136">
        <v>3.153</v>
      </c>
      <c r="K75" s="136">
        <v>2.9289999999999998</v>
      </c>
      <c r="L75" s="136">
        <v>2.6589999999999998</v>
      </c>
      <c r="M75" s="136">
        <v>2.5790000000000002</v>
      </c>
      <c r="N75" s="136">
        <v>2.5640000000000001</v>
      </c>
      <c r="O75" s="136">
        <v>2.4159999999999999</v>
      </c>
      <c r="P75" s="136">
        <v>2.1909999999999998</v>
      </c>
      <c r="Q75" s="136">
        <v>2.1840000000000002</v>
      </c>
      <c r="R75" s="136">
        <v>2.0489999999999999</v>
      </c>
      <c r="S75" s="136">
        <v>1.9750000000000001</v>
      </c>
      <c r="T75" s="136">
        <v>2.0009999999999999</v>
      </c>
      <c r="U75" s="136">
        <v>2.0009999999999999</v>
      </c>
      <c r="V75" s="136">
        <v>1.982</v>
      </c>
      <c r="W75" s="1">
        <v>1.802</v>
      </c>
      <c r="X75" s="1">
        <v>1.865</v>
      </c>
    </row>
    <row r="76" spans="1:24" x14ac:dyDescent="0.3">
      <c r="A76" s="1" t="s">
        <v>233</v>
      </c>
      <c r="B76" s="133" t="s">
        <v>234</v>
      </c>
      <c r="C76" s="136"/>
      <c r="D76" s="136"/>
      <c r="E76" s="136"/>
      <c r="F76" s="136"/>
      <c r="G76" s="136"/>
      <c r="H76" s="136"/>
      <c r="I76" s="136"/>
      <c r="J76" s="136"/>
      <c r="K76" s="136"/>
      <c r="L76" s="136"/>
      <c r="M76" s="136"/>
      <c r="N76" s="136"/>
      <c r="O76" s="136"/>
      <c r="P76" s="136"/>
      <c r="Q76" s="136"/>
      <c r="R76" s="136"/>
      <c r="S76" s="136"/>
      <c r="T76" s="136"/>
      <c r="U76" s="136"/>
      <c r="V76" s="136"/>
    </row>
    <row r="77" spans="1:24" x14ac:dyDescent="0.3">
      <c r="A77" s="1" t="s">
        <v>235</v>
      </c>
      <c r="B77" s="133" t="s">
        <v>236</v>
      </c>
      <c r="C77" s="136">
        <v>0.55600000000000005</v>
      </c>
      <c r="D77" s="136">
        <v>0.45600000000000002</v>
      </c>
      <c r="E77" s="136">
        <v>0.505</v>
      </c>
      <c r="F77" s="136">
        <v>0.41499999999999998</v>
      </c>
      <c r="G77" s="136">
        <v>0.377</v>
      </c>
      <c r="H77" s="136">
        <v>0.375</v>
      </c>
      <c r="I77" s="136">
        <v>0.42199999999999999</v>
      </c>
      <c r="J77" s="136">
        <v>0.39800000000000002</v>
      </c>
      <c r="K77" s="136">
        <v>0.36199999999999999</v>
      </c>
      <c r="L77" s="136">
        <v>0.32500000000000001</v>
      </c>
      <c r="M77" s="136">
        <v>0.313</v>
      </c>
      <c r="N77" s="136">
        <v>0.26800000000000002</v>
      </c>
      <c r="O77" s="136">
        <v>0.26400000000000001</v>
      </c>
      <c r="P77" s="136">
        <v>0.19600000000000001</v>
      </c>
      <c r="Q77" s="136">
        <v>0.29599999999999999</v>
      </c>
      <c r="R77" s="136">
        <v>0.35799999999999998</v>
      </c>
      <c r="S77" s="136">
        <v>0.33300000000000002</v>
      </c>
      <c r="T77" s="136">
        <v>0.24099999999999999</v>
      </c>
      <c r="U77" s="136">
        <v>0.223</v>
      </c>
      <c r="V77" s="136">
        <v>0.19900000000000001</v>
      </c>
      <c r="W77" s="1">
        <v>0.2</v>
      </c>
      <c r="X77" s="1">
        <v>0.192</v>
      </c>
    </row>
    <row r="78" spans="1:24" x14ac:dyDescent="0.3">
      <c r="A78" s="1" t="s">
        <v>237</v>
      </c>
      <c r="B78" s="133" t="s">
        <v>238</v>
      </c>
      <c r="C78" s="136"/>
      <c r="D78" s="136"/>
      <c r="E78" s="136"/>
      <c r="F78" s="136"/>
      <c r="G78" s="136"/>
      <c r="H78" s="136"/>
      <c r="I78" s="136"/>
      <c r="J78" s="136"/>
      <c r="K78" s="136"/>
      <c r="L78" s="136"/>
      <c r="M78" s="136"/>
      <c r="N78" s="136"/>
      <c r="O78" s="136"/>
      <c r="P78" s="136"/>
      <c r="Q78" s="136"/>
      <c r="R78" s="136"/>
      <c r="S78" s="136"/>
      <c r="T78" s="136"/>
      <c r="U78" s="136"/>
      <c r="V78" s="136"/>
    </row>
    <row r="79" spans="1:24" x14ac:dyDescent="0.3">
      <c r="A79" s="1" t="s">
        <v>239</v>
      </c>
      <c r="B79" s="133" t="s">
        <v>240</v>
      </c>
      <c r="C79" s="136">
        <v>3.5129999999999999</v>
      </c>
      <c r="D79" s="136">
        <v>3.1960000000000002</v>
      </c>
      <c r="E79" s="136">
        <v>2.9689999999999999</v>
      </c>
      <c r="F79" s="136">
        <v>2.7639999999999998</v>
      </c>
      <c r="G79" s="136">
        <v>2.645</v>
      </c>
      <c r="H79" s="136">
        <v>2.4489999999999998</v>
      </c>
      <c r="I79" s="136">
        <v>2.5990000000000002</v>
      </c>
      <c r="J79" s="136">
        <v>2.6859999999999999</v>
      </c>
      <c r="K79" s="136">
        <v>2.516</v>
      </c>
      <c r="L79" s="136">
        <v>2.2450000000000001</v>
      </c>
      <c r="M79" s="136">
        <v>2.2149999999999999</v>
      </c>
      <c r="N79" s="136">
        <v>2.2629999999999999</v>
      </c>
      <c r="O79" s="136">
        <v>2.093</v>
      </c>
      <c r="P79" s="136">
        <v>1.9419999999999999</v>
      </c>
      <c r="Q79" s="136">
        <v>1.7210000000000001</v>
      </c>
      <c r="R79" s="136">
        <v>1.589</v>
      </c>
      <c r="S79" s="136">
        <v>1.5009999999999999</v>
      </c>
      <c r="T79" s="136">
        <v>1.5669999999999999</v>
      </c>
      <c r="U79" s="136">
        <v>1.5580000000000001</v>
      </c>
      <c r="V79" s="136">
        <v>1.5820000000000001</v>
      </c>
      <c r="W79" s="1">
        <v>1.387</v>
      </c>
      <c r="X79" s="1">
        <v>1.454</v>
      </c>
    </row>
    <row r="80" spans="1:24" x14ac:dyDescent="0.3">
      <c r="A80" s="1" t="s">
        <v>241</v>
      </c>
      <c r="B80" s="133" t="s">
        <v>242</v>
      </c>
      <c r="C80" s="136">
        <v>6.7000000000000004E-2</v>
      </c>
      <c r="D80" s="136">
        <v>6.6000000000000003E-2</v>
      </c>
      <c r="E80" s="136">
        <v>6.7000000000000004E-2</v>
      </c>
      <c r="F80" s="136">
        <v>0.06</v>
      </c>
      <c r="G80" s="136">
        <v>4.7E-2</v>
      </c>
      <c r="H80" s="136">
        <v>4.4999999999999998E-2</v>
      </c>
      <c r="I80" s="136">
        <v>4.1000000000000002E-2</v>
      </c>
      <c r="J80" s="136">
        <v>4.2999999999999997E-2</v>
      </c>
      <c r="K80" s="136">
        <v>5.1999999999999998E-2</v>
      </c>
      <c r="L80" s="136">
        <v>6.2E-2</v>
      </c>
      <c r="M80" s="136">
        <v>4.8000000000000001E-2</v>
      </c>
      <c r="N80" s="136">
        <v>3.6999999999999998E-2</v>
      </c>
      <c r="O80" s="136">
        <v>3.7999999999999999E-2</v>
      </c>
      <c r="P80" s="136">
        <v>4.2000000000000003E-2</v>
      </c>
      <c r="Q80" s="136">
        <v>0.13</v>
      </c>
      <c r="R80" s="136">
        <v>6.9000000000000006E-2</v>
      </c>
      <c r="S80" s="136">
        <v>9.8000000000000004E-2</v>
      </c>
      <c r="T80" s="136">
        <v>0.128</v>
      </c>
      <c r="U80" s="136">
        <v>0.151</v>
      </c>
      <c r="V80" s="136">
        <v>0.13100000000000001</v>
      </c>
      <c r="W80" s="1">
        <v>0.13</v>
      </c>
      <c r="X80" s="1">
        <v>0.129</v>
      </c>
    </row>
    <row r="81" spans="1:24" x14ac:dyDescent="0.3">
      <c r="A81" s="1" t="s">
        <v>243</v>
      </c>
      <c r="B81" s="133" t="s">
        <v>244</v>
      </c>
      <c r="C81" s="136">
        <v>37.850999999999999</v>
      </c>
      <c r="D81" s="136">
        <v>36.603000000000002</v>
      </c>
      <c r="E81" s="136">
        <v>37.548000000000002</v>
      </c>
      <c r="F81" s="136">
        <v>39.651000000000003</v>
      </c>
      <c r="G81" s="136">
        <v>40.61</v>
      </c>
      <c r="H81" s="136">
        <v>40.848999999999997</v>
      </c>
      <c r="I81" s="136">
        <v>40.817999999999998</v>
      </c>
      <c r="J81" s="136">
        <v>41.448999999999998</v>
      </c>
      <c r="K81" s="136">
        <v>37.908000000000001</v>
      </c>
      <c r="L81" s="136">
        <v>38.774000000000001</v>
      </c>
      <c r="M81" s="136">
        <v>40.454999999999998</v>
      </c>
      <c r="N81" s="136">
        <v>42.097999999999999</v>
      </c>
      <c r="O81" s="136">
        <v>41.755000000000003</v>
      </c>
      <c r="P81" s="136">
        <v>41.637</v>
      </c>
      <c r="Q81" s="136">
        <v>42.826000000000001</v>
      </c>
      <c r="R81" s="136">
        <v>43.508000000000003</v>
      </c>
      <c r="S81" s="136">
        <v>44.673999999999999</v>
      </c>
      <c r="T81" s="136">
        <v>45.484999999999999</v>
      </c>
      <c r="U81" s="136">
        <v>45.279000000000003</v>
      </c>
      <c r="V81" s="136">
        <v>45.597999999999999</v>
      </c>
      <c r="W81" s="1">
        <v>44.088999999999999</v>
      </c>
      <c r="X81" s="1">
        <v>44.859000000000002</v>
      </c>
    </row>
    <row r="82" spans="1:24" x14ac:dyDescent="0.3">
      <c r="A82" s="1" t="s">
        <v>245</v>
      </c>
      <c r="B82" s="133" t="s">
        <v>246</v>
      </c>
      <c r="C82" s="136">
        <v>29.762</v>
      </c>
      <c r="D82" s="136">
        <v>28.587</v>
      </c>
      <c r="E82" s="136">
        <v>29.571000000000002</v>
      </c>
      <c r="F82" s="136">
        <v>30.995000000000001</v>
      </c>
      <c r="G82" s="136">
        <v>32.130000000000003</v>
      </c>
      <c r="H82" s="136">
        <v>32.372</v>
      </c>
      <c r="I82" s="136">
        <v>32.609000000000002</v>
      </c>
      <c r="J82" s="136">
        <v>33.445</v>
      </c>
      <c r="K82" s="136">
        <v>30.405999999999999</v>
      </c>
      <c r="L82" s="136">
        <v>31.702999999999999</v>
      </c>
      <c r="M82" s="136">
        <v>33.854999999999997</v>
      </c>
      <c r="N82" s="136">
        <v>35.228000000000002</v>
      </c>
      <c r="O82" s="136">
        <v>34.936999999999998</v>
      </c>
      <c r="P82" s="136">
        <v>35.387999999999998</v>
      </c>
      <c r="Q82" s="136">
        <v>37.039000000000001</v>
      </c>
      <c r="R82" s="136">
        <v>37.530999999999999</v>
      </c>
      <c r="S82" s="136">
        <v>38.768999999999998</v>
      </c>
      <c r="T82" s="136">
        <v>39.295999999999999</v>
      </c>
      <c r="U82" s="136">
        <v>39.249000000000002</v>
      </c>
      <c r="V82" s="136">
        <v>39.645000000000003</v>
      </c>
      <c r="W82" s="1">
        <v>37.875999999999998</v>
      </c>
      <c r="X82" s="1">
        <v>38.435000000000002</v>
      </c>
    </row>
    <row r="83" spans="1:24" x14ac:dyDescent="0.3">
      <c r="A83" s="1" t="s">
        <v>247</v>
      </c>
      <c r="B83" s="133" t="s">
        <v>248</v>
      </c>
      <c r="C83" s="136">
        <v>7.8220000000000001</v>
      </c>
      <c r="D83" s="136">
        <v>7.8140000000000001</v>
      </c>
      <c r="E83" s="136">
        <v>7.7050000000000001</v>
      </c>
      <c r="F83" s="136">
        <v>8.548</v>
      </c>
      <c r="G83" s="136">
        <v>8.2989999999999995</v>
      </c>
      <c r="H83" s="136">
        <v>8.2460000000000004</v>
      </c>
      <c r="I83" s="136">
        <v>7.6779999999999999</v>
      </c>
      <c r="J83" s="136">
        <v>7.649</v>
      </c>
      <c r="K83" s="136">
        <v>7.4740000000000002</v>
      </c>
      <c r="L83" s="136">
        <v>6.492</v>
      </c>
      <c r="M83" s="136">
        <v>5.9630000000000001</v>
      </c>
      <c r="N83" s="136">
        <v>6.3109999999999999</v>
      </c>
      <c r="O83" s="136">
        <v>6.2690000000000001</v>
      </c>
      <c r="P83" s="136">
        <v>5.82</v>
      </c>
      <c r="Q83" s="136">
        <v>5.49</v>
      </c>
      <c r="R83" s="136">
        <v>5.8049999999999997</v>
      </c>
      <c r="S83" s="136">
        <v>5.734</v>
      </c>
      <c r="T83" s="136">
        <v>6.0339999999999998</v>
      </c>
      <c r="U83" s="136">
        <v>5.9340000000000002</v>
      </c>
      <c r="V83" s="136">
        <v>5.8760000000000003</v>
      </c>
      <c r="W83" s="1">
        <v>6.0529999999999999</v>
      </c>
      <c r="X83" s="1">
        <v>6.26</v>
      </c>
    </row>
    <row r="84" spans="1:24" x14ac:dyDescent="0.3">
      <c r="A84" s="1" t="s">
        <v>249</v>
      </c>
      <c r="B84" s="133" t="s">
        <v>250</v>
      </c>
      <c r="C84" s="136">
        <v>2.2719999999999998</v>
      </c>
      <c r="D84" s="136">
        <v>2.3439999999999999</v>
      </c>
      <c r="E84" s="136">
        <v>2.12</v>
      </c>
      <c r="F84" s="136">
        <v>2.282</v>
      </c>
      <c r="G84" s="136">
        <v>1.9610000000000001</v>
      </c>
      <c r="H84" s="136">
        <v>1.9890000000000001</v>
      </c>
      <c r="I84" s="136">
        <v>2.1150000000000002</v>
      </c>
      <c r="J84" s="136">
        <v>1.389</v>
      </c>
      <c r="K84" s="136">
        <v>1.048</v>
      </c>
      <c r="L84" s="136">
        <v>1.1950000000000001</v>
      </c>
      <c r="M84" s="136">
        <v>0.94399999999999995</v>
      </c>
      <c r="N84" s="136">
        <v>0.82699999999999996</v>
      </c>
      <c r="O84" s="136">
        <v>0.81399999999999995</v>
      </c>
      <c r="P84" s="136">
        <v>0.54600000000000004</v>
      </c>
      <c r="Q84" s="136">
        <v>0.29699999999999999</v>
      </c>
      <c r="R84" s="136">
        <v>0.17199999999999999</v>
      </c>
      <c r="S84" s="136">
        <v>0.182</v>
      </c>
      <c r="T84" s="136">
        <v>0.152</v>
      </c>
      <c r="U84" s="136">
        <v>8.2000000000000003E-2</v>
      </c>
      <c r="V84" s="136">
        <v>6.9000000000000006E-2</v>
      </c>
      <c r="W84" s="1">
        <v>9.1999999999999998E-2</v>
      </c>
      <c r="X84" s="1">
        <v>8.5000000000000006E-2</v>
      </c>
    </row>
    <row r="85" spans="1:24" x14ac:dyDescent="0.3">
      <c r="A85" s="1" t="s">
        <v>156</v>
      </c>
      <c r="B85" s="133" t="s">
        <v>251</v>
      </c>
      <c r="C85" s="136">
        <v>7.7279999999999998</v>
      </c>
      <c r="D85" s="136">
        <v>7.9160000000000004</v>
      </c>
      <c r="E85" s="136">
        <v>7.6189999999999998</v>
      </c>
      <c r="F85" s="136">
        <v>7.2809999999999997</v>
      </c>
      <c r="G85" s="136">
        <v>6.9169999999999998</v>
      </c>
      <c r="H85" s="136">
        <v>6.6159999999999997</v>
      </c>
      <c r="I85" s="136">
        <v>6.3769999999999998</v>
      </c>
      <c r="J85" s="136">
        <v>6.609</v>
      </c>
      <c r="K85" s="136">
        <v>6.3570000000000002</v>
      </c>
      <c r="L85" s="136">
        <v>5.2</v>
      </c>
      <c r="M85" s="136">
        <v>5.0220000000000002</v>
      </c>
      <c r="N85" s="136">
        <v>5.7210000000000001</v>
      </c>
      <c r="O85" s="136">
        <v>5.7850000000000001</v>
      </c>
      <c r="P85" s="136">
        <v>5.4669999999999996</v>
      </c>
      <c r="Q85" s="136">
        <v>5.048</v>
      </c>
      <c r="R85" s="136">
        <v>5.27</v>
      </c>
      <c r="S85" s="136">
        <v>5.234</v>
      </c>
      <c r="T85" s="136">
        <v>5.42</v>
      </c>
      <c r="U85" s="136">
        <v>5.7119999999999997</v>
      </c>
      <c r="V85" s="136">
        <v>5.7409999999999997</v>
      </c>
      <c r="W85" s="1">
        <v>5.6020000000000003</v>
      </c>
      <c r="X85" s="1">
        <v>6.0860000000000003</v>
      </c>
    </row>
    <row r="86" spans="1:24" x14ac:dyDescent="0.3">
      <c r="A86" s="1" t="s">
        <v>252</v>
      </c>
      <c r="B86" s="133" t="s">
        <v>253</v>
      </c>
      <c r="C86" s="136">
        <v>2.8959999999999999</v>
      </c>
      <c r="D86" s="136">
        <v>2.8660000000000001</v>
      </c>
      <c r="E86" s="136">
        <v>2.677</v>
      </c>
      <c r="F86" s="136">
        <v>2.5550000000000002</v>
      </c>
      <c r="G86" s="136">
        <v>2.3879999999999999</v>
      </c>
      <c r="H86" s="136">
        <v>2.343</v>
      </c>
      <c r="I86" s="136">
        <v>2.3319999999999999</v>
      </c>
      <c r="J86" s="136">
        <v>2.3580000000000001</v>
      </c>
      <c r="K86" s="136">
        <v>2.2610000000000001</v>
      </c>
      <c r="L86" s="136">
        <v>1.9330000000000001</v>
      </c>
      <c r="M86" s="136">
        <v>1.901</v>
      </c>
      <c r="N86" s="136">
        <v>2.1160000000000001</v>
      </c>
      <c r="O86" s="136">
        <v>2.0760000000000001</v>
      </c>
      <c r="P86" s="136">
        <v>2.0390000000000001</v>
      </c>
      <c r="Q86" s="136">
        <v>1.87</v>
      </c>
      <c r="R86" s="136">
        <v>1.863</v>
      </c>
      <c r="S86" s="136">
        <v>1.8140000000000001</v>
      </c>
      <c r="T86" s="136">
        <v>1.8340000000000001</v>
      </c>
      <c r="U86" s="136">
        <v>1.7490000000000001</v>
      </c>
      <c r="V86" s="136">
        <v>1.625</v>
      </c>
      <c r="W86" s="1">
        <v>1.58</v>
      </c>
      <c r="X86" s="1">
        <v>1.5649999999999999</v>
      </c>
    </row>
    <row r="87" spans="1:24" x14ac:dyDescent="0.3">
      <c r="A87" s="1" t="s">
        <v>254</v>
      </c>
      <c r="B87" s="133" t="s">
        <v>255</v>
      </c>
      <c r="C87" s="136">
        <v>2.3010000000000002</v>
      </c>
      <c r="D87" s="136">
        <v>2.4769999999999999</v>
      </c>
      <c r="E87" s="136">
        <v>2.5830000000000002</v>
      </c>
      <c r="F87" s="136">
        <v>2.5139999999999998</v>
      </c>
      <c r="G87" s="136">
        <v>2.629</v>
      </c>
      <c r="H87" s="136">
        <v>2.4039999999999999</v>
      </c>
      <c r="I87" s="136">
        <v>2.2170000000000001</v>
      </c>
      <c r="J87" s="136">
        <v>2.3679999999999999</v>
      </c>
      <c r="K87" s="136">
        <v>2.258</v>
      </c>
      <c r="L87" s="136">
        <v>1.762</v>
      </c>
      <c r="M87" s="136">
        <v>1.6459999999999999</v>
      </c>
      <c r="N87" s="136">
        <v>1.9390000000000001</v>
      </c>
      <c r="O87" s="136">
        <v>1.9339999999999999</v>
      </c>
      <c r="P87" s="136">
        <v>1.8340000000000001</v>
      </c>
      <c r="Q87" s="136">
        <v>1.7769999999999999</v>
      </c>
      <c r="R87" s="136">
        <v>1.964</v>
      </c>
      <c r="S87" s="136">
        <v>2.069</v>
      </c>
      <c r="T87" s="136">
        <v>2.1520000000000001</v>
      </c>
      <c r="U87" s="136">
        <v>2.456</v>
      </c>
      <c r="V87" s="136">
        <v>2.4900000000000002</v>
      </c>
      <c r="W87" s="1">
        <v>2.2839999999999998</v>
      </c>
      <c r="X87" s="1">
        <v>2.3159999999999998</v>
      </c>
    </row>
    <row r="88" spans="1:24" x14ac:dyDescent="0.3">
      <c r="A88" s="1" t="s">
        <v>256</v>
      </c>
      <c r="B88" s="133" t="s">
        <v>257</v>
      </c>
      <c r="C88" s="136">
        <v>3.01</v>
      </c>
      <c r="D88" s="136">
        <v>3.0419999999999998</v>
      </c>
      <c r="E88" s="136">
        <v>2.6429999999999998</v>
      </c>
      <c r="F88" s="136">
        <v>2.4260000000000002</v>
      </c>
      <c r="G88" s="136">
        <v>1.8540000000000001</v>
      </c>
      <c r="H88" s="136">
        <v>1.869</v>
      </c>
      <c r="I88" s="136">
        <v>1.8380000000000001</v>
      </c>
      <c r="J88" s="136">
        <v>1.889</v>
      </c>
      <c r="K88" s="136">
        <v>1.8640000000000001</v>
      </c>
      <c r="L88" s="136">
        <v>1.5109999999999999</v>
      </c>
      <c r="M88" s="136">
        <v>1.4890000000000001</v>
      </c>
      <c r="N88" s="136">
        <v>1.68</v>
      </c>
      <c r="O88" s="136">
        <v>1.8049999999999999</v>
      </c>
      <c r="P88" s="136">
        <v>1.607</v>
      </c>
      <c r="Q88" s="136">
        <v>1.401</v>
      </c>
      <c r="R88" s="136">
        <v>1.4430000000000001</v>
      </c>
      <c r="S88" s="136">
        <v>1.3680000000000001</v>
      </c>
      <c r="T88" s="136">
        <v>1.4510000000000001</v>
      </c>
      <c r="U88" s="136">
        <v>1.5649999999999999</v>
      </c>
      <c r="V88" s="136">
        <v>1.6830000000000001</v>
      </c>
      <c r="W88" s="1">
        <v>1.732</v>
      </c>
      <c r="X88" s="1">
        <v>2.1219999999999999</v>
      </c>
    </row>
    <row r="89" spans="1:24" x14ac:dyDescent="0.3">
      <c r="A89" s="1" t="s">
        <v>158</v>
      </c>
      <c r="B89" s="133" t="s">
        <v>258</v>
      </c>
      <c r="C89" s="136">
        <v>9.7560000000000002</v>
      </c>
      <c r="D89" s="136">
        <v>10.233000000000001</v>
      </c>
      <c r="E89" s="136">
        <v>10.209</v>
      </c>
      <c r="F89" s="136">
        <v>10.473000000000001</v>
      </c>
      <c r="G89" s="136">
        <v>10.473000000000001</v>
      </c>
      <c r="H89" s="136">
        <v>10.244999999999999</v>
      </c>
      <c r="I89" s="136">
        <v>9.9930000000000003</v>
      </c>
      <c r="J89" s="136">
        <v>10.055</v>
      </c>
      <c r="K89" s="136">
        <v>10.362</v>
      </c>
      <c r="L89" s="136">
        <v>10.316000000000001</v>
      </c>
      <c r="M89" s="136">
        <v>10.129</v>
      </c>
      <c r="N89" s="136">
        <v>10.804</v>
      </c>
      <c r="O89" s="136">
        <v>10.891</v>
      </c>
      <c r="P89" s="136">
        <v>10.933</v>
      </c>
      <c r="Q89" s="136">
        <v>11.156000000000001</v>
      </c>
      <c r="R89" s="136">
        <v>10.877000000000001</v>
      </c>
      <c r="S89" s="136">
        <v>10.965</v>
      </c>
      <c r="T89" s="136">
        <v>11.11</v>
      </c>
      <c r="U89" s="136">
        <v>10.568</v>
      </c>
      <c r="V89" s="136">
        <v>10.879</v>
      </c>
      <c r="W89" s="1">
        <v>10.577999999999999</v>
      </c>
      <c r="X89" s="1">
        <v>10.805999999999999</v>
      </c>
    </row>
    <row r="90" spans="1:24" x14ac:dyDescent="0.3">
      <c r="A90" s="138" t="s">
        <v>259</v>
      </c>
      <c r="B90" s="138" t="s">
        <v>260</v>
      </c>
      <c r="C90" s="136">
        <v>2.2200000000000002</v>
      </c>
      <c r="D90" s="136">
        <v>2.4260000000000002</v>
      </c>
      <c r="E90" s="136">
        <v>2.714</v>
      </c>
      <c r="F90" s="136">
        <v>3.0990000000000002</v>
      </c>
      <c r="G90" s="136">
        <v>2.8849999999999998</v>
      </c>
      <c r="H90" s="136">
        <v>2.6349999999999998</v>
      </c>
      <c r="I90" s="136">
        <v>2.6720000000000002</v>
      </c>
      <c r="J90" s="136">
        <v>2.726</v>
      </c>
      <c r="K90" s="136">
        <v>3.0049999999999999</v>
      </c>
      <c r="L90" s="136">
        <v>2.8130000000000002</v>
      </c>
      <c r="M90" s="136">
        <v>2.7370000000000001</v>
      </c>
      <c r="N90" s="136">
        <v>2.9809999999999999</v>
      </c>
      <c r="O90" s="136">
        <v>2.8679999999999999</v>
      </c>
      <c r="P90" s="136">
        <v>2.9710000000000001</v>
      </c>
      <c r="Q90" s="136">
        <v>2.9020000000000001</v>
      </c>
      <c r="R90" s="136">
        <v>2.7450000000000001</v>
      </c>
      <c r="S90" s="136">
        <v>2.8410000000000002</v>
      </c>
      <c r="T90" s="136">
        <v>2.9590000000000001</v>
      </c>
      <c r="U90" s="136">
        <v>2.6850000000000001</v>
      </c>
      <c r="V90" s="136">
        <v>2.774</v>
      </c>
      <c r="W90" s="1">
        <v>2.8530000000000002</v>
      </c>
      <c r="X90" s="1">
        <v>2.8849999999999998</v>
      </c>
    </row>
    <row r="91" spans="1:24" x14ac:dyDescent="0.3">
      <c r="A91" s="138" t="s">
        <v>261</v>
      </c>
      <c r="B91" s="138" t="s">
        <v>262</v>
      </c>
      <c r="C91" s="136">
        <v>4.2050000000000001</v>
      </c>
      <c r="D91" s="136">
        <v>4.4580000000000002</v>
      </c>
      <c r="E91" s="136">
        <v>4.165</v>
      </c>
      <c r="F91" s="136">
        <v>4.1529999999999996</v>
      </c>
      <c r="G91" s="136">
        <v>4.298</v>
      </c>
      <c r="H91" s="136">
        <v>4.2919999999999998</v>
      </c>
      <c r="I91" s="136">
        <v>3.8039999999999998</v>
      </c>
      <c r="J91" s="136">
        <v>3.8639999999999999</v>
      </c>
      <c r="K91" s="136">
        <v>3.7469999999999999</v>
      </c>
      <c r="L91" s="136">
        <v>4.1210000000000004</v>
      </c>
      <c r="M91" s="136">
        <v>3.88</v>
      </c>
      <c r="N91" s="136">
        <v>4.03</v>
      </c>
      <c r="O91" s="136">
        <v>4.2380000000000004</v>
      </c>
      <c r="P91" s="136">
        <v>4.1449999999999996</v>
      </c>
      <c r="Q91" s="136">
        <v>4.2240000000000002</v>
      </c>
      <c r="R91" s="136">
        <v>4.2910000000000004</v>
      </c>
      <c r="S91" s="136">
        <v>4.2699999999999996</v>
      </c>
      <c r="T91" s="136">
        <v>4.28</v>
      </c>
      <c r="U91" s="136">
        <v>3.9969999999999999</v>
      </c>
      <c r="V91" s="136">
        <v>4.1440000000000001</v>
      </c>
      <c r="W91" s="1">
        <v>4.2910000000000004</v>
      </c>
      <c r="X91" s="1">
        <v>4.319</v>
      </c>
    </row>
    <row r="92" spans="1:24" x14ac:dyDescent="0.3">
      <c r="A92" s="138" t="s">
        <v>263</v>
      </c>
      <c r="B92" s="138" t="s">
        <v>264</v>
      </c>
      <c r="C92" s="136">
        <v>3.4279999999999999</v>
      </c>
      <c r="D92" s="136">
        <v>3.4609999999999999</v>
      </c>
      <c r="E92" s="136">
        <v>3.4359999999999999</v>
      </c>
      <c r="F92" s="136">
        <v>3.375</v>
      </c>
      <c r="G92" s="136">
        <v>3.415</v>
      </c>
      <c r="H92" s="136">
        <v>3.4060000000000001</v>
      </c>
      <c r="I92" s="136">
        <v>3.5329999999999999</v>
      </c>
      <c r="J92" s="136">
        <v>3.4950000000000001</v>
      </c>
      <c r="K92" s="136">
        <v>3.633</v>
      </c>
      <c r="L92" s="136">
        <v>3.4209999999999998</v>
      </c>
      <c r="M92" s="136">
        <v>3.516</v>
      </c>
      <c r="N92" s="136">
        <v>3.7879999999999998</v>
      </c>
      <c r="O92" s="136">
        <v>3.7919999999999998</v>
      </c>
      <c r="P92" s="136">
        <v>3.8130000000000002</v>
      </c>
      <c r="Q92" s="136">
        <v>4.03</v>
      </c>
      <c r="R92" s="136">
        <v>3.8420000000000001</v>
      </c>
      <c r="S92" s="136">
        <v>3.85</v>
      </c>
      <c r="T92" s="136">
        <v>3.8660000000000001</v>
      </c>
      <c r="U92" s="136">
        <v>3.8919999999999999</v>
      </c>
      <c r="V92" s="136">
        <v>3.9609999999999999</v>
      </c>
      <c r="W92" s="1">
        <v>3.3460000000000001</v>
      </c>
      <c r="X92" s="1">
        <v>3.5230000000000001</v>
      </c>
    </row>
    <row r="93" spans="1:24" x14ac:dyDescent="0.3">
      <c r="A93" s="1" t="s">
        <v>265</v>
      </c>
      <c r="B93" s="133" t="s">
        <v>266</v>
      </c>
      <c r="C93" s="136">
        <v>2.7589999999999999</v>
      </c>
      <c r="D93" s="136">
        <v>3.585</v>
      </c>
      <c r="E93" s="136">
        <v>4.8659999999999997</v>
      </c>
      <c r="F93" s="136">
        <v>3.6320000000000001</v>
      </c>
      <c r="G93" s="136">
        <v>3.1179999999999999</v>
      </c>
      <c r="H93" s="136">
        <v>3.0910000000000002</v>
      </c>
      <c r="I93" s="136">
        <v>3.952</v>
      </c>
      <c r="J93" s="136">
        <v>3.919</v>
      </c>
      <c r="K93" s="136">
        <v>2.335</v>
      </c>
      <c r="L93" s="136">
        <v>1.6930000000000001</v>
      </c>
      <c r="M93" s="136">
        <v>1.4650000000000001</v>
      </c>
      <c r="N93" s="136">
        <v>1.41</v>
      </c>
      <c r="O93" s="136">
        <v>1.21</v>
      </c>
      <c r="P93" s="136">
        <v>1.143</v>
      </c>
      <c r="Q93" s="136">
        <v>2.2589999999999999</v>
      </c>
      <c r="R93" s="136">
        <v>2.4540000000000002</v>
      </c>
      <c r="S93" s="136">
        <v>2.66</v>
      </c>
      <c r="T93" s="136">
        <v>2.6160000000000001</v>
      </c>
      <c r="U93" s="136">
        <v>3.1110000000000002</v>
      </c>
      <c r="V93" s="136">
        <v>3.0379999999999998</v>
      </c>
      <c r="W93" s="1">
        <v>5.96</v>
      </c>
      <c r="X93" s="1">
        <v>2.0790000000000002</v>
      </c>
    </row>
    <row r="94" spans="1:24" x14ac:dyDescent="0.3">
      <c r="A94" s="1" t="s">
        <v>160</v>
      </c>
      <c r="B94" s="133" t="s">
        <v>267</v>
      </c>
      <c r="C94" s="136">
        <v>15.202</v>
      </c>
      <c r="D94" s="136">
        <v>14.763999999999999</v>
      </c>
      <c r="E94" s="136">
        <v>14.066000000000001</v>
      </c>
      <c r="F94" s="136">
        <v>14.154</v>
      </c>
      <c r="G94" s="136">
        <v>14.134</v>
      </c>
      <c r="H94" s="136">
        <v>15.497</v>
      </c>
      <c r="I94" s="136">
        <v>14.823</v>
      </c>
      <c r="J94" s="136">
        <v>15.474</v>
      </c>
      <c r="K94" s="136">
        <v>14.489000000000001</v>
      </c>
      <c r="L94" s="136">
        <v>15.201000000000001</v>
      </c>
      <c r="M94" s="136">
        <v>14.443</v>
      </c>
      <c r="N94" s="136">
        <v>15.151999999999999</v>
      </c>
      <c r="O94" s="136">
        <v>15.475</v>
      </c>
      <c r="P94" s="136">
        <v>17.462</v>
      </c>
      <c r="Q94" s="136">
        <v>18.202999999999999</v>
      </c>
      <c r="R94" s="136">
        <v>18.338999999999999</v>
      </c>
      <c r="S94" s="136">
        <v>19.16</v>
      </c>
      <c r="T94" s="136">
        <v>20.071999999999999</v>
      </c>
      <c r="U94" s="136">
        <v>19.722999999999999</v>
      </c>
      <c r="V94" s="136">
        <v>20.785</v>
      </c>
      <c r="W94" s="1">
        <v>20.452000000000002</v>
      </c>
      <c r="X94" s="1">
        <v>20.323</v>
      </c>
    </row>
    <row r="95" spans="1:24" x14ac:dyDescent="0.3">
      <c r="A95" s="1" t="s">
        <v>162</v>
      </c>
      <c r="B95" s="133" t="s">
        <v>268</v>
      </c>
      <c r="C95" s="136">
        <v>7.0960000000000001</v>
      </c>
      <c r="D95" s="136">
        <v>8.1969999999999992</v>
      </c>
      <c r="E95" s="136">
        <v>8.5359999999999996</v>
      </c>
      <c r="F95" s="136">
        <v>8.8360000000000003</v>
      </c>
      <c r="G95" s="136">
        <v>8.5609999999999999</v>
      </c>
      <c r="H95" s="136">
        <v>9.2469999999999999</v>
      </c>
      <c r="I95" s="136">
        <v>10.981999999999999</v>
      </c>
      <c r="J95" s="136">
        <v>11.227</v>
      </c>
      <c r="K95" s="136">
        <v>11.34</v>
      </c>
      <c r="L95" s="136">
        <v>11</v>
      </c>
      <c r="M95" s="136">
        <v>10.984999999999999</v>
      </c>
      <c r="N95" s="136">
        <v>11.393000000000001</v>
      </c>
      <c r="O95" s="136">
        <v>11.747999999999999</v>
      </c>
      <c r="P95" s="136">
        <v>11.401</v>
      </c>
      <c r="Q95" s="136">
        <v>11.518000000000001</v>
      </c>
      <c r="R95" s="136">
        <v>12.272</v>
      </c>
      <c r="S95" s="136">
        <v>12.815</v>
      </c>
      <c r="T95" s="136">
        <v>13.151999999999999</v>
      </c>
      <c r="U95" s="136">
        <v>13.968</v>
      </c>
      <c r="V95" s="136">
        <v>14.941000000000001</v>
      </c>
      <c r="W95" s="1">
        <v>15.823</v>
      </c>
      <c r="X95" s="1">
        <v>15.898</v>
      </c>
    </row>
    <row r="96" spans="1:24" x14ac:dyDescent="0.3">
      <c r="A96" s="1" t="s">
        <v>164</v>
      </c>
      <c r="B96" s="133" t="s">
        <v>269</v>
      </c>
      <c r="C96" s="136">
        <v>17.413</v>
      </c>
      <c r="D96" s="136">
        <v>18.055</v>
      </c>
      <c r="E96" s="136">
        <v>18.41</v>
      </c>
      <c r="F96" s="136">
        <v>19.716000000000001</v>
      </c>
      <c r="G96" s="136">
        <v>20.100999999999999</v>
      </c>
      <c r="H96" s="136">
        <v>20.670999999999999</v>
      </c>
      <c r="I96" s="136">
        <v>21.298999999999999</v>
      </c>
      <c r="J96" s="136">
        <v>21.756</v>
      </c>
      <c r="K96" s="136">
        <v>21.268000000000001</v>
      </c>
      <c r="L96" s="136">
        <v>18.832000000000001</v>
      </c>
      <c r="M96" s="136">
        <v>18.248999999999999</v>
      </c>
      <c r="N96" s="136">
        <v>20.401</v>
      </c>
      <c r="O96" s="136">
        <v>19.666</v>
      </c>
      <c r="P96" s="136">
        <v>18.696000000000002</v>
      </c>
      <c r="Q96" s="136">
        <v>18.524000000000001</v>
      </c>
      <c r="R96" s="136">
        <v>18.827000000000002</v>
      </c>
      <c r="S96" s="136">
        <v>18.675999999999998</v>
      </c>
      <c r="T96" s="136">
        <v>18.876000000000001</v>
      </c>
      <c r="U96" s="136">
        <v>19.779</v>
      </c>
      <c r="V96" s="136">
        <v>19.812999999999999</v>
      </c>
      <c r="W96" s="1">
        <v>17.088999999999999</v>
      </c>
      <c r="X96" s="1">
        <v>18.292000000000002</v>
      </c>
    </row>
    <row r="97" spans="1:24" x14ac:dyDescent="0.3">
      <c r="A97" s="139" t="s">
        <v>270</v>
      </c>
      <c r="B97" s="139" t="s">
        <v>271</v>
      </c>
      <c r="C97" s="136">
        <v>9.6449999999999996</v>
      </c>
      <c r="D97" s="136">
        <v>10.313000000000001</v>
      </c>
      <c r="E97" s="136">
        <v>10.59</v>
      </c>
      <c r="F97" s="136">
        <v>11.766999999999999</v>
      </c>
      <c r="G97" s="136">
        <v>12.19</v>
      </c>
      <c r="H97" s="136">
        <v>12.792</v>
      </c>
      <c r="I97" s="136">
        <v>13.138</v>
      </c>
      <c r="J97" s="136">
        <v>13.436</v>
      </c>
      <c r="K97" s="136">
        <v>13.561999999999999</v>
      </c>
      <c r="L97" s="136">
        <v>11.959</v>
      </c>
      <c r="M97" s="136">
        <v>10.837</v>
      </c>
      <c r="N97" s="136">
        <v>12.226000000000001</v>
      </c>
      <c r="O97" s="136">
        <v>11.848000000000001</v>
      </c>
      <c r="P97" s="136">
        <v>11.129</v>
      </c>
      <c r="Q97" s="136">
        <v>10.78</v>
      </c>
      <c r="R97" s="136">
        <v>10.804</v>
      </c>
      <c r="S97" s="136">
        <v>10.584</v>
      </c>
      <c r="T97" s="136">
        <v>10.601000000000001</v>
      </c>
      <c r="U97" s="136">
        <v>11.502000000000001</v>
      </c>
      <c r="V97" s="136">
        <v>11.449</v>
      </c>
      <c r="W97" s="1">
        <v>9.6140000000000008</v>
      </c>
      <c r="X97" s="1">
        <v>10.106999999999999</v>
      </c>
    </row>
    <row r="98" spans="1:24" x14ac:dyDescent="0.3">
      <c r="A98" s="143" t="s">
        <v>272</v>
      </c>
      <c r="B98" s="143" t="s">
        <v>273</v>
      </c>
      <c r="C98" s="136">
        <v>8.09</v>
      </c>
      <c r="D98" s="136">
        <v>7.98</v>
      </c>
      <c r="E98" s="136">
        <v>8.0449999999999999</v>
      </c>
      <c r="F98" s="136">
        <v>8.0969999999999995</v>
      </c>
      <c r="G98" s="136">
        <v>8.032</v>
      </c>
      <c r="H98" s="136">
        <v>7.97</v>
      </c>
      <c r="I98" s="136">
        <v>8.2550000000000008</v>
      </c>
      <c r="J98" s="136">
        <v>8.4169999999999998</v>
      </c>
      <c r="K98" s="136">
        <v>7.84</v>
      </c>
      <c r="L98" s="136">
        <v>6.9829999999999997</v>
      </c>
      <c r="M98" s="136">
        <v>7.415</v>
      </c>
      <c r="N98" s="136">
        <v>8.1859999999999999</v>
      </c>
      <c r="O98" s="136">
        <v>7.8339999999999996</v>
      </c>
      <c r="P98" s="136">
        <v>7.5739999999999998</v>
      </c>
      <c r="Q98" s="136">
        <v>7.7430000000000003</v>
      </c>
      <c r="R98" s="136">
        <v>8.0229999999999997</v>
      </c>
      <c r="S98" s="136">
        <v>8.1</v>
      </c>
      <c r="T98" s="136">
        <v>8.2919999999999998</v>
      </c>
      <c r="U98" s="136">
        <v>8.2710000000000008</v>
      </c>
      <c r="V98" s="136">
        <v>8.359</v>
      </c>
      <c r="W98" s="1">
        <v>7.4640000000000004</v>
      </c>
      <c r="X98" s="1">
        <v>8.1720000000000006</v>
      </c>
    </row>
    <row r="99" spans="1:24" x14ac:dyDescent="0.3">
      <c r="A99" s="140" t="s">
        <v>166</v>
      </c>
      <c r="B99" s="140" t="s">
        <v>274</v>
      </c>
      <c r="C99" s="136">
        <v>24.254999999999999</v>
      </c>
      <c r="D99" s="136">
        <v>24.448</v>
      </c>
      <c r="E99" s="136">
        <v>24.38</v>
      </c>
      <c r="F99" s="136">
        <v>24.315000000000001</v>
      </c>
      <c r="G99" s="136">
        <v>24.667000000000002</v>
      </c>
      <c r="H99" s="136">
        <v>23.864999999999998</v>
      </c>
      <c r="I99" s="136">
        <v>24.026</v>
      </c>
      <c r="J99" s="136">
        <v>24.463000000000001</v>
      </c>
      <c r="K99" s="136">
        <v>23.97</v>
      </c>
      <c r="L99" s="136">
        <v>23.940999999999999</v>
      </c>
      <c r="M99" s="136">
        <v>24.628</v>
      </c>
      <c r="N99" s="136">
        <v>24.859000000000002</v>
      </c>
      <c r="O99" s="136">
        <v>24.396000000000001</v>
      </c>
      <c r="P99" s="136">
        <v>25.766999999999999</v>
      </c>
      <c r="Q99" s="136">
        <v>25.215</v>
      </c>
      <c r="R99" s="136">
        <v>25.623999999999999</v>
      </c>
      <c r="S99" s="136">
        <v>26.013999999999999</v>
      </c>
      <c r="T99" s="136">
        <v>26.658000000000001</v>
      </c>
      <c r="U99" s="136">
        <v>25.46</v>
      </c>
      <c r="V99" s="136">
        <v>25.805</v>
      </c>
      <c r="W99" s="1">
        <v>22.829000000000001</v>
      </c>
      <c r="X99" s="1">
        <v>24.457000000000001</v>
      </c>
    </row>
    <row r="100" spans="1:24" x14ac:dyDescent="0.3">
      <c r="A100" s="1" t="s">
        <v>275</v>
      </c>
      <c r="B100" s="1" t="s">
        <v>276</v>
      </c>
      <c r="C100" s="136">
        <v>5.8710000000000004</v>
      </c>
      <c r="D100" s="136">
        <v>5.7039999999999997</v>
      </c>
      <c r="E100" s="136">
        <v>5.9039999999999999</v>
      </c>
      <c r="F100" s="136">
        <v>5.7610000000000001</v>
      </c>
      <c r="G100" s="136">
        <v>5.5</v>
      </c>
      <c r="H100" s="136">
        <v>5.1970000000000001</v>
      </c>
      <c r="I100" s="136">
        <v>4.7880000000000003</v>
      </c>
      <c r="J100" s="136">
        <v>4.859</v>
      </c>
      <c r="K100" s="136">
        <v>4.859</v>
      </c>
      <c r="L100" s="136">
        <v>6.3920000000000003</v>
      </c>
      <c r="M100" s="136">
        <v>5.8090000000000002</v>
      </c>
      <c r="N100" s="136">
        <v>5.8209999999999997</v>
      </c>
      <c r="O100" s="136">
        <v>5.5510000000000002</v>
      </c>
      <c r="P100" s="136">
        <v>6.4539999999999997</v>
      </c>
      <c r="Q100" s="136">
        <v>5.8230000000000004</v>
      </c>
      <c r="R100" s="136">
        <v>6.3029999999999999</v>
      </c>
      <c r="S100" s="136">
        <v>7.0380000000000003</v>
      </c>
      <c r="T100" s="136">
        <v>7.2119999999999997</v>
      </c>
      <c r="U100" s="136">
        <v>5.8159999999999998</v>
      </c>
      <c r="V100" s="136">
        <v>5.9829999999999997</v>
      </c>
      <c r="W100" s="1">
        <v>5.6749999999999998</v>
      </c>
      <c r="X100" s="1">
        <v>5.7549999999999999</v>
      </c>
    </row>
    <row r="101" spans="1:24" x14ac:dyDescent="0.3">
      <c r="A101" s="1" t="s">
        <v>277</v>
      </c>
      <c r="B101" s="133" t="s">
        <v>278</v>
      </c>
      <c r="C101" s="136">
        <v>19.404</v>
      </c>
      <c r="D101" s="136">
        <v>19.861000000000001</v>
      </c>
      <c r="E101" s="136">
        <v>19.524999999999999</v>
      </c>
      <c r="F101" s="136">
        <v>19.614999999999998</v>
      </c>
      <c r="G101" s="136">
        <v>20.280999999999999</v>
      </c>
      <c r="H101" s="136">
        <v>19.794</v>
      </c>
      <c r="I101" s="136">
        <v>20.573</v>
      </c>
      <c r="J101" s="136">
        <v>20.972000000000001</v>
      </c>
      <c r="K101" s="136">
        <v>20.379000000000001</v>
      </c>
      <c r="L101" s="136">
        <v>17.606000000000002</v>
      </c>
      <c r="M101" s="136">
        <v>18.835000000000001</v>
      </c>
      <c r="N101" s="136">
        <v>19.059000000000001</v>
      </c>
      <c r="O101" s="136">
        <v>18.908000000000001</v>
      </c>
      <c r="P101" s="136">
        <v>19.350999999999999</v>
      </c>
      <c r="Q101" s="136">
        <v>19.390999999999998</v>
      </c>
      <c r="R101" s="136">
        <v>19.321999999999999</v>
      </c>
      <c r="S101" s="136">
        <v>18.989000000000001</v>
      </c>
      <c r="T101" s="136">
        <v>19.459</v>
      </c>
      <c r="U101" s="136">
        <v>19.483000000000001</v>
      </c>
      <c r="V101" s="136">
        <v>19.66</v>
      </c>
      <c r="W101" s="1">
        <v>17.091999999999999</v>
      </c>
      <c r="X101" s="1">
        <v>18.515999999999998</v>
      </c>
    </row>
    <row r="102" spans="1:24" x14ac:dyDescent="0.3">
      <c r="A102" s="1" t="s">
        <v>146</v>
      </c>
      <c r="B102" s="133" t="s">
        <v>279</v>
      </c>
      <c r="C102" s="136">
        <v>5.3319999999999999</v>
      </c>
      <c r="D102" s="136">
        <v>5.2910000000000004</v>
      </c>
      <c r="E102" s="136">
        <v>5.53</v>
      </c>
      <c r="F102" s="136">
        <v>5.6429999999999998</v>
      </c>
      <c r="G102" s="136">
        <v>6.234</v>
      </c>
      <c r="H102" s="136">
        <v>6.516</v>
      </c>
      <c r="I102" s="136">
        <v>7.585</v>
      </c>
      <c r="J102" s="136">
        <v>7.6870000000000003</v>
      </c>
      <c r="K102" s="136">
        <v>7.9320000000000004</v>
      </c>
      <c r="L102" s="136">
        <v>7.407</v>
      </c>
      <c r="M102" s="136">
        <v>9.0370000000000008</v>
      </c>
      <c r="N102" s="136">
        <v>9.3789999999999996</v>
      </c>
      <c r="O102" s="136">
        <v>9.8279999999999994</v>
      </c>
      <c r="P102" s="136">
        <v>10.702</v>
      </c>
      <c r="Q102" s="136">
        <v>11.122999999999999</v>
      </c>
      <c r="R102" s="136">
        <v>11.129</v>
      </c>
      <c r="S102" s="136">
        <v>11.394</v>
      </c>
      <c r="T102" s="136">
        <v>11.787000000000001</v>
      </c>
      <c r="U102" s="136">
        <v>12.26</v>
      </c>
      <c r="V102" s="136">
        <v>13.493</v>
      </c>
      <c r="W102" s="1">
        <v>12.481999999999999</v>
      </c>
      <c r="X102" s="1">
        <v>13.193</v>
      </c>
    </row>
    <row r="103" spans="1:24" x14ac:dyDescent="0.3">
      <c r="A103" s="1" t="s">
        <v>148</v>
      </c>
      <c r="B103" s="133" t="s">
        <v>280</v>
      </c>
      <c r="C103" s="136">
        <v>10.618</v>
      </c>
      <c r="D103" s="136">
        <v>10.121</v>
      </c>
      <c r="E103" s="136">
        <v>9.65</v>
      </c>
      <c r="F103" s="136">
        <v>9.0389999999999997</v>
      </c>
      <c r="G103" s="136">
        <v>9.7550000000000008</v>
      </c>
      <c r="H103" s="136">
        <v>9.2140000000000004</v>
      </c>
      <c r="I103" s="136">
        <v>8.91</v>
      </c>
      <c r="J103" s="136">
        <v>9.1940000000000008</v>
      </c>
      <c r="K103" s="136">
        <v>8.9190000000000005</v>
      </c>
      <c r="L103" s="136">
        <v>7.5789999999999997</v>
      </c>
      <c r="M103" s="136">
        <v>7.7069999999999999</v>
      </c>
      <c r="N103" s="136">
        <v>7.3879999999999999</v>
      </c>
      <c r="O103" s="136">
        <v>7.2560000000000002</v>
      </c>
      <c r="P103" s="136">
        <v>7.1230000000000002</v>
      </c>
      <c r="Q103" s="136">
        <v>6.92</v>
      </c>
      <c r="R103" s="136">
        <v>6.86</v>
      </c>
      <c r="S103" s="136">
        <v>6.9050000000000002</v>
      </c>
      <c r="T103" s="136">
        <v>6.9429999999999996</v>
      </c>
      <c r="U103" s="136">
        <v>7.0540000000000003</v>
      </c>
      <c r="V103" s="136">
        <v>7.1210000000000004</v>
      </c>
      <c r="W103" s="1">
        <v>6.3639999999999999</v>
      </c>
      <c r="X103" s="1">
        <v>6.8479999999999999</v>
      </c>
    </row>
    <row r="104" spans="1:24" x14ac:dyDescent="0.3">
      <c r="A104" s="144" t="s">
        <v>150</v>
      </c>
      <c r="B104" s="144" t="s">
        <v>281</v>
      </c>
      <c r="C104" s="136">
        <v>11.486000000000001</v>
      </c>
      <c r="D104" s="136">
        <v>12.401</v>
      </c>
      <c r="E104" s="136">
        <v>12.157</v>
      </c>
      <c r="F104" s="136">
        <v>12.441000000000001</v>
      </c>
      <c r="G104" s="136">
        <v>13.455</v>
      </c>
      <c r="H104" s="136">
        <v>13.507</v>
      </c>
      <c r="I104" s="136">
        <v>14.391</v>
      </c>
      <c r="J104" s="136">
        <v>14.807</v>
      </c>
      <c r="K104" s="136">
        <v>14.644</v>
      </c>
      <c r="L104" s="136">
        <v>11.404999999999999</v>
      </c>
      <c r="M104" s="136">
        <v>11.494999999999999</v>
      </c>
      <c r="N104" s="136">
        <v>12.772</v>
      </c>
      <c r="O104" s="136">
        <v>12.523999999999999</v>
      </c>
      <c r="P104" s="136">
        <v>12.428000000000001</v>
      </c>
      <c r="Q104" s="136">
        <v>12.487</v>
      </c>
      <c r="R104" s="136">
        <v>11.875</v>
      </c>
      <c r="S104" s="136">
        <v>11.096</v>
      </c>
      <c r="T104" s="136">
        <v>11.007999999999999</v>
      </c>
      <c r="U104" s="136">
        <v>11.013</v>
      </c>
      <c r="V104" s="136">
        <v>11.254</v>
      </c>
      <c r="W104" s="1">
        <v>10.564</v>
      </c>
      <c r="X104" s="1">
        <v>11.114000000000001</v>
      </c>
    </row>
    <row r="105" spans="1:24" x14ac:dyDescent="0.3">
      <c r="A105" s="144" t="s">
        <v>282</v>
      </c>
      <c r="B105" s="144" t="s">
        <v>283</v>
      </c>
      <c r="C105" s="136">
        <v>31.312000000000001</v>
      </c>
      <c r="D105" s="136">
        <v>30.239000000000001</v>
      </c>
      <c r="E105" s="136">
        <v>28.800999999999998</v>
      </c>
      <c r="F105" s="136">
        <v>30.741</v>
      </c>
      <c r="G105" s="136">
        <v>31.459</v>
      </c>
      <c r="H105" s="136">
        <v>32.54</v>
      </c>
      <c r="I105" s="136">
        <v>32.32</v>
      </c>
      <c r="J105" s="136">
        <v>32.323</v>
      </c>
      <c r="K105" s="136">
        <v>31.062999999999999</v>
      </c>
      <c r="L105" s="136">
        <v>26.001000000000001</v>
      </c>
      <c r="M105" s="136">
        <v>28.478000000000002</v>
      </c>
      <c r="N105" s="136">
        <v>28.440999999999999</v>
      </c>
      <c r="O105" s="136">
        <v>28.448</v>
      </c>
      <c r="P105" s="136">
        <v>26.992999999999999</v>
      </c>
      <c r="Q105" s="136">
        <v>27.035</v>
      </c>
      <c r="R105" s="136">
        <v>26.907</v>
      </c>
      <c r="S105" s="136">
        <v>27.062999999999999</v>
      </c>
      <c r="T105" s="136">
        <v>28.382000000000001</v>
      </c>
      <c r="U105" s="136">
        <v>30.481999999999999</v>
      </c>
      <c r="V105" s="136">
        <v>29.811</v>
      </c>
      <c r="W105" s="1">
        <v>19.581</v>
      </c>
      <c r="X105" s="1">
        <v>20.626000000000001</v>
      </c>
    </row>
    <row r="106" spans="1:24" x14ac:dyDescent="0.3">
      <c r="A106" s="1" t="s">
        <v>284</v>
      </c>
      <c r="B106" s="133" t="s">
        <v>285</v>
      </c>
      <c r="C106" s="136">
        <v>20.353999999999999</v>
      </c>
      <c r="D106" s="136">
        <v>19.481000000000002</v>
      </c>
      <c r="E106" s="136">
        <v>19.568999999999999</v>
      </c>
      <c r="F106" s="136">
        <v>20.341000000000001</v>
      </c>
      <c r="G106" s="136">
        <v>21.699000000000002</v>
      </c>
      <c r="H106" s="136">
        <v>20.832000000000001</v>
      </c>
      <c r="I106" s="136">
        <v>20.515000000000001</v>
      </c>
      <c r="J106" s="136">
        <v>20.161000000000001</v>
      </c>
      <c r="K106" s="136">
        <v>18.361000000000001</v>
      </c>
      <c r="L106" s="136">
        <v>13.637</v>
      </c>
      <c r="M106" s="136">
        <v>15.628</v>
      </c>
      <c r="N106" s="136">
        <v>16.515000000000001</v>
      </c>
      <c r="O106" s="136">
        <v>14.522</v>
      </c>
      <c r="P106" s="136">
        <v>12.61</v>
      </c>
      <c r="Q106" s="136">
        <v>12.585000000000001</v>
      </c>
      <c r="R106" s="136">
        <v>12.654</v>
      </c>
      <c r="S106" s="136">
        <v>12.427</v>
      </c>
      <c r="T106" s="136">
        <v>13.468999999999999</v>
      </c>
      <c r="U106" s="136">
        <v>13.023999999999999</v>
      </c>
      <c r="V106" s="136">
        <v>13.039</v>
      </c>
      <c r="W106" s="1">
        <v>8.8480000000000008</v>
      </c>
      <c r="X106" s="1">
        <v>8.0820000000000007</v>
      </c>
    </row>
    <row r="107" spans="1:24" x14ac:dyDescent="0.3">
      <c r="A107" s="1" t="s">
        <v>286</v>
      </c>
      <c r="B107" s="133" t="s">
        <v>287</v>
      </c>
      <c r="C107" s="136">
        <v>11.209</v>
      </c>
      <c r="D107" s="136">
        <v>11.045</v>
      </c>
      <c r="E107" s="136">
        <v>9.3840000000000003</v>
      </c>
      <c r="F107" s="136">
        <v>10.569000000000001</v>
      </c>
      <c r="G107" s="136">
        <v>9.82</v>
      </c>
      <c r="H107" s="136">
        <v>12.144</v>
      </c>
      <c r="I107" s="136">
        <v>12.257999999999999</v>
      </c>
      <c r="J107" s="136">
        <v>12.593</v>
      </c>
      <c r="K107" s="136">
        <v>13.061999999999999</v>
      </c>
      <c r="L107" s="136">
        <v>12.516999999999999</v>
      </c>
      <c r="M107" s="136">
        <v>13</v>
      </c>
      <c r="N107" s="136">
        <v>12.03</v>
      </c>
      <c r="O107" s="136">
        <v>14.007999999999999</v>
      </c>
      <c r="P107" s="136">
        <v>14.382</v>
      </c>
      <c r="Q107" s="136">
        <v>14.45</v>
      </c>
      <c r="R107" s="136">
        <v>14.253</v>
      </c>
      <c r="S107" s="136">
        <v>14.605</v>
      </c>
      <c r="T107" s="136">
        <v>14.903</v>
      </c>
      <c r="U107" s="136">
        <v>17.327000000000002</v>
      </c>
      <c r="V107" s="136">
        <v>16.667999999999999</v>
      </c>
      <c r="W107" s="1">
        <v>10.708</v>
      </c>
      <c r="X107" s="1">
        <v>12.506</v>
      </c>
    </row>
    <row r="108" spans="1:24" x14ac:dyDescent="0.3">
      <c r="A108" s="1" t="s">
        <v>168</v>
      </c>
      <c r="B108" s="133" t="s">
        <v>288</v>
      </c>
      <c r="C108" s="136">
        <v>28.254999999999999</v>
      </c>
      <c r="D108" s="136">
        <v>28.725000000000001</v>
      </c>
      <c r="E108" s="136">
        <v>28.358000000000001</v>
      </c>
      <c r="F108" s="136">
        <v>27.245000000000001</v>
      </c>
      <c r="G108" s="136">
        <v>28.21</v>
      </c>
      <c r="H108" s="136">
        <v>29.231000000000002</v>
      </c>
      <c r="I108" s="136">
        <v>29.78</v>
      </c>
      <c r="J108" s="136">
        <v>30.866</v>
      </c>
      <c r="K108" s="136">
        <v>30.780999999999999</v>
      </c>
      <c r="L108" s="136">
        <v>30.004000000000001</v>
      </c>
      <c r="M108" s="136">
        <v>29.555</v>
      </c>
      <c r="N108" s="136">
        <v>30.236000000000001</v>
      </c>
      <c r="O108" s="136">
        <v>30.524000000000001</v>
      </c>
      <c r="P108" s="136">
        <v>29.044</v>
      </c>
      <c r="Q108" s="136">
        <v>28.693000000000001</v>
      </c>
      <c r="R108" s="136">
        <v>28.539000000000001</v>
      </c>
      <c r="S108" s="136">
        <v>27.721</v>
      </c>
      <c r="T108" s="136">
        <v>27.869</v>
      </c>
      <c r="U108" s="136">
        <v>28.652000000000001</v>
      </c>
      <c r="V108" s="136">
        <v>29.664999999999999</v>
      </c>
      <c r="W108" s="1">
        <v>25.838000000000001</v>
      </c>
      <c r="X108" s="1">
        <v>27.312999999999999</v>
      </c>
    </row>
    <row r="109" spans="1:24" x14ac:dyDescent="0.3">
      <c r="A109" s="138" t="s">
        <v>289</v>
      </c>
      <c r="B109" s="138" t="s">
        <v>290</v>
      </c>
      <c r="C109" s="136">
        <v>3.6970000000000001</v>
      </c>
      <c r="D109" s="136">
        <v>3.956</v>
      </c>
      <c r="E109" s="136">
        <v>3.798</v>
      </c>
      <c r="F109" s="136">
        <v>3.7519999999999998</v>
      </c>
      <c r="G109" s="136">
        <v>3.66</v>
      </c>
      <c r="H109" s="136">
        <v>3.7509999999999999</v>
      </c>
      <c r="I109" s="136">
        <v>3.762</v>
      </c>
      <c r="J109" s="136">
        <v>3.7269999999999999</v>
      </c>
      <c r="K109" s="136">
        <v>3.27</v>
      </c>
      <c r="L109" s="136">
        <v>3.1219999999999999</v>
      </c>
      <c r="M109" s="136">
        <v>2.89</v>
      </c>
      <c r="N109" s="136">
        <v>2.8069999999999999</v>
      </c>
      <c r="O109" s="136">
        <v>2.7170000000000001</v>
      </c>
      <c r="P109" s="136">
        <v>2.4830000000000001</v>
      </c>
      <c r="Q109" s="136">
        <v>2.391</v>
      </c>
      <c r="R109" s="136">
        <v>2.3809999999999998</v>
      </c>
      <c r="S109" s="136">
        <v>2.153</v>
      </c>
      <c r="T109" s="136">
        <v>2.2149999999999999</v>
      </c>
      <c r="U109" s="136">
        <v>2.1960000000000002</v>
      </c>
      <c r="V109" s="136">
        <v>2.1789999999999998</v>
      </c>
      <c r="W109" s="1">
        <v>1.8460000000000001</v>
      </c>
      <c r="X109" s="1">
        <v>1.9970000000000001</v>
      </c>
    </row>
    <row r="110" spans="1:24" x14ac:dyDescent="0.3">
      <c r="A110" s="138" t="s">
        <v>291</v>
      </c>
      <c r="B110" s="138" t="s">
        <v>292</v>
      </c>
      <c r="C110" s="136">
        <v>4.5380000000000003</v>
      </c>
      <c r="D110" s="136">
        <v>4.9640000000000004</v>
      </c>
      <c r="E110" s="136">
        <v>4.8520000000000003</v>
      </c>
      <c r="F110" s="136">
        <v>4.8070000000000004</v>
      </c>
      <c r="G110" s="136">
        <v>5.125</v>
      </c>
      <c r="H110" s="136">
        <v>5.0229999999999997</v>
      </c>
      <c r="I110" s="136">
        <v>5.0640000000000001</v>
      </c>
      <c r="J110" s="136">
        <v>5.3010000000000002</v>
      </c>
      <c r="K110" s="136">
        <v>5.2830000000000004</v>
      </c>
      <c r="L110" s="136">
        <v>5.0759999999999996</v>
      </c>
      <c r="M110" s="136">
        <v>5.2080000000000002</v>
      </c>
      <c r="N110" s="136">
        <v>5.2060000000000004</v>
      </c>
      <c r="O110" s="136">
        <v>4.9349999999999996</v>
      </c>
      <c r="P110" s="136">
        <v>4.8310000000000004</v>
      </c>
      <c r="Q110" s="136">
        <v>4.9640000000000004</v>
      </c>
      <c r="R110" s="136">
        <v>4.7670000000000003</v>
      </c>
      <c r="S110" s="136">
        <v>4.6980000000000004</v>
      </c>
      <c r="T110" s="136">
        <v>4.5679999999999996</v>
      </c>
      <c r="U110" s="136">
        <v>4.76</v>
      </c>
      <c r="V110" s="136">
        <v>4.9249999999999998</v>
      </c>
      <c r="W110" s="1">
        <v>4.32</v>
      </c>
      <c r="X110" s="1">
        <v>4.9710000000000001</v>
      </c>
    </row>
    <row r="111" spans="1:24" x14ac:dyDescent="0.3">
      <c r="A111" s="144" t="s">
        <v>293</v>
      </c>
      <c r="B111" s="144" t="s">
        <v>294</v>
      </c>
      <c r="C111" s="136">
        <v>19.997</v>
      </c>
      <c r="D111" s="136">
        <v>19.741</v>
      </c>
      <c r="E111" s="136">
        <v>19.652999999999999</v>
      </c>
      <c r="F111" s="136">
        <v>18.614999999999998</v>
      </c>
      <c r="G111" s="136">
        <v>19.361999999999998</v>
      </c>
      <c r="H111" s="136">
        <v>20.417000000000002</v>
      </c>
      <c r="I111" s="136">
        <v>20.925000000000001</v>
      </c>
      <c r="J111" s="136">
        <v>21.818000000000001</v>
      </c>
      <c r="K111" s="136">
        <v>22.221</v>
      </c>
      <c r="L111" s="136">
        <v>21.806999999999999</v>
      </c>
      <c r="M111" s="136">
        <v>21.468</v>
      </c>
      <c r="N111" s="136">
        <v>22.23</v>
      </c>
      <c r="O111" s="136">
        <v>22.876999999999999</v>
      </c>
      <c r="P111" s="136">
        <v>21.734999999999999</v>
      </c>
      <c r="Q111" s="136">
        <v>21.338000000000001</v>
      </c>
      <c r="R111" s="136">
        <v>21.390999999999998</v>
      </c>
      <c r="S111" s="136">
        <v>20.867000000000001</v>
      </c>
      <c r="T111" s="136">
        <v>21.082999999999998</v>
      </c>
      <c r="U111" s="136">
        <v>21.690999999999999</v>
      </c>
      <c r="V111" s="136">
        <v>22.55</v>
      </c>
      <c r="W111" s="1">
        <v>19.661999999999999</v>
      </c>
      <c r="X111" s="1">
        <v>20.350000000000001</v>
      </c>
    </row>
    <row r="112" spans="1:24" x14ac:dyDescent="0.3">
      <c r="A112" s="1" t="s">
        <v>136</v>
      </c>
      <c r="B112" s="133" t="s">
        <v>295</v>
      </c>
      <c r="C112" s="136">
        <v>36.494999999999997</v>
      </c>
      <c r="D112" s="136">
        <v>38.878999999999998</v>
      </c>
      <c r="E112" s="136">
        <v>42.148000000000003</v>
      </c>
      <c r="F112" s="136">
        <v>40.938000000000002</v>
      </c>
      <c r="G112" s="136">
        <v>43.335000000000001</v>
      </c>
      <c r="H112" s="136">
        <v>41.021000000000001</v>
      </c>
      <c r="I112" s="136">
        <v>38.976999999999997</v>
      </c>
      <c r="J112" s="136">
        <v>39.198</v>
      </c>
      <c r="K112" s="136">
        <v>36.378</v>
      </c>
      <c r="L112" s="136">
        <v>32.28</v>
      </c>
      <c r="M112" s="136">
        <v>31.420999999999999</v>
      </c>
      <c r="N112" s="136">
        <v>30.068000000000001</v>
      </c>
      <c r="O112" s="136">
        <v>33.414000000000001</v>
      </c>
      <c r="P112" s="136">
        <v>35.939</v>
      </c>
      <c r="Q112" s="136">
        <v>34.085000000000001</v>
      </c>
      <c r="R112" s="136">
        <v>34.383000000000003</v>
      </c>
      <c r="S112" s="136">
        <v>33.533999999999999</v>
      </c>
      <c r="T112" s="136">
        <v>30.997</v>
      </c>
      <c r="U112" s="136">
        <v>33.131999999999998</v>
      </c>
      <c r="V112" s="136">
        <v>33.003</v>
      </c>
      <c r="W112" s="1">
        <v>31.981999999999999</v>
      </c>
      <c r="X112" s="1">
        <v>33.075000000000003</v>
      </c>
    </row>
    <row r="113" spans="1:24" x14ac:dyDescent="0.3">
      <c r="A113" s="1" t="s">
        <v>138</v>
      </c>
      <c r="B113" s="133" t="s">
        <v>296</v>
      </c>
      <c r="C113" s="136">
        <v>12.547000000000001</v>
      </c>
      <c r="D113" s="136">
        <v>13.336</v>
      </c>
      <c r="E113" s="136">
        <v>13.965999999999999</v>
      </c>
      <c r="F113" s="136">
        <v>15.098000000000001</v>
      </c>
      <c r="G113" s="136">
        <v>14.641</v>
      </c>
      <c r="H113" s="136">
        <v>14.563000000000001</v>
      </c>
      <c r="I113" s="136">
        <v>14.71</v>
      </c>
      <c r="J113" s="136">
        <v>14.815</v>
      </c>
      <c r="K113" s="136">
        <v>14.502000000000001</v>
      </c>
      <c r="L113" s="136">
        <v>14.712</v>
      </c>
      <c r="M113" s="136">
        <v>15.254</v>
      </c>
      <c r="N113" s="136">
        <v>15.058</v>
      </c>
      <c r="O113" s="136">
        <v>14.619</v>
      </c>
      <c r="P113" s="136">
        <v>14.715999999999999</v>
      </c>
      <c r="Q113" s="136">
        <v>14.106</v>
      </c>
      <c r="R113" s="136">
        <v>13.592000000000001</v>
      </c>
      <c r="S113" s="136">
        <v>13.391999999999999</v>
      </c>
      <c r="T113" s="136">
        <v>13.868</v>
      </c>
      <c r="U113" s="136">
        <v>13.83</v>
      </c>
      <c r="V113" s="136">
        <v>13.936999999999999</v>
      </c>
      <c r="W113" s="1">
        <v>13.275</v>
      </c>
      <c r="X113" s="1">
        <v>14.468</v>
      </c>
    </row>
    <row r="114" spans="1:24" x14ac:dyDescent="0.3">
      <c r="A114" s="1" t="s">
        <v>297</v>
      </c>
      <c r="B114" s="133" t="s">
        <v>298</v>
      </c>
      <c r="C114" s="136">
        <v>2.1259999999999999</v>
      </c>
      <c r="D114" s="136">
        <v>2.4</v>
      </c>
      <c r="E114" s="136">
        <v>2.609</v>
      </c>
      <c r="F114" s="136">
        <v>3.4390000000000001</v>
      </c>
      <c r="G114" s="136">
        <v>3.0110000000000001</v>
      </c>
      <c r="H114" s="136">
        <v>3.1469999999999998</v>
      </c>
      <c r="I114" s="136">
        <v>3.121</v>
      </c>
      <c r="J114" s="136">
        <v>3.2109999999999999</v>
      </c>
      <c r="K114" s="136">
        <v>2.931</v>
      </c>
      <c r="L114" s="136">
        <v>2.8719999999999999</v>
      </c>
      <c r="M114" s="136">
        <v>3.0329999999999999</v>
      </c>
      <c r="N114" s="136">
        <v>3.1509999999999998</v>
      </c>
      <c r="O114" s="136">
        <v>3.24</v>
      </c>
      <c r="P114" s="136">
        <v>3.266</v>
      </c>
      <c r="Q114" s="136">
        <v>3.3130000000000002</v>
      </c>
      <c r="R114" s="136">
        <v>3.1230000000000002</v>
      </c>
      <c r="S114" s="136">
        <v>3.137</v>
      </c>
      <c r="T114" s="136">
        <v>3.2669999999999999</v>
      </c>
      <c r="U114" s="136">
        <v>3.25</v>
      </c>
      <c r="V114" s="136">
        <v>3.262</v>
      </c>
      <c r="W114" s="1">
        <v>3.2989999999999999</v>
      </c>
      <c r="X114" s="1">
        <v>3.2970000000000002</v>
      </c>
    </row>
    <row r="115" spans="1:24" x14ac:dyDescent="0.3">
      <c r="A115" s="1" t="s">
        <v>299</v>
      </c>
      <c r="B115" s="133" t="s">
        <v>300</v>
      </c>
      <c r="C115" s="136">
        <v>4.4580000000000002</v>
      </c>
      <c r="D115" s="136">
        <v>4.6180000000000003</v>
      </c>
      <c r="E115" s="136">
        <v>4.7430000000000003</v>
      </c>
      <c r="F115" s="136">
        <v>4.5220000000000002</v>
      </c>
      <c r="G115" s="136">
        <v>4.4980000000000002</v>
      </c>
      <c r="H115" s="136">
        <v>4.3280000000000003</v>
      </c>
      <c r="I115" s="136">
        <v>4.399</v>
      </c>
      <c r="J115" s="136">
        <v>4.37</v>
      </c>
      <c r="K115" s="136">
        <v>4.3499999999999996</v>
      </c>
      <c r="L115" s="136">
        <v>4.7300000000000004</v>
      </c>
      <c r="M115" s="136">
        <v>4.819</v>
      </c>
      <c r="N115" s="136">
        <v>4.6719999999999997</v>
      </c>
      <c r="O115" s="136">
        <v>4.4450000000000003</v>
      </c>
      <c r="P115" s="136">
        <v>4.7089999999999996</v>
      </c>
      <c r="Q115" s="136">
        <v>4.681</v>
      </c>
      <c r="R115" s="136">
        <v>4.6070000000000002</v>
      </c>
      <c r="S115" s="136">
        <v>4.63</v>
      </c>
      <c r="T115" s="136">
        <v>4.915</v>
      </c>
      <c r="U115" s="136">
        <v>4.851</v>
      </c>
      <c r="V115" s="136">
        <v>4.7939999999999996</v>
      </c>
      <c r="W115" s="1">
        <v>4.5819999999999999</v>
      </c>
      <c r="X115" s="1">
        <v>4.899</v>
      </c>
    </row>
    <row r="116" spans="1:24" x14ac:dyDescent="0.3">
      <c r="A116" s="1" t="s">
        <v>301</v>
      </c>
      <c r="B116" s="133" t="s">
        <v>302</v>
      </c>
      <c r="C116" s="136">
        <v>6.35</v>
      </c>
      <c r="D116" s="136">
        <v>6.5839999999999996</v>
      </c>
      <c r="E116" s="136">
        <v>6.8280000000000003</v>
      </c>
      <c r="F116" s="136">
        <v>6.8140000000000001</v>
      </c>
      <c r="G116" s="136">
        <v>7.02</v>
      </c>
      <c r="H116" s="136">
        <v>6.8849999999999998</v>
      </c>
      <c r="I116" s="136">
        <v>7.032</v>
      </c>
      <c r="J116" s="136">
        <v>7.0289999999999999</v>
      </c>
      <c r="K116" s="136">
        <v>7.0979999999999999</v>
      </c>
      <c r="L116" s="136">
        <v>6.9729999999999999</v>
      </c>
      <c r="M116" s="136">
        <v>7.2060000000000004</v>
      </c>
      <c r="N116" s="136">
        <v>7.0060000000000002</v>
      </c>
      <c r="O116" s="136">
        <v>6.577</v>
      </c>
      <c r="P116" s="136">
        <v>6.3129999999999997</v>
      </c>
      <c r="Q116" s="136">
        <v>5.6509999999999998</v>
      </c>
      <c r="R116" s="136">
        <v>5.3920000000000003</v>
      </c>
      <c r="S116" s="136">
        <v>5.1639999999999997</v>
      </c>
      <c r="T116" s="136">
        <v>5.2290000000000001</v>
      </c>
      <c r="U116" s="136">
        <v>5.2930000000000001</v>
      </c>
      <c r="V116" s="136">
        <v>5.423</v>
      </c>
      <c r="W116" s="1">
        <v>4.9850000000000003</v>
      </c>
      <c r="X116" s="1">
        <v>5.9119999999999999</v>
      </c>
    </row>
    <row r="117" spans="1:24" x14ac:dyDescent="0.3">
      <c r="A117" s="1" t="s">
        <v>303</v>
      </c>
      <c r="B117" s="133" t="s">
        <v>304</v>
      </c>
      <c r="C117" s="136">
        <v>0.18099999999999999</v>
      </c>
      <c r="D117" s="136">
        <v>0.185</v>
      </c>
      <c r="E117" s="136">
        <v>0.182</v>
      </c>
      <c r="F117" s="136">
        <v>0.182</v>
      </c>
      <c r="G117" s="136">
        <v>0.186</v>
      </c>
      <c r="H117" s="136">
        <v>0.182</v>
      </c>
      <c r="I117" s="136">
        <v>0.17899999999999999</v>
      </c>
      <c r="J117" s="136">
        <v>0.186</v>
      </c>
      <c r="K117" s="136">
        <v>0.19900000000000001</v>
      </c>
      <c r="L117" s="136">
        <v>0.25800000000000001</v>
      </c>
      <c r="M117" s="136">
        <v>0.29699999999999999</v>
      </c>
      <c r="N117" s="136">
        <v>0.28499999999999998</v>
      </c>
      <c r="O117" s="136">
        <v>0.36499999999999999</v>
      </c>
      <c r="P117" s="136">
        <v>0.442</v>
      </c>
      <c r="Q117" s="136">
        <v>0.46100000000000002</v>
      </c>
      <c r="R117" s="136">
        <v>0.47</v>
      </c>
      <c r="S117" s="136">
        <v>0.45800000000000002</v>
      </c>
      <c r="T117" s="136">
        <v>0.46</v>
      </c>
      <c r="U117" s="136">
        <v>0.436</v>
      </c>
      <c r="V117" s="136">
        <v>0.45600000000000002</v>
      </c>
      <c r="W117" s="1">
        <v>0.39300000000000002</v>
      </c>
      <c r="X117" s="1">
        <v>0.40300000000000002</v>
      </c>
    </row>
    <row r="118" spans="1:24" x14ac:dyDescent="0.3">
      <c r="A118" s="1" t="s">
        <v>305</v>
      </c>
      <c r="B118" s="133" t="s">
        <v>31</v>
      </c>
      <c r="C118" s="136">
        <v>115.435</v>
      </c>
      <c r="D118" s="136">
        <v>119.967</v>
      </c>
      <c r="E118" s="136">
        <v>119.42100000000001</v>
      </c>
      <c r="F118" s="136">
        <v>119.089</v>
      </c>
      <c r="G118" s="136">
        <v>121.36799999999999</v>
      </c>
      <c r="H118" s="136">
        <v>124.699</v>
      </c>
      <c r="I118" s="136">
        <v>127.733</v>
      </c>
      <c r="J118" s="136">
        <v>133.59700000000001</v>
      </c>
      <c r="K118" s="136">
        <v>131.619</v>
      </c>
      <c r="L118" s="136">
        <v>123.994</v>
      </c>
      <c r="M118" s="136">
        <v>120.90300000000001</v>
      </c>
      <c r="N118" s="136">
        <v>118.619</v>
      </c>
      <c r="O118" s="136">
        <v>112.59399999999999</v>
      </c>
      <c r="P118" s="136">
        <v>113.121</v>
      </c>
      <c r="Q118" s="136">
        <v>110.116</v>
      </c>
      <c r="R118" s="136">
        <v>109.505</v>
      </c>
      <c r="S118" s="136">
        <v>108.449</v>
      </c>
      <c r="T118" s="136">
        <v>110.801</v>
      </c>
      <c r="U118" s="136">
        <v>111.943</v>
      </c>
      <c r="V118" s="136">
        <v>114.88200000000001</v>
      </c>
      <c r="W118" s="1">
        <v>101.443</v>
      </c>
      <c r="X118" s="1">
        <v>108.227</v>
      </c>
    </row>
    <row r="119" spans="1:24" x14ac:dyDescent="0.3">
      <c r="A119" s="1" t="s">
        <v>306</v>
      </c>
      <c r="B119" s="133" t="s">
        <v>307</v>
      </c>
      <c r="C119" s="136">
        <v>15.173999999999999</v>
      </c>
      <c r="D119" s="136">
        <v>15.926</v>
      </c>
      <c r="E119" s="136">
        <v>16.614000000000001</v>
      </c>
      <c r="F119" s="136">
        <v>17.082999999999998</v>
      </c>
      <c r="G119" s="136">
        <v>17.308</v>
      </c>
      <c r="H119" s="136">
        <v>17.965</v>
      </c>
      <c r="I119" s="136">
        <v>18.265000000000001</v>
      </c>
      <c r="J119" s="136">
        <v>19.103999999999999</v>
      </c>
      <c r="K119" s="136">
        <v>17.66</v>
      </c>
      <c r="L119" s="136">
        <v>15.218999999999999</v>
      </c>
      <c r="M119" s="136">
        <v>14.51</v>
      </c>
      <c r="N119" s="136">
        <v>13.643000000000001</v>
      </c>
      <c r="O119" s="136">
        <v>12.657999999999999</v>
      </c>
      <c r="P119" s="136">
        <v>12.643000000000001</v>
      </c>
      <c r="Q119" s="136">
        <v>11.646000000000001</v>
      </c>
      <c r="R119" s="136">
        <v>11.853999999999999</v>
      </c>
      <c r="S119" s="136">
        <v>12.429</v>
      </c>
      <c r="T119" s="136">
        <v>13.05</v>
      </c>
      <c r="U119" s="136">
        <v>13.616</v>
      </c>
      <c r="V119" s="136">
        <v>13.85</v>
      </c>
      <c r="W119" s="1">
        <v>11.497999999999999</v>
      </c>
      <c r="X119" s="1">
        <v>12.226000000000001</v>
      </c>
    </row>
    <row r="120" spans="1:24" x14ac:dyDescent="0.3">
      <c r="A120" s="1" t="s">
        <v>308</v>
      </c>
      <c r="B120" s="133" t="s">
        <v>309</v>
      </c>
      <c r="C120" s="136">
        <v>15.208</v>
      </c>
      <c r="D120" s="136">
        <v>15.771000000000001</v>
      </c>
      <c r="E120" s="136">
        <v>14.603</v>
      </c>
      <c r="F120" s="136">
        <v>14.922000000000001</v>
      </c>
      <c r="G120" s="136">
        <v>14.887</v>
      </c>
      <c r="H120" s="136">
        <v>15.054</v>
      </c>
      <c r="I120" s="136">
        <v>15.081</v>
      </c>
      <c r="J120" s="136">
        <v>15.936999999999999</v>
      </c>
      <c r="K120" s="136">
        <v>15.032999999999999</v>
      </c>
      <c r="L120" s="136">
        <v>14.188000000000001</v>
      </c>
      <c r="M120" s="136">
        <v>12.315</v>
      </c>
      <c r="N120" s="136">
        <v>11.845000000000001</v>
      </c>
      <c r="O120" s="136">
        <v>11.05</v>
      </c>
      <c r="P120" s="136">
        <v>11.643000000000001</v>
      </c>
      <c r="Q120" s="136">
        <v>12.276999999999999</v>
      </c>
      <c r="R120" s="136">
        <v>13.337999999999999</v>
      </c>
      <c r="S120" s="136">
        <v>12.379</v>
      </c>
      <c r="T120" s="136">
        <v>12.569000000000001</v>
      </c>
      <c r="U120" s="136">
        <v>11.962999999999999</v>
      </c>
      <c r="V120" s="136">
        <v>12.567</v>
      </c>
      <c r="W120" s="1">
        <v>12.028</v>
      </c>
      <c r="X120" s="1">
        <v>12.026999999999999</v>
      </c>
    </row>
    <row r="121" spans="1:24" x14ac:dyDescent="0.3">
      <c r="A121" s="1" t="s">
        <v>310</v>
      </c>
      <c r="B121" s="133" t="s">
        <v>311</v>
      </c>
      <c r="C121" s="136">
        <v>85.391999999999996</v>
      </c>
      <c r="D121" s="136">
        <v>88.63</v>
      </c>
      <c r="E121" s="136">
        <v>88.454999999999998</v>
      </c>
      <c r="F121" s="136">
        <v>87.397000000000006</v>
      </c>
      <c r="G121" s="136">
        <v>89.451999999999998</v>
      </c>
      <c r="H121" s="136">
        <v>91.941999999999993</v>
      </c>
      <c r="I121" s="136">
        <v>94.613</v>
      </c>
      <c r="J121" s="136">
        <v>98.816000000000003</v>
      </c>
      <c r="K121" s="136">
        <v>99.084999999999994</v>
      </c>
      <c r="L121" s="136">
        <v>94.781999999999996</v>
      </c>
      <c r="M121" s="136">
        <v>94.111000000000004</v>
      </c>
      <c r="N121" s="136">
        <v>93.156000000000006</v>
      </c>
      <c r="O121" s="136">
        <v>88.921999999999997</v>
      </c>
      <c r="P121" s="136">
        <v>88.858000000000004</v>
      </c>
      <c r="Q121" s="136">
        <v>86.192999999999998</v>
      </c>
      <c r="R121" s="136">
        <v>84.313999999999993</v>
      </c>
      <c r="S121" s="136">
        <v>83.561999999999998</v>
      </c>
      <c r="T121" s="136">
        <v>85.084999999999994</v>
      </c>
      <c r="U121" s="136">
        <v>86.168000000000006</v>
      </c>
      <c r="V121" s="136">
        <v>88.290999999999997</v>
      </c>
      <c r="W121" s="1">
        <v>77.850999999999999</v>
      </c>
      <c r="X121" s="1">
        <v>83.822000000000003</v>
      </c>
    </row>
    <row r="122" spans="1:24" x14ac:dyDescent="0.3">
      <c r="A122" s="1" t="s">
        <v>312</v>
      </c>
      <c r="B122" s="133" t="s">
        <v>313</v>
      </c>
      <c r="C122" s="136">
        <v>171.39599999999999</v>
      </c>
      <c r="D122" s="136">
        <v>178.03899999999999</v>
      </c>
      <c r="E122" s="136">
        <v>180.916</v>
      </c>
      <c r="F122" s="136">
        <v>182.40299999999999</v>
      </c>
      <c r="G122" s="136">
        <v>183.625</v>
      </c>
      <c r="H122" s="136">
        <v>184.18899999999999</v>
      </c>
      <c r="I122" s="136">
        <v>186.79400000000001</v>
      </c>
      <c r="J122" s="136">
        <v>192.822</v>
      </c>
      <c r="K122" s="136">
        <v>197.99299999999999</v>
      </c>
      <c r="L122" s="136">
        <v>186.68899999999999</v>
      </c>
      <c r="M122" s="136">
        <v>186.60400000000001</v>
      </c>
      <c r="N122" s="136">
        <v>192.73400000000001</v>
      </c>
      <c r="O122" s="136">
        <v>192.94300000000001</v>
      </c>
      <c r="P122" s="136">
        <v>194.751</v>
      </c>
      <c r="Q122" s="136">
        <v>198.27099999999999</v>
      </c>
      <c r="R122" s="136">
        <v>208.25399999999999</v>
      </c>
      <c r="S122" s="136">
        <v>213.191</v>
      </c>
      <c r="T122" s="136">
        <v>217.577</v>
      </c>
      <c r="U122" s="136">
        <v>219.71600000000001</v>
      </c>
      <c r="V122" s="136">
        <v>221.64099999999999</v>
      </c>
      <c r="W122" s="1">
        <v>218.376</v>
      </c>
      <c r="X122" s="1">
        <v>233.31</v>
      </c>
    </row>
    <row r="123" spans="1:24" x14ac:dyDescent="0.3">
      <c r="A123" s="1" t="s">
        <v>314</v>
      </c>
      <c r="B123" s="133" t="s">
        <v>315</v>
      </c>
      <c r="C123" s="136">
        <v>29.202999999999999</v>
      </c>
      <c r="D123" s="136">
        <v>29.905000000000001</v>
      </c>
      <c r="E123" s="136">
        <v>29.949000000000002</v>
      </c>
      <c r="F123" s="136">
        <v>28.361999999999998</v>
      </c>
      <c r="G123" s="136">
        <v>28.096</v>
      </c>
      <c r="H123" s="136">
        <v>28.146000000000001</v>
      </c>
      <c r="I123" s="136">
        <v>28.314</v>
      </c>
      <c r="J123" s="136">
        <v>29.013000000000002</v>
      </c>
      <c r="K123" s="136">
        <v>28.498999999999999</v>
      </c>
      <c r="L123" s="136">
        <v>26.937999999999999</v>
      </c>
      <c r="M123" s="136">
        <v>27.579000000000001</v>
      </c>
      <c r="N123" s="136">
        <v>29.321999999999999</v>
      </c>
      <c r="O123" s="136">
        <v>28.527000000000001</v>
      </c>
      <c r="P123" s="136">
        <v>28.783000000000001</v>
      </c>
      <c r="Q123" s="136">
        <v>28.437999999999999</v>
      </c>
      <c r="R123" s="136">
        <v>25.648</v>
      </c>
      <c r="S123" s="136">
        <v>28.701000000000001</v>
      </c>
      <c r="T123" s="136">
        <v>26.100999999999999</v>
      </c>
      <c r="U123" s="136">
        <v>26.663</v>
      </c>
      <c r="V123" s="136">
        <v>27.498999999999999</v>
      </c>
      <c r="W123" s="1">
        <v>25.265999999999998</v>
      </c>
      <c r="X123" s="1">
        <v>27.471</v>
      </c>
    </row>
    <row r="124" spans="1:24" x14ac:dyDescent="0.3">
      <c r="A124" s="1" t="s">
        <v>316</v>
      </c>
      <c r="B124" s="133" t="s">
        <v>317</v>
      </c>
      <c r="C124" s="136">
        <v>90.204999999999998</v>
      </c>
      <c r="D124" s="136">
        <v>93.417000000000002</v>
      </c>
      <c r="E124" s="136">
        <v>94.028999999999996</v>
      </c>
      <c r="F124" s="136">
        <v>96.084999999999994</v>
      </c>
      <c r="G124" s="136">
        <v>95.823999999999998</v>
      </c>
      <c r="H124" s="136">
        <v>97.168000000000006</v>
      </c>
      <c r="I124" s="136">
        <v>100.61799999999999</v>
      </c>
      <c r="J124" s="136">
        <v>104.706</v>
      </c>
      <c r="K124" s="136">
        <v>110.17400000000001</v>
      </c>
      <c r="L124" s="136">
        <v>99.578999999999994</v>
      </c>
      <c r="M124" s="136">
        <v>88.12</v>
      </c>
      <c r="N124" s="136">
        <v>86.424999999999997</v>
      </c>
      <c r="O124" s="136">
        <v>88.59</v>
      </c>
      <c r="P124" s="136">
        <v>89.355000000000004</v>
      </c>
      <c r="Q124" s="136">
        <v>90.694000000000003</v>
      </c>
      <c r="R124" s="136">
        <v>95.808999999999997</v>
      </c>
      <c r="S124" s="136">
        <v>96.028000000000006</v>
      </c>
      <c r="T124" s="136">
        <v>104.193</v>
      </c>
      <c r="U124" s="136">
        <v>104.431</v>
      </c>
      <c r="V124" s="136">
        <v>105.39400000000001</v>
      </c>
      <c r="W124" s="1">
        <v>105.946</v>
      </c>
      <c r="X124" s="1">
        <v>112.81</v>
      </c>
    </row>
    <row r="125" spans="1:24" x14ac:dyDescent="0.3">
      <c r="A125" s="1" t="s">
        <v>318</v>
      </c>
      <c r="B125" s="133" t="s">
        <v>319</v>
      </c>
      <c r="C125" s="136">
        <v>55.898000000000003</v>
      </c>
      <c r="D125" s="136">
        <v>58.582000000000001</v>
      </c>
      <c r="E125" s="136">
        <v>60.558</v>
      </c>
      <c r="F125" s="136">
        <v>61.317</v>
      </c>
      <c r="G125" s="136">
        <v>62.783999999999999</v>
      </c>
      <c r="H125" s="136">
        <v>62.167000000000002</v>
      </c>
      <c r="I125" s="136">
        <v>61.591000000000001</v>
      </c>
      <c r="J125" s="136">
        <v>63.106000000000002</v>
      </c>
      <c r="K125" s="136">
        <v>63.863999999999997</v>
      </c>
      <c r="L125" s="136">
        <v>63.36</v>
      </c>
      <c r="M125" s="136">
        <v>71.353999999999999</v>
      </c>
      <c r="N125" s="136">
        <v>77.058999999999997</v>
      </c>
      <c r="O125" s="136">
        <v>75.875</v>
      </c>
      <c r="P125" s="136">
        <v>76.659000000000006</v>
      </c>
      <c r="Q125" s="136">
        <v>79.138999999999996</v>
      </c>
      <c r="R125" s="136">
        <v>86.798000000000002</v>
      </c>
      <c r="S125" s="136">
        <v>88.222999999999999</v>
      </c>
      <c r="T125" s="136">
        <v>87.498999999999995</v>
      </c>
      <c r="U125" s="136">
        <v>88.733000000000004</v>
      </c>
      <c r="V125" s="136">
        <v>88.736999999999995</v>
      </c>
      <c r="W125" s="1">
        <v>87.596000000000004</v>
      </c>
      <c r="X125" s="1">
        <v>93.316999999999993</v>
      </c>
    </row>
    <row r="126" spans="1:24" x14ac:dyDescent="0.3">
      <c r="A126" s="1" t="s">
        <v>320</v>
      </c>
      <c r="B126" s="133" t="s">
        <v>321</v>
      </c>
      <c r="C126" s="136">
        <v>74.156999999999996</v>
      </c>
      <c r="D126" s="136">
        <v>73.977999999999994</v>
      </c>
      <c r="E126" s="136">
        <v>75.009</v>
      </c>
      <c r="F126" s="136">
        <v>74.95</v>
      </c>
      <c r="G126" s="136">
        <v>78.468999999999994</v>
      </c>
      <c r="H126" s="136">
        <v>80.724999999999994</v>
      </c>
      <c r="I126" s="136">
        <v>83.277000000000001</v>
      </c>
      <c r="J126" s="136">
        <v>85.965999999999994</v>
      </c>
      <c r="K126" s="136">
        <v>85.510999999999996</v>
      </c>
      <c r="L126" s="136">
        <v>80.593000000000004</v>
      </c>
      <c r="M126" s="136">
        <v>86.68</v>
      </c>
      <c r="N126" s="136">
        <v>88.569000000000003</v>
      </c>
      <c r="O126" s="136">
        <v>89.68</v>
      </c>
      <c r="P126" s="136">
        <v>87.569000000000003</v>
      </c>
      <c r="Q126" s="136">
        <v>87.695999999999998</v>
      </c>
      <c r="R126" s="136">
        <v>85.025999999999996</v>
      </c>
      <c r="S126" s="136">
        <v>86.509</v>
      </c>
      <c r="T126" s="136">
        <v>88.748999999999995</v>
      </c>
      <c r="U126" s="136">
        <v>86.409000000000006</v>
      </c>
      <c r="V126" s="136">
        <v>89.756</v>
      </c>
      <c r="W126" s="1">
        <v>70.378</v>
      </c>
      <c r="X126" s="1">
        <v>77.745999999999995</v>
      </c>
    </row>
    <row r="127" spans="1:24" x14ac:dyDescent="0.3">
      <c r="A127" s="1" t="s">
        <v>322</v>
      </c>
      <c r="B127" s="133" t="s">
        <v>323</v>
      </c>
      <c r="C127" s="136">
        <v>32.768000000000001</v>
      </c>
      <c r="D127" s="136">
        <v>33.537999999999997</v>
      </c>
      <c r="E127" s="136">
        <v>34.058</v>
      </c>
      <c r="F127" s="136">
        <v>34.317999999999998</v>
      </c>
      <c r="G127" s="136">
        <v>35.887999999999998</v>
      </c>
      <c r="H127" s="136">
        <v>37.113999999999997</v>
      </c>
      <c r="I127" s="136">
        <v>38.569000000000003</v>
      </c>
      <c r="J127" s="136">
        <v>39.930999999999997</v>
      </c>
      <c r="K127" s="136">
        <v>39.726999999999997</v>
      </c>
      <c r="L127" s="136">
        <v>37.942</v>
      </c>
      <c r="M127" s="136">
        <v>39.421999999999997</v>
      </c>
      <c r="N127" s="136">
        <v>40.65</v>
      </c>
      <c r="O127" s="136">
        <v>41.84</v>
      </c>
      <c r="P127" s="136">
        <v>41.779000000000003</v>
      </c>
      <c r="Q127" s="136">
        <v>41.429000000000002</v>
      </c>
      <c r="R127" s="136">
        <v>40.731999999999999</v>
      </c>
      <c r="S127" s="136">
        <v>41.295000000000002</v>
      </c>
      <c r="T127" s="136">
        <v>42.207000000000001</v>
      </c>
      <c r="U127" s="136">
        <v>41.527999999999999</v>
      </c>
      <c r="V127" s="136">
        <v>43.493000000000002</v>
      </c>
      <c r="W127" s="1">
        <v>36.267000000000003</v>
      </c>
      <c r="X127" s="1">
        <v>39.414000000000001</v>
      </c>
    </row>
    <row r="128" spans="1:24" x14ac:dyDescent="0.3">
      <c r="A128" s="1" t="s">
        <v>324</v>
      </c>
      <c r="B128" s="133" t="s">
        <v>325</v>
      </c>
      <c r="C128" s="136">
        <v>0.48599999999999999</v>
      </c>
      <c r="D128" s="136">
        <v>0.53800000000000003</v>
      </c>
      <c r="E128" s="136">
        <v>0.53500000000000003</v>
      </c>
      <c r="F128" s="136">
        <v>0.59199999999999997</v>
      </c>
      <c r="G128" s="136">
        <v>0.61499999999999999</v>
      </c>
      <c r="H128" s="136">
        <v>0.56699999999999995</v>
      </c>
      <c r="I128" s="136">
        <v>0.41</v>
      </c>
      <c r="J128" s="136">
        <v>0.438</v>
      </c>
      <c r="K128" s="136">
        <v>0.47599999999999998</v>
      </c>
      <c r="L128" s="136">
        <v>0.187</v>
      </c>
      <c r="M128" s="136">
        <v>0.76800000000000002</v>
      </c>
      <c r="N128" s="136">
        <v>0.57199999999999995</v>
      </c>
      <c r="O128" s="136">
        <v>1.4179999999999999</v>
      </c>
      <c r="P128" s="136">
        <v>1.4510000000000001</v>
      </c>
      <c r="Q128" s="136">
        <v>2.0329999999999999</v>
      </c>
      <c r="R128" s="136">
        <v>1.885</v>
      </c>
      <c r="S128" s="136">
        <v>2.3260000000000001</v>
      </c>
      <c r="T128" s="136">
        <v>2.4609999999999999</v>
      </c>
      <c r="U128" s="136">
        <v>2.3239999999999998</v>
      </c>
      <c r="V128" s="136">
        <v>2.8340000000000001</v>
      </c>
      <c r="W128" s="1">
        <v>1.7000000000000001E-2</v>
      </c>
      <c r="X128" s="1">
        <v>8.9999999999999993E-3</v>
      </c>
    </row>
    <row r="129" spans="1:24" x14ac:dyDescent="0.3">
      <c r="A129" s="1" t="s">
        <v>326</v>
      </c>
      <c r="B129" s="133" t="s">
        <v>327</v>
      </c>
      <c r="C129" s="136">
        <v>3.3180000000000001</v>
      </c>
      <c r="D129" s="136">
        <v>2.899</v>
      </c>
      <c r="E129" s="136">
        <v>3.1779999999999999</v>
      </c>
      <c r="F129" s="136">
        <v>3.2050000000000001</v>
      </c>
      <c r="G129" s="136">
        <v>3.8090000000000002</v>
      </c>
      <c r="H129" s="136">
        <v>4.1210000000000004</v>
      </c>
      <c r="I129" s="136">
        <v>4.67</v>
      </c>
      <c r="J129" s="136">
        <v>4.9470000000000001</v>
      </c>
      <c r="K129" s="136">
        <v>5.0309999999999997</v>
      </c>
      <c r="L129" s="136">
        <v>4.0789999999999997</v>
      </c>
      <c r="M129" s="136">
        <v>5.6669999999999998</v>
      </c>
      <c r="N129" s="136">
        <v>6.149</v>
      </c>
      <c r="O129" s="136">
        <v>6.5830000000000002</v>
      </c>
      <c r="P129" s="136">
        <v>6.633</v>
      </c>
      <c r="Q129" s="136">
        <v>6.2270000000000003</v>
      </c>
      <c r="R129" s="136">
        <v>5.8079999999999998</v>
      </c>
      <c r="S129" s="136">
        <v>6.0259999999999998</v>
      </c>
      <c r="T129" s="136">
        <v>6.3739999999999997</v>
      </c>
      <c r="U129" s="136">
        <v>6.548</v>
      </c>
      <c r="V129" s="136">
        <v>7.17</v>
      </c>
      <c r="W129" s="1">
        <v>1.7989999999999999</v>
      </c>
      <c r="X129" s="1">
        <v>1.8839999999999999</v>
      </c>
    </row>
    <row r="130" spans="1:24" x14ac:dyDescent="0.3">
      <c r="A130" s="1" t="s">
        <v>328</v>
      </c>
      <c r="B130" s="133" t="s">
        <v>329</v>
      </c>
      <c r="C130" s="136">
        <v>26.937999999999999</v>
      </c>
      <c r="D130" s="136">
        <v>26.045000000000002</v>
      </c>
      <c r="E130" s="136">
        <v>26.356000000000002</v>
      </c>
      <c r="F130" s="136">
        <v>26.193999999999999</v>
      </c>
      <c r="G130" s="136">
        <v>27.334</v>
      </c>
      <c r="H130" s="136">
        <v>28.247</v>
      </c>
      <c r="I130" s="136">
        <v>29.187000000000001</v>
      </c>
      <c r="J130" s="136">
        <v>30.081</v>
      </c>
      <c r="K130" s="136">
        <v>29.818000000000001</v>
      </c>
      <c r="L130" s="136">
        <v>29.021000000000001</v>
      </c>
      <c r="M130" s="136">
        <v>31.151</v>
      </c>
      <c r="N130" s="136">
        <v>32.359000000000002</v>
      </c>
      <c r="O130" s="136">
        <v>30.885000000000002</v>
      </c>
      <c r="P130" s="136">
        <v>29.469000000000001</v>
      </c>
      <c r="Q130" s="136">
        <v>29.940999999999999</v>
      </c>
      <c r="R130" s="136">
        <v>29.341999999999999</v>
      </c>
      <c r="S130" s="136">
        <v>29.978999999999999</v>
      </c>
      <c r="T130" s="136">
        <v>31.074999999999999</v>
      </c>
      <c r="U130" s="136">
        <v>30.393999999999998</v>
      </c>
      <c r="V130" s="136">
        <v>31.192</v>
      </c>
      <c r="W130" s="1">
        <v>26.12</v>
      </c>
      <c r="X130" s="1">
        <v>30.811</v>
      </c>
    </row>
    <row r="131" spans="1:24" x14ac:dyDescent="0.3">
      <c r="A131" s="1" t="s">
        <v>330</v>
      </c>
      <c r="B131" s="133" t="s">
        <v>331</v>
      </c>
      <c r="C131" s="136">
        <v>11.497</v>
      </c>
      <c r="D131" s="136">
        <v>11.589</v>
      </c>
      <c r="E131" s="136">
        <v>11.487</v>
      </c>
      <c r="F131" s="136">
        <v>11.141999999999999</v>
      </c>
      <c r="G131" s="136">
        <v>11.215</v>
      </c>
      <c r="H131" s="136">
        <v>11.086</v>
      </c>
      <c r="I131" s="136">
        <v>11.066000000000001</v>
      </c>
      <c r="J131" s="136">
        <v>11.143000000000001</v>
      </c>
      <c r="K131" s="136">
        <v>10.930999999999999</v>
      </c>
      <c r="L131" s="136">
        <v>10.477</v>
      </c>
      <c r="M131" s="136">
        <v>9.8290000000000006</v>
      </c>
      <c r="N131" s="136">
        <v>9.4120000000000008</v>
      </c>
      <c r="O131" s="136">
        <v>9.0879999999999992</v>
      </c>
      <c r="P131" s="136">
        <v>8.3460000000000001</v>
      </c>
      <c r="Q131" s="136">
        <v>8.0670000000000002</v>
      </c>
      <c r="R131" s="136">
        <v>7.2590000000000003</v>
      </c>
      <c r="S131" s="136">
        <v>6.859</v>
      </c>
      <c r="T131" s="136">
        <v>6.6619999999999999</v>
      </c>
      <c r="U131" s="136">
        <v>5.7060000000000004</v>
      </c>
      <c r="V131" s="136">
        <v>5.4960000000000004</v>
      </c>
      <c r="W131" s="1">
        <v>4.6130000000000004</v>
      </c>
      <c r="X131" s="1">
        <v>4.78</v>
      </c>
    </row>
    <row r="132" spans="1:24" x14ac:dyDescent="0.3">
      <c r="A132" s="1" t="s">
        <v>332</v>
      </c>
      <c r="B132" s="133" t="s">
        <v>333</v>
      </c>
      <c r="C132" s="136">
        <v>45.636000000000003</v>
      </c>
      <c r="D132" s="136">
        <v>46.78</v>
      </c>
      <c r="E132" s="136">
        <v>45.37</v>
      </c>
      <c r="F132" s="136">
        <v>45.164999999999999</v>
      </c>
      <c r="G132" s="136">
        <v>44.853000000000002</v>
      </c>
      <c r="H132" s="136">
        <v>45.738999999999997</v>
      </c>
      <c r="I132" s="136">
        <v>46.484999999999999</v>
      </c>
      <c r="J132" s="136">
        <v>47.918999999999997</v>
      </c>
      <c r="K132" s="136">
        <v>48.024000000000001</v>
      </c>
      <c r="L132" s="136">
        <v>47.01</v>
      </c>
      <c r="M132" s="136">
        <v>48.664000000000001</v>
      </c>
      <c r="N132" s="136">
        <v>51.290999999999997</v>
      </c>
      <c r="O132" s="136">
        <v>51.133000000000003</v>
      </c>
      <c r="P132" s="136">
        <v>51.460999999999999</v>
      </c>
      <c r="Q132" s="136">
        <v>50.898000000000003</v>
      </c>
      <c r="R132" s="136">
        <v>50.749000000000002</v>
      </c>
      <c r="S132" s="136">
        <v>51.533000000000001</v>
      </c>
      <c r="T132" s="136">
        <v>52.220999999999997</v>
      </c>
      <c r="U132" s="136">
        <v>53.183999999999997</v>
      </c>
      <c r="V132" s="136">
        <v>56.055999999999997</v>
      </c>
      <c r="W132" s="1">
        <v>32.924999999999997</v>
      </c>
      <c r="X132" s="1">
        <v>35.970999999999997</v>
      </c>
    </row>
    <row r="133" spans="1:24" x14ac:dyDescent="0.3">
      <c r="A133" s="1" t="s">
        <v>334</v>
      </c>
      <c r="B133" s="133" t="s">
        <v>335</v>
      </c>
      <c r="C133" s="136">
        <v>11.613</v>
      </c>
      <c r="D133" s="136">
        <v>11.907</v>
      </c>
      <c r="E133" s="136">
        <v>11.542999999999999</v>
      </c>
      <c r="F133" s="136">
        <v>11.491</v>
      </c>
      <c r="G133" s="136">
        <v>11.401999999999999</v>
      </c>
      <c r="H133" s="136">
        <v>11.621</v>
      </c>
      <c r="I133" s="136">
        <v>11.808999999999999</v>
      </c>
      <c r="J133" s="136">
        <v>12.154</v>
      </c>
      <c r="K133" s="136">
        <v>12.569000000000001</v>
      </c>
      <c r="L133" s="136">
        <v>11.045</v>
      </c>
      <c r="M133" s="136">
        <v>11.226000000000001</v>
      </c>
      <c r="N133" s="136">
        <v>11.861000000000001</v>
      </c>
      <c r="O133" s="136">
        <v>11.497</v>
      </c>
      <c r="P133" s="136">
        <v>11.972</v>
      </c>
      <c r="Q133" s="136">
        <v>11.725</v>
      </c>
      <c r="R133" s="136">
        <v>11.664999999999999</v>
      </c>
      <c r="S133" s="136">
        <v>11.861000000000001</v>
      </c>
      <c r="T133" s="136">
        <v>12.154999999999999</v>
      </c>
      <c r="U133" s="136">
        <v>12.048999999999999</v>
      </c>
      <c r="V133" s="136">
        <v>12.315</v>
      </c>
      <c r="W133" s="1">
        <v>5.8220000000000001</v>
      </c>
      <c r="X133" s="1">
        <v>6.5419999999999998</v>
      </c>
    </row>
    <row r="134" spans="1:24" x14ac:dyDescent="0.3">
      <c r="A134" s="1" t="s">
        <v>336</v>
      </c>
      <c r="B134" s="133" t="s">
        <v>337</v>
      </c>
      <c r="C134" s="136">
        <v>34.049999999999997</v>
      </c>
      <c r="D134" s="136">
        <v>34.901000000000003</v>
      </c>
      <c r="E134" s="136">
        <v>33.853999999999999</v>
      </c>
      <c r="F134" s="136">
        <v>33.701000000000001</v>
      </c>
      <c r="G134" s="136">
        <v>33.476999999999997</v>
      </c>
      <c r="H134" s="136">
        <v>34.143999999999998</v>
      </c>
      <c r="I134" s="136">
        <v>34.703000000000003</v>
      </c>
      <c r="J134" s="136">
        <v>35.792000000000002</v>
      </c>
      <c r="K134" s="136">
        <v>35.497999999999998</v>
      </c>
      <c r="L134" s="136">
        <v>35.965000000000003</v>
      </c>
      <c r="M134" s="136">
        <v>37.435000000000002</v>
      </c>
      <c r="N134" s="136">
        <v>39.427</v>
      </c>
      <c r="O134" s="136">
        <v>39.637</v>
      </c>
      <c r="P134" s="136">
        <v>39.488999999999997</v>
      </c>
      <c r="Q134" s="136">
        <v>39.173999999999999</v>
      </c>
      <c r="R134" s="136">
        <v>39.084000000000003</v>
      </c>
      <c r="S134" s="136">
        <v>39.670999999999999</v>
      </c>
      <c r="T134" s="136">
        <v>40.06</v>
      </c>
      <c r="U134" s="136">
        <v>41.151000000000003</v>
      </c>
      <c r="V134" s="136">
        <v>43.808</v>
      </c>
      <c r="W134" s="1">
        <v>27.312000000000001</v>
      </c>
      <c r="X134" s="1">
        <v>29.631</v>
      </c>
    </row>
    <row r="135" spans="1:24" x14ac:dyDescent="0.3">
      <c r="A135" s="1" t="s">
        <v>183</v>
      </c>
      <c r="B135" s="133" t="s">
        <v>338</v>
      </c>
      <c r="C135" s="136">
        <v>19.382999999999999</v>
      </c>
      <c r="D135" s="136">
        <v>19.888999999999999</v>
      </c>
      <c r="E135" s="136">
        <v>19.806999999999999</v>
      </c>
      <c r="F135" s="136">
        <v>20.318000000000001</v>
      </c>
      <c r="G135" s="136">
        <v>21.898</v>
      </c>
      <c r="H135" s="136">
        <v>22.440999999999999</v>
      </c>
      <c r="I135" s="136">
        <v>23.190999999999999</v>
      </c>
      <c r="J135" s="136">
        <v>24.02</v>
      </c>
      <c r="K135" s="136">
        <v>23.673999999999999</v>
      </c>
      <c r="L135" s="136">
        <v>21.876999999999999</v>
      </c>
      <c r="M135" s="136">
        <v>22.751000000000001</v>
      </c>
      <c r="N135" s="136">
        <v>24.045999999999999</v>
      </c>
      <c r="O135" s="136">
        <v>23.244</v>
      </c>
      <c r="P135" s="136">
        <v>22.837</v>
      </c>
      <c r="Q135" s="136">
        <v>23.408000000000001</v>
      </c>
      <c r="R135" s="136">
        <v>23.428999999999998</v>
      </c>
      <c r="S135" s="136">
        <v>23.812000000000001</v>
      </c>
      <c r="T135" s="136">
        <v>25.364999999999998</v>
      </c>
      <c r="U135" s="136">
        <v>26.044</v>
      </c>
      <c r="V135" s="136">
        <v>26.847000000000001</v>
      </c>
      <c r="W135" s="1">
        <v>25.745000000000001</v>
      </c>
      <c r="X135" s="1">
        <v>28.274999999999999</v>
      </c>
    </row>
    <row r="136" spans="1:24" x14ac:dyDescent="0.3">
      <c r="A136" s="1" t="s">
        <v>339</v>
      </c>
      <c r="B136" s="133" t="s">
        <v>340</v>
      </c>
      <c r="C136" s="136">
        <v>11.067</v>
      </c>
      <c r="D136" s="136">
        <v>11.329000000000001</v>
      </c>
      <c r="E136" s="136">
        <v>11.266</v>
      </c>
      <c r="F136" s="136">
        <v>11.589</v>
      </c>
      <c r="G136" s="136">
        <v>12.16</v>
      </c>
      <c r="H136" s="136">
        <v>12.348000000000001</v>
      </c>
      <c r="I136" s="136">
        <v>13.250999999999999</v>
      </c>
      <c r="J136" s="136">
        <v>13.682</v>
      </c>
      <c r="K136" s="136">
        <v>13.685</v>
      </c>
      <c r="L136" s="136">
        <v>11.993</v>
      </c>
      <c r="M136" s="136">
        <v>12.358000000000001</v>
      </c>
      <c r="N136" s="136">
        <v>12.505000000000001</v>
      </c>
      <c r="O136" s="136">
        <v>12.301</v>
      </c>
      <c r="P136" s="136">
        <v>12.173999999999999</v>
      </c>
      <c r="Q136" s="136">
        <v>12.382</v>
      </c>
      <c r="R136" s="136">
        <v>12.34</v>
      </c>
      <c r="S136" s="136">
        <v>12.478</v>
      </c>
      <c r="T136" s="136">
        <v>13.775</v>
      </c>
      <c r="U136" s="136">
        <v>13.903</v>
      </c>
      <c r="V136" s="136">
        <v>14.385999999999999</v>
      </c>
      <c r="W136" s="1">
        <v>14.141999999999999</v>
      </c>
      <c r="X136" s="1">
        <v>15.696999999999999</v>
      </c>
    </row>
    <row r="137" spans="1:24" x14ac:dyDescent="0.3">
      <c r="A137" s="1" t="s">
        <v>341</v>
      </c>
      <c r="B137" s="133" t="s">
        <v>342</v>
      </c>
      <c r="C137" s="136">
        <v>5.5750000000000002</v>
      </c>
      <c r="D137" s="136">
        <v>5.726</v>
      </c>
      <c r="E137" s="136">
        <v>5.7080000000000002</v>
      </c>
      <c r="F137" s="136">
        <v>5.8259999999999996</v>
      </c>
      <c r="G137" s="136">
        <v>6.4429999999999996</v>
      </c>
      <c r="H137" s="136">
        <v>6.66</v>
      </c>
      <c r="I137" s="136">
        <v>6.601</v>
      </c>
      <c r="J137" s="136">
        <v>6.8540000000000001</v>
      </c>
      <c r="K137" s="136">
        <v>6.62</v>
      </c>
      <c r="L137" s="136">
        <v>6.5780000000000003</v>
      </c>
      <c r="M137" s="136">
        <v>6.7249999999999996</v>
      </c>
      <c r="N137" s="136">
        <v>7.3810000000000002</v>
      </c>
      <c r="O137" s="136">
        <v>7.2320000000000002</v>
      </c>
      <c r="P137" s="136">
        <v>6.9749999999999996</v>
      </c>
      <c r="Q137" s="136">
        <v>7.06</v>
      </c>
      <c r="R137" s="136">
        <v>7.2779999999999996</v>
      </c>
      <c r="S137" s="136">
        <v>7.3719999999999999</v>
      </c>
      <c r="T137" s="136">
        <v>7.6909999999999998</v>
      </c>
      <c r="U137" s="136">
        <v>7.7610000000000001</v>
      </c>
      <c r="V137" s="136">
        <v>7.9960000000000004</v>
      </c>
      <c r="W137" s="1">
        <v>6.6970000000000001</v>
      </c>
      <c r="X137" s="1">
        <v>7.7329999999999997</v>
      </c>
    </row>
    <row r="138" spans="1:24" x14ac:dyDescent="0.3">
      <c r="A138" s="1" t="s">
        <v>343</v>
      </c>
      <c r="B138" s="133" t="s">
        <v>344</v>
      </c>
      <c r="C138" s="136">
        <v>2.84</v>
      </c>
      <c r="D138" s="136">
        <v>2.9359999999999999</v>
      </c>
      <c r="E138" s="136">
        <v>2.9329999999999998</v>
      </c>
      <c r="F138" s="136">
        <v>3.0089999999999999</v>
      </c>
      <c r="G138" s="136">
        <v>3.3580000000000001</v>
      </c>
      <c r="H138" s="136">
        <v>3.484</v>
      </c>
      <c r="I138" s="136">
        <v>3.44</v>
      </c>
      <c r="J138" s="136">
        <v>3.5830000000000002</v>
      </c>
      <c r="K138" s="136">
        <v>3.4849999999999999</v>
      </c>
      <c r="L138" s="136">
        <v>3.351</v>
      </c>
      <c r="M138" s="136">
        <v>3.7050000000000001</v>
      </c>
      <c r="N138" s="136">
        <v>4.1740000000000004</v>
      </c>
      <c r="O138" s="136">
        <v>3.7240000000000002</v>
      </c>
      <c r="P138" s="136">
        <v>3.702</v>
      </c>
      <c r="Q138" s="136">
        <v>3.9660000000000002</v>
      </c>
      <c r="R138" s="136">
        <v>3.8119999999999998</v>
      </c>
      <c r="S138" s="136">
        <v>3.9529999999999998</v>
      </c>
      <c r="T138" s="136">
        <v>3.9089999999999998</v>
      </c>
      <c r="U138" s="136">
        <v>4.3360000000000003</v>
      </c>
      <c r="V138" s="136">
        <v>4.4210000000000003</v>
      </c>
      <c r="W138" s="1">
        <v>4.7850000000000001</v>
      </c>
      <c r="X138" s="1">
        <v>4.7089999999999996</v>
      </c>
    </row>
    <row r="139" spans="1:24" x14ac:dyDescent="0.3">
      <c r="A139" s="1" t="s">
        <v>185</v>
      </c>
      <c r="B139" s="133" t="s">
        <v>345</v>
      </c>
      <c r="C139" s="136">
        <v>9.0079999999999991</v>
      </c>
      <c r="D139" s="136">
        <v>10.81</v>
      </c>
      <c r="E139" s="136">
        <v>13.618</v>
      </c>
      <c r="F139" s="136">
        <v>13.939</v>
      </c>
      <c r="G139" s="136">
        <v>15.007999999999999</v>
      </c>
      <c r="H139" s="136">
        <v>15.022</v>
      </c>
      <c r="I139" s="136">
        <v>17.100000000000001</v>
      </c>
      <c r="J139" s="136">
        <v>17.902000000000001</v>
      </c>
      <c r="K139" s="136">
        <v>18.385999999999999</v>
      </c>
      <c r="L139" s="136">
        <v>17.933</v>
      </c>
      <c r="M139" s="136">
        <v>18.638000000000002</v>
      </c>
      <c r="N139" s="136">
        <v>20.963000000000001</v>
      </c>
      <c r="O139" s="136">
        <v>23.169</v>
      </c>
      <c r="P139" s="136">
        <v>23.22</v>
      </c>
      <c r="Q139" s="136">
        <v>24.140999999999998</v>
      </c>
      <c r="R139" s="136">
        <v>25.388000000000002</v>
      </c>
      <c r="S139" s="136">
        <v>24.902000000000001</v>
      </c>
      <c r="T139" s="136">
        <v>26.11</v>
      </c>
      <c r="U139" s="136">
        <v>27.289000000000001</v>
      </c>
      <c r="V139" s="136">
        <v>28.413</v>
      </c>
      <c r="W139" s="1">
        <v>29.456</v>
      </c>
      <c r="X139" s="1">
        <v>31.331</v>
      </c>
    </row>
    <row r="140" spans="1:24" x14ac:dyDescent="0.3">
      <c r="A140" s="1" t="s">
        <v>187</v>
      </c>
      <c r="B140" s="133" t="s">
        <v>346</v>
      </c>
      <c r="C140" s="136">
        <v>28.864000000000001</v>
      </c>
      <c r="D140" s="136">
        <v>29.841999999999999</v>
      </c>
      <c r="E140" s="136">
        <v>29.69</v>
      </c>
      <c r="F140" s="136">
        <v>31.34</v>
      </c>
      <c r="G140" s="136">
        <v>33.594999999999999</v>
      </c>
      <c r="H140" s="136">
        <v>34.079000000000001</v>
      </c>
      <c r="I140" s="136">
        <v>36.96</v>
      </c>
      <c r="J140" s="136">
        <v>39.130000000000003</v>
      </c>
      <c r="K140" s="136">
        <v>41.677</v>
      </c>
      <c r="L140" s="136">
        <v>40.287999999999997</v>
      </c>
      <c r="M140" s="136">
        <v>41.718000000000004</v>
      </c>
      <c r="N140" s="136">
        <v>42.609000000000002</v>
      </c>
      <c r="O140" s="136">
        <v>44.679000000000002</v>
      </c>
      <c r="P140" s="136">
        <v>44.511000000000003</v>
      </c>
      <c r="Q140" s="136">
        <v>46.826999999999998</v>
      </c>
      <c r="R140" s="136">
        <v>49.136000000000003</v>
      </c>
      <c r="S140" s="136">
        <v>52.228000000000002</v>
      </c>
      <c r="T140" s="136">
        <v>55.573999999999998</v>
      </c>
      <c r="U140" s="136">
        <v>59.667000000000002</v>
      </c>
      <c r="V140" s="136">
        <v>63.19</v>
      </c>
      <c r="W140" s="1">
        <v>63.607999999999997</v>
      </c>
      <c r="X140" s="1">
        <v>69.31</v>
      </c>
    </row>
    <row r="141" spans="1:24" x14ac:dyDescent="0.3">
      <c r="A141" s="1" t="s">
        <v>347</v>
      </c>
      <c r="B141" s="133" t="s">
        <v>348</v>
      </c>
      <c r="C141" s="136">
        <v>25.739000000000001</v>
      </c>
      <c r="D141" s="136">
        <v>26.562000000000001</v>
      </c>
      <c r="E141" s="136">
        <v>26.373999999999999</v>
      </c>
      <c r="F141" s="136">
        <v>27.867000000000001</v>
      </c>
      <c r="G141" s="136">
        <v>29.963999999999999</v>
      </c>
      <c r="H141" s="136">
        <v>30.376999999999999</v>
      </c>
      <c r="I141" s="136">
        <v>33.064999999999998</v>
      </c>
      <c r="J141" s="136">
        <v>35.069000000000003</v>
      </c>
      <c r="K141" s="136">
        <v>36.898000000000003</v>
      </c>
      <c r="L141" s="136">
        <v>35.304000000000002</v>
      </c>
      <c r="M141" s="136">
        <v>36.853999999999999</v>
      </c>
      <c r="N141" s="136">
        <v>37.582000000000001</v>
      </c>
      <c r="O141" s="136">
        <v>39.094999999999999</v>
      </c>
      <c r="P141" s="136">
        <v>38.777000000000001</v>
      </c>
      <c r="Q141" s="136">
        <v>40.914999999999999</v>
      </c>
      <c r="R141" s="136">
        <v>43.021000000000001</v>
      </c>
      <c r="S141" s="136">
        <v>45.619</v>
      </c>
      <c r="T141" s="136">
        <v>48.494999999999997</v>
      </c>
      <c r="U141" s="136">
        <v>51.826999999999998</v>
      </c>
      <c r="V141" s="136">
        <v>54.746000000000002</v>
      </c>
      <c r="W141" s="1">
        <v>54.713000000000001</v>
      </c>
      <c r="X141" s="1">
        <v>59.302999999999997</v>
      </c>
    </row>
    <row r="142" spans="1:24" x14ac:dyDescent="0.3">
      <c r="A142" s="1" t="s">
        <v>349</v>
      </c>
      <c r="B142" s="133" t="s">
        <v>350</v>
      </c>
      <c r="C142" s="136">
        <v>3.19</v>
      </c>
      <c r="D142" s="136">
        <v>3.339</v>
      </c>
      <c r="E142" s="136">
        <v>3.3679999999999999</v>
      </c>
      <c r="F142" s="136">
        <v>3.5310000000000001</v>
      </c>
      <c r="G142" s="136">
        <v>3.7109999999999999</v>
      </c>
      <c r="H142" s="136">
        <v>3.7789999999999999</v>
      </c>
      <c r="I142" s="136">
        <v>4.0019999999999998</v>
      </c>
      <c r="J142" s="136">
        <v>4.1879999999999997</v>
      </c>
      <c r="K142" s="136">
        <v>4.8150000000000004</v>
      </c>
      <c r="L142" s="136">
        <v>4.9649999999999999</v>
      </c>
      <c r="M142" s="136">
        <v>4.8760000000000003</v>
      </c>
      <c r="N142" s="136">
        <v>5.0369999999999999</v>
      </c>
      <c r="O142" s="136">
        <v>5.5890000000000004</v>
      </c>
      <c r="P142" s="136">
        <v>5.7370000000000001</v>
      </c>
      <c r="Q142" s="136">
        <v>5.9119999999999999</v>
      </c>
      <c r="R142" s="136">
        <v>6.1150000000000002</v>
      </c>
      <c r="S142" s="136">
        <v>6.609</v>
      </c>
      <c r="T142" s="136">
        <v>7.0789999999999997</v>
      </c>
      <c r="U142" s="136">
        <v>7.8460000000000001</v>
      </c>
      <c r="V142" s="136">
        <v>8.452</v>
      </c>
      <c r="W142" s="1">
        <v>8.9239999999999995</v>
      </c>
      <c r="X142" s="1">
        <v>10.055</v>
      </c>
    </row>
    <row r="143" spans="1:24" x14ac:dyDescent="0.3">
      <c r="A143" s="1" t="s">
        <v>351</v>
      </c>
      <c r="B143" s="133" t="s">
        <v>352</v>
      </c>
      <c r="C143" s="136">
        <v>62.868000000000002</v>
      </c>
      <c r="D143" s="136">
        <v>61.42</v>
      </c>
      <c r="E143" s="136">
        <v>63.902000000000001</v>
      </c>
      <c r="F143" s="136">
        <v>64.975999999999999</v>
      </c>
      <c r="G143" s="136">
        <v>68.617000000000004</v>
      </c>
      <c r="H143" s="136">
        <v>68.927000000000007</v>
      </c>
      <c r="I143" s="136">
        <v>67.465000000000003</v>
      </c>
      <c r="J143" s="136">
        <v>72.481999999999999</v>
      </c>
      <c r="K143" s="136">
        <v>73.459999999999994</v>
      </c>
      <c r="L143" s="136">
        <v>78.393000000000001</v>
      </c>
      <c r="M143" s="136">
        <v>78.692999999999998</v>
      </c>
      <c r="N143" s="136">
        <v>83.878</v>
      </c>
      <c r="O143" s="136">
        <v>85.825999999999993</v>
      </c>
      <c r="P143" s="136">
        <v>85.828999999999994</v>
      </c>
      <c r="Q143" s="136">
        <v>86.923000000000002</v>
      </c>
      <c r="R143" s="136">
        <v>87.091999999999999</v>
      </c>
      <c r="S143" s="136">
        <v>86.822000000000003</v>
      </c>
      <c r="T143" s="136">
        <v>87.272000000000006</v>
      </c>
      <c r="U143" s="136">
        <v>93.555999999999997</v>
      </c>
      <c r="V143" s="136">
        <v>95.153999999999996</v>
      </c>
      <c r="W143" s="1">
        <v>91.224000000000004</v>
      </c>
      <c r="X143" s="1">
        <v>104.166</v>
      </c>
    </row>
    <row r="144" spans="1:24" x14ac:dyDescent="0.3">
      <c r="A144" s="1" t="s">
        <v>353</v>
      </c>
      <c r="B144" s="133" t="s">
        <v>354</v>
      </c>
      <c r="C144" s="136">
        <v>42.843000000000004</v>
      </c>
      <c r="D144" s="136">
        <v>44.04</v>
      </c>
      <c r="E144" s="136">
        <v>42.506</v>
      </c>
      <c r="F144" s="136">
        <v>42.884999999999998</v>
      </c>
      <c r="G144" s="136">
        <v>44.27</v>
      </c>
      <c r="H144" s="136">
        <v>44.191000000000003</v>
      </c>
      <c r="I144" s="136">
        <v>46.941000000000003</v>
      </c>
      <c r="J144" s="136">
        <v>52.213999999999999</v>
      </c>
      <c r="K144" s="136">
        <v>53.228999999999999</v>
      </c>
      <c r="L144" s="136">
        <v>52.901000000000003</v>
      </c>
      <c r="M144" s="136">
        <v>53.981000000000002</v>
      </c>
      <c r="N144" s="136">
        <v>56.85</v>
      </c>
      <c r="O144" s="136">
        <v>58.670999999999999</v>
      </c>
      <c r="P144" s="136">
        <v>58.957999999999998</v>
      </c>
      <c r="Q144" s="136">
        <v>60.045000000000002</v>
      </c>
      <c r="R144" s="136">
        <v>60.198</v>
      </c>
      <c r="S144" s="136">
        <v>61.402000000000001</v>
      </c>
      <c r="T144" s="136">
        <v>61.863</v>
      </c>
      <c r="U144" s="136">
        <v>66.551000000000002</v>
      </c>
      <c r="V144" s="136">
        <v>67.936000000000007</v>
      </c>
      <c r="W144" s="1">
        <v>67.997</v>
      </c>
      <c r="X144" s="1">
        <v>76.078000000000003</v>
      </c>
    </row>
    <row r="145" spans="1:24" x14ac:dyDescent="0.3">
      <c r="A145" s="1" t="s">
        <v>355</v>
      </c>
      <c r="B145" s="133" t="s">
        <v>356</v>
      </c>
      <c r="C145" s="136">
        <v>8.7460000000000004</v>
      </c>
      <c r="D145" s="136">
        <v>5.5640000000000001</v>
      </c>
      <c r="E145" s="136">
        <v>8.8759999999999994</v>
      </c>
      <c r="F145" s="136">
        <v>8.5739999999999998</v>
      </c>
      <c r="G145" s="136">
        <v>9.8279999999999994</v>
      </c>
      <c r="H145" s="136">
        <v>9.782</v>
      </c>
      <c r="I145" s="136">
        <v>6.984</v>
      </c>
      <c r="J145" s="136">
        <v>7.23</v>
      </c>
      <c r="K145" s="136">
        <v>7.9039999999999999</v>
      </c>
      <c r="L145" s="136">
        <v>10.071</v>
      </c>
      <c r="M145" s="136">
        <v>7.9450000000000003</v>
      </c>
      <c r="N145" s="136">
        <v>10.340999999999999</v>
      </c>
      <c r="O145" s="136">
        <v>10.102</v>
      </c>
      <c r="P145" s="136">
        <v>10.381</v>
      </c>
      <c r="Q145" s="136">
        <v>10.364000000000001</v>
      </c>
      <c r="R145" s="136">
        <v>9.02</v>
      </c>
      <c r="S145" s="136">
        <v>8.42</v>
      </c>
      <c r="T145" s="136">
        <v>7.93</v>
      </c>
      <c r="U145" s="136">
        <v>8.73</v>
      </c>
      <c r="V145" s="136">
        <v>7.1980000000000004</v>
      </c>
      <c r="W145" s="1">
        <v>3.8109999999999999</v>
      </c>
      <c r="X145" s="1">
        <v>4.867</v>
      </c>
    </row>
    <row r="146" spans="1:24" x14ac:dyDescent="0.3">
      <c r="A146" s="1" t="s">
        <v>357</v>
      </c>
      <c r="B146" s="133" t="s">
        <v>358</v>
      </c>
      <c r="C146" s="136">
        <v>13.802</v>
      </c>
      <c r="D146" s="136">
        <v>14.503</v>
      </c>
      <c r="E146" s="136">
        <v>13.762</v>
      </c>
      <c r="F146" s="136">
        <v>14.936</v>
      </c>
      <c r="G146" s="136">
        <v>15.901999999999999</v>
      </c>
      <c r="H146" s="136">
        <v>16.414000000000001</v>
      </c>
      <c r="I146" s="136">
        <v>17.32</v>
      </c>
      <c r="J146" s="136">
        <v>17.66</v>
      </c>
      <c r="K146" s="136">
        <v>16.189</v>
      </c>
      <c r="L146" s="136">
        <v>16.021000000000001</v>
      </c>
      <c r="M146" s="136">
        <v>17.585000000000001</v>
      </c>
      <c r="N146" s="136">
        <v>16.478000000000002</v>
      </c>
      <c r="O146" s="136">
        <v>17.035</v>
      </c>
      <c r="P146" s="136">
        <v>16.457999999999998</v>
      </c>
      <c r="Q146" s="136">
        <v>16.513999999999999</v>
      </c>
      <c r="R146" s="136">
        <v>17.875</v>
      </c>
      <c r="S146" s="136">
        <v>17.204000000000001</v>
      </c>
      <c r="T146" s="136">
        <v>17.858000000000001</v>
      </c>
      <c r="U146" s="136">
        <v>18.702000000000002</v>
      </c>
      <c r="V146" s="136">
        <v>21.262</v>
      </c>
      <c r="W146" s="1">
        <v>22.361999999999998</v>
      </c>
      <c r="X146" s="1">
        <v>25.513999999999999</v>
      </c>
    </row>
    <row r="147" spans="1:24" x14ac:dyDescent="0.3">
      <c r="A147" s="1" t="s">
        <v>359</v>
      </c>
      <c r="B147" s="133" t="s">
        <v>360</v>
      </c>
      <c r="C147" s="136">
        <v>199.852</v>
      </c>
      <c r="D147" s="136">
        <v>206.11199999999999</v>
      </c>
      <c r="E147" s="136">
        <v>202.70699999999999</v>
      </c>
      <c r="F147" s="136">
        <v>204.071</v>
      </c>
      <c r="G147" s="136">
        <v>211.83</v>
      </c>
      <c r="H147" s="136">
        <v>218.52099999999999</v>
      </c>
      <c r="I147" s="136">
        <v>225.14699999999999</v>
      </c>
      <c r="J147" s="136">
        <v>228.09700000000001</v>
      </c>
      <c r="K147" s="136">
        <v>228.50700000000001</v>
      </c>
      <c r="L147" s="136">
        <v>230.21899999999999</v>
      </c>
      <c r="M147" s="136">
        <v>234.797</v>
      </c>
      <c r="N147" s="136">
        <v>234.244</v>
      </c>
      <c r="O147" s="136">
        <v>238.52199999999999</v>
      </c>
      <c r="P147" s="136">
        <v>243.20099999999999</v>
      </c>
      <c r="Q147" s="136">
        <v>245.92099999999999</v>
      </c>
      <c r="R147" s="136">
        <v>246.72800000000001</v>
      </c>
      <c r="S147" s="136">
        <v>248.684</v>
      </c>
      <c r="T147" s="136">
        <v>250.64500000000001</v>
      </c>
      <c r="U147" s="136">
        <v>253.90199999999999</v>
      </c>
      <c r="V147" s="136">
        <v>258.66399999999999</v>
      </c>
      <c r="W147" s="1">
        <v>257.88600000000002</v>
      </c>
      <c r="X147" s="1">
        <v>261.64800000000002</v>
      </c>
    </row>
    <row r="148" spans="1:24" x14ac:dyDescent="0.3">
      <c r="A148" s="1" t="s">
        <v>195</v>
      </c>
      <c r="B148" s="133" t="s">
        <v>361</v>
      </c>
      <c r="C148" s="136">
        <v>69.866</v>
      </c>
      <c r="D148" s="136">
        <v>69.078999999999994</v>
      </c>
      <c r="E148" s="136">
        <v>72.162000000000006</v>
      </c>
      <c r="F148" s="136">
        <v>75.703999999999994</v>
      </c>
      <c r="G148" s="136">
        <v>78.426000000000002</v>
      </c>
      <c r="H148" s="136">
        <v>81.716999999999999</v>
      </c>
      <c r="I148" s="136">
        <v>87.155000000000001</v>
      </c>
      <c r="J148" s="136">
        <v>90.31</v>
      </c>
      <c r="K148" s="136">
        <v>92.02</v>
      </c>
      <c r="L148" s="136">
        <v>87.376999999999995</v>
      </c>
      <c r="M148" s="136">
        <v>92.35</v>
      </c>
      <c r="N148" s="136">
        <v>95.64</v>
      </c>
      <c r="O148" s="136">
        <v>97.611000000000004</v>
      </c>
      <c r="P148" s="136">
        <v>98.986000000000004</v>
      </c>
      <c r="Q148" s="136">
        <v>100.60899999999999</v>
      </c>
      <c r="R148" s="136">
        <v>102.375</v>
      </c>
      <c r="S148" s="136">
        <v>105.077</v>
      </c>
      <c r="T148" s="136">
        <v>110.178</v>
      </c>
      <c r="U148" s="136">
        <v>114.41500000000001</v>
      </c>
      <c r="V148" s="136">
        <v>118.261</v>
      </c>
      <c r="W148" s="1">
        <v>113.672</v>
      </c>
      <c r="X148" s="1">
        <v>121.696</v>
      </c>
    </row>
    <row r="149" spans="1:24" x14ac:dyDescent="0.3">
      <c r="A149" s="1" t="s">
        <v>362</v>
      </c>
      <c r="B149" s="133" t="s">
        <v>363</v>
      </c>
      <c r="C149" s="136">
        <v>20.876999999999999</v>
      </c>
      <c r="D149" s="136">
        <v>21.599</v>
      </c>
      <c r="E149" s="136">
        <v>22.204999999999998</v>
      </c>
      <c r="F149" s="136">
        <v>22.504999999999999</v>
      </c>
      <c r="G149" s="136">
        <v>23.22</v>
      </c>
      <c r="H149" s="136">
        <v>23.896999999999998</v>
      </c>
      <c r="I149" s="136">
        <v>24.978999999999999</v>
      </c>
      <c r="J149" s="136">
        <v>25.881</v>
      </c>
      <c r="K149" s="136">
        <v>25.648</v>
      </c>
      <c r="L149" s="136">
        <v>24.824999999999999</v>
      </c>
      <c r="M149" s="136">
        <v>27.236000000000001</v>
      </c>
      <c r="N149" s="136">
        <v>28.565999999999999</v>
      </c>
      <c r="O149" s="136">
        <v>28.882999999999999</v>
      </c>
      <c r="P149" s="136">
        <v>28.303000000000001</v>
      </c>
      <c r="Q149" s="136">
        <v>28.957000000000001</v>
      </c>
      <c r="R149" s="136">
        <v>29.765999999999998</v>
      </c>
      <c r="S149" s="136">
        <v>30.096</v>
      </c>
      <c r="T149" s="136">
        <v>30.960999999999999</v>
      </c>
      <c r="U149" s="136">
        <v>33.090000000000003</v>
      </c>
      <c r="V149" s="136">
        <v>34.274999999999999</v>
      </c>
      <c r="W149" s="1">
        <v>33.384</v>
      </c>
      <c r="X149" s="1">
        <v>35.209000000000003</v>
      </c>
    </row>
    <row r="150" spans="1:24" x14ac:dyDescent="0.3">
      <c r="A150" s="1" t="s">
        <v>364</v>
      </c>
      <c r="B150" s="133" t="s">
        <v>365</v>
      </c>
      <c r="C150" s="136">
        <v>30.241</v>
      </c>
      <c r="D150" s="136">
        <v>27.294</v>
      </c>
      <c r="E150" s="136">
        <v>29.396999999999998</v>
      </c>
      <c r="F150" s="136">
        <v>31.363</v>
      </c>
      <c r="G150" s="136">
        <v>33.24</v>
      </c>
      <c r="H150" s="136">
        <v>34.627000000000002</v>
      </c>
      <c r="I150" s="136">
        <v>36.533999999999999</v>
      </c>
      <c r="J150" s="136">
        <v>37.637</v>
      </c>
      <c r="K150" s="136">
        <v>38.238999999999997</v>
      </c>
      <c r="L150" s="136">
        <v>37.319000000000003</v>
      </c>
      <c r="M150" s="136">
        <v>39.356000000000002</v>
      </c>
      <c r="N150" s="136">
        <v>40.359000000000002</v>
      </c>
      <c r="O150" s="136">
        <v>40.777000000000001</v>
      </c>
      <c r="P150" s="136">
        <v>41.523000000000003</v>
      </c>
      <c r="Q150" s="136">
        <v>42.5</v>
      </c>
      <c r="R150" s="136">
        <v>43.088999999999999</v>
      </c>
      <c r="S150" s="136">
        <v>45.051000000000002</v>
      </c>
      <c r="T150" s="136">
        <v>46.698</v>
      </c>
      <c r="U150" s="136">
        <v>48.204000000000001</v>
      </c>
      <c r="V150" s="136">
        <v>49.39</v>
      </c>
      <c r="W150" s="1">
        <v>47.991</v>
      </c>
      <c r="X150" s="1">
        <v>51.642000000000003</v>
      </c>
    </row>
    <row r="151" spans="1:24" x14ac:dyDescent="0.3">
      <c r="A151" s="1" t="s">
        <v>366</v>
      </c>
      <c r="B151" s="133" t="s">
        <v>367</v>
      </c>
      <c r="C151" s="136">
        <v>19.311</v>
      </c>
      <c r="D151" s="136">
        <v>20.190999999999999</v>
      </c>
      <c r="E151" s="136">
        <v>20.6</v>
      </c>
      <c r="F151" s="136">
        <v>21.861999999999998</v>
      </c>
      <c r="G151" s="136">
        <v>22.009</v>
      </c>
      <c r="H151" s="136">
        <v>23.228999999999999</v>
      </c>
      <c r="I151" s="136">
        <v>25.661999999999999</v>
      </c>
      <c r="J151" s="136">
        <v>26.806999999999999</v>
      </c>
      <c r="K151" s="136">
        <v>28.117999999999999</v>
      </c>
      <c r="L151" s="136">
        <v>25.224</v>
      </c>
      <c r="M151" s="136">
        <v>25.783000000000001</v>
      </c>
      <c r="N151" s="136">
        <v>26.757000000000001</v>
      </c>
      <c r="O151" s="136">
        <v>27.978999999999999</v>
      </c>
      <c r="P151" s="136">
        <v>29.161000000000001</v>
      </c>
      <c r="Q151" s="136">
        <v>29.152000000000001</v>
      </c>
      <c r="R151" s="136">
        <v>29.52</v>
      </c>
      <c r="S151" s="136">
        <v>29.911000000000001</v>
      </c>
      <c r="T151" s="136">
        <v>32.478999999999999</v>
      </c>
      <c r="U151" s="136">
        <v>33.091999999999999</v>
      </c>
      <c r="V151" s="136">
        <v>34.576999999999998</v>
      </c>
      <c r="W151" s="1">
        <v>32.262</v>
      </c>
      <c r="X151" s="1">
        <v>34.799999999999997</v>
      </c>
    </row>
    <row r="152" spans="1:24" x14ac:dyDescent="0.3">
      <c r="A152" s="1" t="s">
        <v>197</v>
      </c>
      <c r="B152" s="133" t="s">
        <v>368</v>
      </c>
      <c r="C152" s="136">
        <v>27.414000000000001</v>
      </c>
      <c r="D152" s="136">
        <v>26.475999999999999</v>
      </c>
      <c r="E152" s="136">
        <v>27.087</v>
      </c>
      <c r="F152" s="136">
        <v>26.675999999999998</v>
      </c>
      <c r="G152" s="136">
        <v>26.896000000000001</v>
      </c>
      <c r="H152" s="136">
        <v>26.565000000000001</v>
      </c>
      <c r="I152" s="136">
        <v>26.984999999999999</v>
      </c>
      <c r="J152" s="136">
        <v>27.640999999999998</v>
      </c>
      <c r="K152" s="136">
        <v>29.067</v>
      </c>
      <c r="L152" s="136">
        <v>29.597000000000001</v>
      </c>
      <c r="M152" s="136">
        <v>30.390999999999998</v>
      </c>
      <c r="N152" s="136">
        <v>31.111000000000001</v>
      </c>
      <c r="O152" s="136">
        <v>31.905999999999999</v>
      </c>
      <c r="P152" s="136">
        <v>32.930999999999997</v>
      </c>
      <c r="Q152" s="136">
        <v>33.549999999999997</v>
      </c>
      <c r="R152" s="136">
        <v>33.456000000000003</v>
      </c>
      <c r="S152" s="136">
        <v>33.363</v>
      </c>
      <c r="T152" s="136">
        <v>35.353000000000002</v>
      </c>
      <c r="U152" s="136">
        <v>35.546999999999997</v>
      </c>
      <c r="V152" s="136">
        <v>36.015000000000001</v>
      </c>
      <c r="W152" s="1">
        <v>34.698</v>
      </c>
      <c r="X152" s="1">
        <v>36.573</v>
      </c>
    </row>
    <row r="153" spans="1:24" x14ac:dyDescent="0.3">
      <c r="A153" s="1" t="s">
        <v>199</v>
      </c>
      <c r="B153" s="133" t="s">
        <v>369</v>
      </c>
      <c r="C153" s="136">
        <v>10.734</v>
      </c>
      <c r="D153" s="136">
        <v>10.707000000000001</v>
      </c>
      <c r="E153" s="136">
        <v>11.292</v>
      </c>
      <c r="F153" s="136">
        <v>10.709</v>
      </c>
      <c r="G153" s="136">
        <v>11.259</v>
      </c>
      <c r="H153" s="136">
        <v>11.983000000000001</v>
      </c>
      <c r="I153" s="136">
        <v>12.145</v>
      </c>
      <c r="J153" s="136">
        <v>12.519</v>
      </c>
      <c r="K153" s="136">
        <v>12.7</v>
      </c>
      <c r="L153" s="136">
        <v>12.486000000000001</v>
      </c>
      <c r="M153" s="136">
        <v>13.04</v>
      </c>
      <c r="N153" s="136">
        <v>13.939</v>
      </c>
      <c r="O153" s="136">
        <v>14.51</v>
      </c>
      <c r="P153" s="136">
        <v>14.326000000000001</v>
      </c>
      <c r="Q153" s="136">
        <v>14.586</v>
      </c>
      <c r="R153" s="136">
        <v>14.891</v>
      </c>
      <c r="S153" s="136">
        <v>14.951000000000001</v>
      </c>
      <c r="T153" s="136">
        <v>15.388</v>
      </c>
      <c r="U153" s="136">
        <v>15.743</v>
      </c>
      <c r="V153" s="136">
        <v>16.323</v>
      </c>
      <c r="W153" s="1">
        <v>15.284000000000001</v>
      </c>
      <c r="X153" s="1">
        <v>16.207999999999998</v>
      </c>
    </row>
    <row r="154" spans="1:24" x14ac:dyDescent="0.3">
      <c r="A154" s="1" t="s">
        <v>370</v>
      </c>
      <c r="B154" s="133" t="s">
        <v>371</v>
      </c>
      <c r="C154" s="136">
        <v>5.8609999999999998</v>
      </c>
      <c r="D154" s="136">
        <v>5.6749999999999998</v>
      </c>
      <c r="E154" s="136">
        <v>5.72</v>
      </c>
      <c r="F154" s="136">
        <v>5.6849999999999996</v>
      </c>
      <c r="G154" s="136">
        <v>5.9669999999999996</v>
      </c>
      <c r="H154" s="136">
        <v>6.5170000000000003</v>
      </c>
      <c r="I154" s="136">
        <v>6.6390000000000002</v>
      </c>
      <c r="J154" s="136">
        <v>6.8209999999999997</v>
      </c>
      <c r="K154" s="136">
        <v>7.0670000000000002</v>
      </c>
      <c r="L154" s="136">
        <v>7.3579999999999997</v>
      </c>
      <c r="M154" s="136">
        <v>7.8150000000000004</v>
      </c>
      <c r="N154" s="136">
        <v>8.3089999999999993</v>
      </c>
      <c r="O154" s="136">
        <v>8.5640000000000001</v>
      </c>
      <c r="P154" s="136">
        <v>8.6150000000000002</v>
      </c>
      <c r="Q154" s="136">
        <v>8.8469999999999995</v>
      </c>
      <c r="R154" s="136">
        <v>8.7029999999999994</v>
      </c>
      <c r="S154" s="136">
        <v>8.6959999999999997</v>
      </c>
      <c r="T154" s="136">
        <v>8.7789999999999999</v>
      </c>
      <c r="U154" s="136">
        <v>8.9459999999999997</v>
      </c>
      <c r="V154" s="136">
        <v>9.0250000000000004</v>
      </c>
      <c r="W154" s="1">
        <v>8.3610000000000007</v>
      </c>
      <c r="X154" s="1">
        <v>8.7759999999999998</v>
      </c>
    </row>
    <row r="155" spans="1:24" x14ac:dyDescent="0.3">
      <c r="A155" s="1" t="s">
        <v>372</v>
      </c>
      <c r="B155" s="133" t="s">
        <v>373</v>
      </c>
      <c r="C155" s="136">
        <v>3.7770000000000001</v>
      </c>
      <c r="D155" s="136">
        <v>4.04</v>
      </c>
      <c r="E155" s="136">
        <v>4.2409999999999997</v>
      </c>
      <c r="F155" s="136">
        <v>4.2050000000000001</v>
      </c>
      <c r="G155" s="136">
        <v>4.3040000000000003</v>
      </c>
      <c r="H155" s="136">
        <v>4.4189999999999996</v>
      </c>
      <c r="I155" s="136">
        <v>4.51</v>
      </c>
      <c r="J155" s="136">
        <v>4.6680000000000001</v>
      </c>
      <c r="K155" s="136">
        <v>4.444</v>
      </c>
      <c r="L155" s="136">
        <v>3.6760000000000002</v>
      </c>
      <c r="M155" s="136">
        <v>3.7509999999999999</v>
      </c>
      <c r="N155" s="136">
        <v>4.0910000000000002</v>
      </c>
      <c r="O155" s="136">
        <v>4.3650000000000002</v>
      </c>
      <c r="P155" s="136">
        <v>4.2110000000000003</v>
      </c>
      <c r="Q155" s="136">
        <v>4.2300000000000004</v>
      </c>
      <c r="R155" s="136">
        <v>4.7169999999999996</v>
      </c>
      <c r="S155" s="136">
        <v>4.7439999999999998</v>
      </c>
      <c r="T155" s="136">
        <v>5.0919999999999996</v>
      </c>
      <c r="U155" s="136">
        <v>5.2220000000000004</v>
      </c>
      <c r="V155" s="136">
        <v>5.6360000000000001</v>
      </c>
      <c r="W155" s="1">
        <v>5.2460000000000004</v>
      </c>
      <c r="X155" s="1">
        <v>5.6349999999999998</v>
      </c>
    </row>
    <row r="156" spans="1:24" x14ac:dyDescent="0.3">
      <c r="A156" s="1" t="s">
        <v>374</v>
      </c>
      <c r="B156" s="133" t="s">
        <v>375</v>
      </c>
      <c r="C156" s="136">
        <v>1.256</v>
      </c>
      <c r="D156" s="136">
        <v>1.2849999999999999</v>
      </c>
      <c r="E156" s="136">
        <v>2.0089999999999999</v>
      </c>
      <c r="F156" s="136">
        <v>1.1040000000000001</v>
      </c>
      <c r="G156" s="136">
        <v>1.331</v>
      </c>
      <c r="H156" s="136">
        <v>1.306</v>
      </c>
      <c r="I156" s="136">
        <v>1.2290000000000001</v>
      </c>
      <c r="J156" s="136">
        <v>1.2809999999999999</v>
      </c>
      <c r="K156" s="136">
        <v>1.38</v>
      </c>
      <c r="L156" s="136">
        <v>1.484</v>
      </c>
      <c r="M156" s="136">
        <v>1.472</v>
      </c>
      <c r="N156" s="136">
        <v>1.5409999999999999</v>
      </c>
      <c r="O156" s="136">
        <v>1.591</v>
      </c>
      <c r="P156" s="136">
        <v>1.5009999999999999</v>
      </c>
      <c r="Q156" s="136">
        <v>1.5089999999999999</v>
      </c>
      <c r="R156" s="136">
        <v>1.472</v>
      </c>
      <c r="S156" s="136">
        <v>1.51</v>
      </c>
      <c r="T156" s="136">
        <v>1.5149999999999999</v>
      </c>
      <c r="U156" s="136">
        <v>1.571</v>
      </c>
      <c r="V156" s="136">
        <v>1.6439999999999999</v>
      </c>
      <c r="W156" s="1">
        <v>1.657</v>
      </c>
      <c r="X156" s="1">
        <v>1.768</v>
      </c>
    </row>
    <row r="157" spans="1:24" x14ac:dyDescent="0.3">
      <c r="A157" s="1" t="s">
        <v>201</v>
      </c>
      <c r="B157" s="133" t="s">
        <v>376</v>
      </c>
      <c r="C157" s="136">
        <v>103.00700000000001</v>
      </c>
      <c r="D157" s="136">
        <v>103.79</v>
      </c>
      <c r="E157" s="136">
        <v>101.416</v>
      </c>
      <c r="F157" s="136">
        <v>100.94199999999999</v>
      </c>
      <c r="G157" s="136">
        <v>101.749</v>
      </c>
      <c r="H157" s="136">
        <v>105.559</v>
      </c>
      <c r="I157" s="136">
        <v>108.78</v>
      </c>
      <c r="J157" s="136">
        <v>113.11799999999999</v>
      </c>
      <c r="K157" s="136">
        <v>114.03400000000001</v>
      </c>
      <c r="L157" s="136">
        <v>99.93</v>
      </c>
      <c r="M157" s="136">
        <v>102.496</v>
      </c>
      <c r="N157" s="136">
        <v>105.782</v>
      </c>
      <c r="O157" s="136">
        <v>101.932</v>
      </c>
      <c r="P157" s="136">
        <v>100.66200000000001</v>
      </c>
      <c r="Q157" s="136">
        <v>101.48099999999999</v>
      </c>
      <c r="R157" s="136">
        <v>103.828</v>
      </c>
      <c r="S157" s="136">
        <v>107.887</v>
      </c>
      <c r="T157" s="136">
        <v>114.035</v>
      </c>
      <c r="U157" s="136">
        <v>119.004</v>
      </c>
      <c r="V157" s="136">
        <v>122.05</v>
      </c>
      <c r="W157" s="1">
        <v>109.363</v>
      </c>
      <c r="X157" s="1">
        <v>117.267</v>
      </c>
    </row>
    <row r="158" spans="1:24" x14ac:dyDescent="0.3">
      <c r="A158" s="1" t="s">
        <v>377</v>
      </c>
      <c r="B158" s="133" t="s">
        <v>378</v>
      </c>
      <c r="C158" s="136">
        <v>29.097999999999999</v>
      </c>
      <c r="D158" s="136">
        <v>28.664000000000001</v>
      </c>
      <c r="E158" s="136">
        <v>28.248000000000001</v>
      </c>
      <c r="F158" s="136">
        <v>28.312999999999999</v>
      </c>
      <c r="G158" s="136">
        <v>28.117000000000001</v>
      </c>
      <c r="H158" s="136">
        <v>29.448</v>
      </c>
      <c r="I158" s="136">
        <v>30.48</v>
      </c>
      <c r="J158" s="136">
        <v>31.77</v>
      </c>
      <c r="K158" s="136">
        <v>32.558999999999997</v>
      </c>
      <c r="L158" s="136">
        <v>30.422999999999998</v>
      </c>
      <c r="M158" s="136">
        <v>29.716999999999999</v>
      </c>
      <c r="N158" s="136">
        <v>30.234000000000002</v>
      </c>
      <c r="O158" s="136">
        <v>30.579000000000001</v>
      </c>
      <c r="P158" s="136">
        <v>29.867000000000001</v>
      </c>
      <c r="Q158" s="136">
        <v>30.495999999999999</v>
      </c>
      <c r="R158" s="136">
        <v>31.899000000000001</v>
      </c>
      <c r="S158" s="136">
        <v>33.018000000000001</v>
      </c>
      <c r="T158" s="136">
        <v>35.83</v>
      </c>
      <c r="U158" s="136">
        <v>38.198</v>
      </c>
      <c r="V158" s="136">
        <v>39.414999999999999</v>
      </c>
      <c r="W158" s="1">
        <v>38.933999999999997</v>
      </c>
      <c r="X158" s="1">
        <v>41.719000000000001</v>
      </c>
    </row>
    <row r="159" spans="1:24" x14ac:dyDescent="0.3">
      <c r="A159" s="1" t="s">
        <v>379</v>
      </c>
      <c r="B159" s="133" t="s">
        <v>380</v>
      </c>
      <c r="C159" s="136">
        <v>34.889000000000003</v>
      </c>
      <c r="D159" s="136">
        <v>34.133000000000003</v>
      </c>
      <c r="E159" s="136">
        <v>30.102</v>
      </c>
      <c r="F159" s="136">
        <v>29.678000000000001</v>
      </c>
      <c r="G159" s="136">
        <v>29.763000000000002</v>
      </c>
      <c r="H159" s="136">
        <v>31.265000000000001</v>
      </c>
      <c r="I159" s="136">
        <v>32.898000000000003</v>
      </c>
      <c r="J159" s="136">
        <v>34.256</v>
      </c>
      <c r="K159" s="136">
        <v>33.368000000000002</v>
      </c>
      <c r="L159" s="136">
        <v>24.692</v>
      </c>
      <c r="M159" s="136">
        <v>28.446000000000002</v>
      </c>
      <c r="N159" s="136">
        <v>29.966000000000001</v>
      </c>
      <c r="O159" s="136">
        <v>27.863</v>
      </c>
      <c r="P159" s="136">
        <v>27.667999999999999</v>
      </c>
      <c r="Q159" s="136">
        <v>28.6</v>
      </c>
      <c r="R159" s="136">
        <v>29.966000000000001</v>
      </c>
      <c r="S159" s="136">
        <v>32.247</v>
      </c>
      <c r="T159" s="136">
        <v>35.545000000000002</v>
      </c>
      <c r="U159" s="136">
        <v>37.174999999999997</v>
      </c>
      <c r="V159" s="136">
        <v>37.402999999999999</v>
      </c>
      <c r="W159" s="1">
        <v>30.393999999999998</v>
      </c>
      <c r="X159" s="1">
        <v>34.654000000000003</v>
      </c>
    </row>
    <row r="160" spans="1:24" x14ac:dyDescent="0.3">
      <c r="A160" s="1" t="s">
        <v>381</v>
      </c>
      <c r="B160" s="133" t="s">
        <v>382</v>
      </c>
      <c r="C160" s="136">
        <v>2.3220000000000001</v>
      </c>
      <c r="D160" s="136">
        <v>2.1469999999999998</v>
      </c>
      <c r="E160" s="136">
        <v>2.3340000000000001</v>
      </c>
      <c r="F160" s="136">
        <v>2.4500000000000002</v>
      </c>
      <c r="G160" s="136">
        <v>2.4540000000000002</v>
      </c>
      <c r="H160" s="136">
        <v>2.391</v>
      </c>
      <c r="I160" s="136">
        <v>2.2610000000000001</v>
      </c>
      <c r="J160" s="136">
        <v>2.31</v>
      </c>
      <c r="K160" s="136">
        <v>2.3980000000000001</v>
      </c>
      <c r="L160" s="136">
        <v>2.2330000000000001</v>
      </c>
      <c r="M160" s="136">
        <v>2.198</v>
      </c>
      <c r="N160" s="136">
        <v>2.1560000000000001</v>
      </c>
      <c r="O160" s="136">
        <v>1.859</v>
      </c>
      <c r="P160" s="136">
        <v>1.9219999999999999</v>
      </c>
      <c r="Q160" s="136">
        <v>2.04</v>
      </c>
      <c r="R160" s="136">
        <v>2.0499999999999998</v>
      </c>
      <c r="S160" s="136">
        <v>1.905</v>
      </c>
      <c r="T160" s="136">
        <v>1.958</v>
      </c>
      <c r="U160" s="136">
        <v>1.9590000000000001</v>
      </c>
      <c r="V160" s="136">
        <v>1.996</v>
      </c>
      <c r="W160" s="1">
        <v>0.69699999999999995</v>
      </c>
      <c r="X160" s="1">
        <v>0.79600000000000004</v>
      </c>
    </row>
    <row r="161" spans="1:24" x14ac:dyDescent="0.3">
      <c r="A161" s="1" t="s">
        <v>383</v>
      </c>
      <c r="B161" s="133" t="s">
        <v>384</v>
      </c>
      <c r="C161" s="136">
        <v>4.9059999999999997</v>
      </c>
      <c r="D161" s="136">
        <v>5.234</v>
      </c>
      <c r="E161" s="136">
        <v>5.52</v>
      </c>
      <c r="F161" s="136">
        <v>5.4550000000000001</v>
      </c>
      <c r="G161" s="136">
        <v>5.593</v>
      </c>
      <c r="H161" s="136">
        <v>5.718</v>
      </c>
      <c r="I161" s="136">
        <v>5.7960000000000003</v>
      </c>
      <c r="J161" s="136">
        <v>6.0140000000000002</v>
      </c>
      <c r="K161" s="136">
        <v>6.1150000000000002</v>
      </c>
      <c r="L161" s="136">
        <v>5.8959999999999999</v>
      </c>
      <c r="M161" s="136">
        <v>5.9829999999999997</v>
      </c>
      <c r="N161" s="136">
        <v>5.931</v>
      </c>
      <c r="O161" s="136">
        <v>6.1989999999999998</v>
      </c>
      <c r="P161" s="136">
        <v>6.0919999999999996</v>
      </c>
      <c r="Q161" s="136">
        <v>6.15</v>
      </c>
      <c r="R161" s="136">
        <v>6.1840000000000002</v>
      </c>
      <c r="S161" s="136">
        <v>6.694</v>
      </c>
      <c r="T161" s="136">
        <v>6.78</v>
      </c>
      <c r="U161" s="136">
        <v>7.2069999999999999</v>
      </c>
      <c r="V161" s="136">
        <v>7.3579999999999997</v>
      </c>
      <c r="W161" s="1">
        <v>6.71</v>
      </c>
      <c r="X161" s="1">
        <v>6.9279999999999999</v>
      </c>
    </row>
    <row r="162" spans="1:24" x14ac:dyDescent="0.3">
      <c r="A162" s="1" t="s">
        <v>385</v>
      </c>
      <c r="B162" s="133" t="s">
        <v>386</v>
      </c>
      <c r="C162" s="136">
        <v>12.013999999999999</v>
      </c>
      <c r="D162" s="136">
        <v>12.83</v>
      </c>
      <c r="E162" s="136">
        <v>13.585000000000001</v>
      </c>
      <c r="F162" s="136">
        <v>13.579000000000001</v>
      </c>
      <c r="G162" s="136">
        <v>13.875999999999999</v>
      </c>
      <c r="H162" s="136">
        <v>14.243</v>
      </c>
      <c r="I162" s="136">
        <v>14.414</v>
      </c>
      <c r="J162" s="136">
        <v>14.933999999999999</v>
      </c>
      <c r="K162" s="136">
        <v>14.943</v>
      </c>
      <c r="L162" s="136">
        <v>14.006</v>
      </c>
      <c r="M162" s="136">
        <v>13.839</v>
      </c>
      <c r="N162" s="136">
        <v>14.302</v>
      </c>
      <c r="O162" s="136">
        <v>14.467000000000001</v>
      </c>
      <c r="P162" s="136">
        <v>14.145</v>
      </c>
      <c r="Q162" s="136">
        <v>14.311999999999999</v>
      </c>
      <c r="R162" s="136">
        <v>14.567</v>
      </c>
      <c r="S162" s="136">
        <v>15.285</v>
      </c>
      <c r="T162" s="136">
        <v>15.548</v>
      </c>
      <c r="U162" s="136">
        <v>15.875</v>
      </c>
      <c r="V162" s="136">
        <v>16.32</v>
      </c>
      <c r="W162" s="1">
        <v>16.440999999999999</v>
      </c>
      <c r="X162" s="1">
        <v>16.811</v>
      </c>
    </row>
    <row r="163" spans="1:24" x14ac:dyDescent="0.3">
      <c r="A163" s="1" t="s">
        <v>387</v>
      </c>
      <c r="B163" s="133" t="s">
        <v>388</v>
      </c>
      <c r="C163" s="136">
        <v>19.43</v>
      </c>
      <c r="D163" s="136">
        <v>20.795999999999999</v>
      </c>
      <c r="E163" s="136">
        <v>21.890999999999998</v>
      </c>
      <c r="F163" s="136">
        <v>21.677</v>
      </c>
      <c r="G163" s="136">
        <v>22.280999999999999</v>
      </c>
      <c r="H163" s="136">
        <v>22.756</v>
      </c>
      <c r="I163" s="136">
        <v>23.146000000000001</v>
      </c>
      <c r="J163" s="136">
        <v>24.048999999999999</v>
      </c>
      <c r="K163" s="136">
        <v>24.899000000000001</v>
      </c>
      <c r="L163" s="136">
        <v>22.879000000000001</v>
      </c>
      <c r="M163" s="136">
        <v>22.506</v>
      </c>
      <c r="N163" s="136">
        <v>23.434000000000001</v>
      </c>
      <c r="O163" s="136">
        <v>20.981999999999999</v>
      </c>
      <c r="P163" s="136">
        <v>21</v>
      </c>
      <c r="Q163" s="136">
        <v>19.882999999999999</v>
      </c>
      <c r="R163" s="136">
        <v>19.161999999999999</v>
      </c>
      <c r="S163" s="136">
        <v>18.792999999999999</v>
      </c>
      <c r="T163" s="136">
        <v>18.597000000000001</v>
      </c>
      <c r="U163" s="136">
        <v>18.937000000000001</v>
      </c>
      <c r="V163" s="136">
        <v>19.870999999999999</v>
      </c>
      <c r="W163" s="1">
        <v>17.067</v>
      </c>
      <c r="X163" s="1">
        <v>17.401</v>
      </c>
    </row>
    <row r="164" spans="1:24" x14ac:dyDescent="0.3">
      <c r="A164" s="1" t="s">
        <v>213</v>
      </c>
      <c r="B164" s="133" t="s">
        <v>389</v>
      </c>
      <c r="C164" s="136">
        <v>140.702</v>
      </c>
      <c r="D164" s="136">
        <v>141.958</v>
      </c>
      <c r="E164" s="136">
        <v>139.554</v>
      </c>
      <c r="F164" s="136">
        <v>141.00800000000001</v>
      </c>
      <c r="G164" s="136">
        <v>143.41999999999999</v>
      </c>
      <c r="H164" s="136">
        <v>146.11600000000001</v>
      </c>
      <c r="I164" s="136">
        <v>147.61600000000001</v>
      </c>
      <c r="J164" s="136">
        <v>148.702</v>
      </c>
      <c r="K164" s="136">
        <v>148.916</v>
      </c>
      <c r="L164" s="136">
        <v>152.654</v>
      </c>
      <c r="M164" s="136">
        <v>153.43</v>
      </c>
      <c r="N164" s="136">
        <v>154.054</v>
      </c>
      <c r="O164" s="136">
        <v>155.71100000000001</v>
      </c>
      <c r="P164" s="136">
        <v>157.273</v>
      </c>
      <c r="Q164" s="136">
        <v>158.179</v>
      </c>
      <c r="R164" s="136">
        <v>157.38</v>
      </c>
      <c r="S164" s="136">
        <v>157.608</v>
      </c>
      <c r="T164" s="136">
        <v>157.85300000000001</v>
      </c>
      <c r="U164" s="136">
        <v>159.5</v>
      </c>
      <c r="V164" s="136">
        <v>161.572</v>
      </c>
      <c r="W164" s="1">
        <v>157.374</v>
      </c>
      <c r="X164" s="1">
        <v>162.90700000000001</v>
      </c>
    </row>
    <row r="165" spans="1:24" x14ac:dyDescent="0.3">
      <c r="A165" s="1" t="s">
        <v>215</v>
      </c>
      <c r="B165" s="133" t="s">
        <v>390</v>
      </c>
      <c r="C165" s="136">
        <v>102.59699999999999</v>
      </c>
      <c r="D165" s="136">
        <v>103.53700000000001</v>
      </c>
      <c r="E165" s="136">
        <v>102.038</v>
      </c>
      <c r="F165" s="136">
        <v>102.33</v>
      </c>
      <c r="G165" s="136">
        <v>103.316</v>
      </c>
      <c r="H165" s="136">
        <v>102.70399999999999</v>
      </c>
      <c r="I165" s="136">
        <v>102.036</v>
      </c>
      <c r="J165" s="136">
        <v>103.07899999999999</v>
      </c>
      <c r="K165" s="136">
        <v>102.208</v>
      </c>
      <c r="L165" s="136">
        <v>100.687</v>
      </c>
      <c r="M165" s="136">
        <v>100.51900000000001</v>
      </c>
      <c r="N165" s="136">
        <v>101.136</v>
      </c>
      <c r="O165" s="136">
        <v>102.44499999999999</v>
      </c>
      <c r="P165" s="136">
        <v>102.858</v>
      </c>
      <c r="Q165" s="136">
        <v>103.45399999999999</v>
      </c>
      <c r="R165" s="136">
        <v>103.977</v>
      </c>
      <c r="S165" s="136">
        <v>105.425</v>
      </c>
      <c r="T165" s="136">
        <v>106.494</v>
      </c>
      <c r="U165" s="136">
        <v>107.646</v>
      </c>
      <c r="V165" s="136">
        <v>107.509</v>
      </c>
      <c r="W165" s="1">
        <v>100.14700000000001</v>
      </c>
      <c r="X165" s="1">
        <v>106.252</v>
      </c>
    </row>
    <row r="166" spans="1:24" x14ac:dyDescent="0.3">
      <c r="A166" s="1" t="s">
        <v>217</v>
      </c>
      <c r="B166" s="133" t="s">
        <v>391</v>
      </c>
      <c r="C166" s="136">
        <v>84.548000000000002</v>
      </c>
      <c r="D166" s="136">
        <v>86.992999999999995</v>
      </c>
      <c r="E166" s="136">
        <v>89.372</v>
      </c>
      <c r="F166" s="136">
        <v>89.156000000000006</v>
      </c>
      <c r="G166" s="136">
        <v>91.941999999999993</v>
      </c>
      <c r="H166" s="136">
        <v>93.43</v>
      </c>
      <c r="I166" s="136">
        <v>94.227000000000004</v>
      </c>
      <c r="J166" s="136">
        <v>96.138000000000005</v>
      </c>
      <c r="K166" s="136">
        <v>99.802999999999997</v>
      </c>
      <c r="L166" s="136">
        <v>101.92100000000001</v>
      </c>
      <c r="M166" s="136">
        <v>103.871</v>
      </c>
      <c r="N166" s="136">
        <v>107.01900000000001</v>
      </c>
      <c r="O166" s="136">
        <v>109.13</v>
      </c>
      <c r="P166" s="136">
        <v>111.09699999999999</v>
      </c>
      <c r="Q166" s="136">
        <v>113.346</v>
      </c>
      <c r="R166" s="136">
        <v>115.411</v>
      </c>
      <c r="S166" s="136">
        <v>118.477</v>
      </c>
      <c r="T166" s="136">
        <v>120.70099999999999</v>
      </c>
      <c r="U166" s="136">
        <v>121.164</v>
      </c>
      <c r="V166" s="136">
        <v>121.55800000000001</v>
      </c>
      <c r="W166" s="1">
        <v>110.402</v>
      </c>
      <c r="X166" s="1">
        <v>123.636</v>
      </c>
    </row>
    <row r="167" spans="1:24" x14ac:dyDescent="0.3">
      <c r="A167" s="1" t="s">
        <v>219</v>
      </c>
      <c r="B167" s="133" t="s">
        <v>392</v>
      </c>
      <c r="C167" s="136">
        <v>46.338000000000001</v>
      </c>
      <c r="D167" s="136">
        <v>47.500999999999998</v>
      </c>
      <c r="E167" s="136">
        <v>50.694000000000003</v>
      </c>
      <c r="F167" s="136">
        <v>51.460999999999999</v>
      </c>
      <c r="G167" s="136">
        <v>52.978000000000002</v>
      </c>
      <c r="H167" s="136">
        <v>53.048000000000002</v>
      </c>
      <c r="I167" s="136">
        <v>58.03</v>
      </c>
      <c r="J167" s="136">
        <v>57.932000000000002</v>
      </c>
      <c r="K167" s="136">
        <v>59.018999999999998</v>
      </c>
      <c r="L167" s="136">
        <v>60.033999999999999</v>
      </c>
      <c r="M167" s="136">
        <v>61.247</v>
      </c>
      <c r="N167" s="136">
        <v>62.639000000000003</v>
      </c>
      <c r="O167" s="136">
        <v>63.518000000000001</v>
      </c>
      <c r="P167" s="136">
        <v>64.162000000000006</v>
      </c>
      <c r="Q167" s="136">
        <v>64.724999999999994</v>
      </c>
      <c r="R167" s="136">
        <v>64.358000000000004</v>
      </c>
      <c r="S167" s="136">
        <v>64.364999999999995</v>
      </c>
      <c r="T167" s="136">
        <v>65.328999999999994</v>
      </c>
      <c r="U167" s="136">
        <v>65.194000000000003</v>
      </c>
      <c r="V167" s="136">
        <v>65.391000000000005</v>
      </c>
      <c r="W167" s="1">
        <v>61.988</v>
      </c>
      <c r="X167" s="1">
        <v>63.834000000000003</v>
      </c>
    </row>
    <row r="168" spans="1:24" x14ac:dyDescent="0.3">
      <c r="A168" s="1" t="s">
        <v>393</v>
      </c>
      <c r="B168" s="133" t="s">
        <v>394</v>
      </c>
      <c r="C168" s="136">
        <v>23.611000000000001</v>
      </c>
      <c r="D168" s="136">
        <v>23.901</v>
      </c>
      <c r="E168" s="136">
        <v>25.42</v>
      </c>
      <c r="F168" s="136">
        <v>26.042000000000002</v>
      </c>
      <c r="G168" s="136">
        <v>26.818000000000001</v>
      </c>
      <c r="H168" s="136">
        <v>26.850999999999999</v>
      </c>
      <c r="I168" s="136">
        <v>30.295000000000002</v>
      </c>
      <c r="J168" s="136">
        <v>29.672999999999998</v>
      </c>
      <c r="K168" s="136">
        <v>29.538</v>
      </c>
      <c r="L168" s="136">
        <v>29.818000000000001</v>
      </c>
      <c r="M168" s="136">
        <v>30.475999999999999</v>
      </c>
      <c r="N168" s="136">
        <v>31.295999999999999</v>
      </c>
      <c r="O168" s="136">
        <v>31.797999999999998</v>
      </c>
      <c r="P168" s="136">
        <v>32.039000000000001</v>
      </c>
      <c r="Q168" s="136">
        <v>32.521000000000001</v>
      </c>
      <c r="R168" s="136">
        <v>32.402000000000001</v>
      </c>
      <c r="S168" s="136">
        <v>32.692999999999998</v>
      </c>
      <c r="T168" s="136">
        <v>33.402999999999999</v>
      </c>
      <c r="U168" s="136">
        <v>33.329000000000001</v>
      </c>
      <c r="V168" s="136">
        <v>33.515999999999998</v>
      </c>
      <c r="W168" s="1">
        <v>32.701999999999998</v>
      </c>
      <c r="X168" s="1">
        <v>32.319000000000003</v>
      </c>
    </row>
    <row r="169" spans="1:24" x14ac:dyDescent="0.3">
      <c r="A169" s="1" t="s">
        <v>395</v>
      </c>
      <c r="B169" s="133" t="s">
        <v>396</v>
      </c>
      <c r="C169" s="136">
        <v>22.765999999999998</v>
      </c>
      <c r="D169" s="136">
        <v>23.626000000000001</v>
      </c>
      <c r="E169" s="136">
        <v>25.298999999999999</v>
      </c>
      <c r="F169" s="136">
        <v>25.46</v>
      </c>
      <c r="G169" s="136">
        <v>26.202000000000002</v>
      </c>
      <c r="H169" s="136">
        <v>26.238</v>
      </c>
      <c r="I169" s="136">
        <v>27.823</v>
      </c>
      <c r="J169" s="136">
        <v>28.303999999999998</v>
      </c>
      <c r="K169" s="136">
        <v>29.491</v>
      </c>
      <c r="L169" s="136">
        <v>30.213000000000001</v>
      </c>
      <c r="M169" s="136">
        <v>30.768999999999998</v>
      </c>
      <c r="N169" s="136">
        <v>31.344000000000001</v>
      </c>
      <c r="O169" s="136">
        <v>31.722000000000001</v>
      </c>
      <c r="P169" s="136">
        <v>32.124000000000002</v>
      </c>
      <c r="Q169" s="136">
        <v>32.204999999999998</v>
      </c>
      <c r="R169" s="136">
        <v>31.957000000000001</v>
      </c>
      <c r="S169" s="136">
        <v>31.67</v>
      </c>
      <c r="T169" s="136">
        <v>31.922000000000001</v>
      </c>
      <c r="U169" s="136">
        <v>31.86</v>
      </c>
      <c r="V169" s="136">
        <v>31.869</v>
      </c>
      <c r="W169" s="1">
        <v>29.260999999999999</v>
      </c>
      <c r="X169" s="1">
        <v>31.550999999999998</v>
      </c>
    </row>
    <row r="170" spans="1:24" x14ac:dyDescent="0.3">
      <c r="A170" s="1" t="s">
        <v>205</v>
      </c>
      <c r="B170" s="133" t="s">
        <v>397</v>
      </c>
      <c r="C170" s="136">
        <v>18.263999999999999</v>
      </c>
      <c r="D170" s="136">
        <v>19.841000000000001</v>
      </c>
      <c r="E170" s="136">
        <v>21.669</v>
      </c>
      <c r="F170" s="136">
        <v>22.937000000000001</v>
      </c>
      <c r="G170" s="136">
        <v>22.858000000000001</v>
      </c>
      <c r="H170" s="136">
        <v>23.35</v>
      </c>
      <c r="I170" s="136">
        <v>24.103000000000002</v>
      </c>
      <c r="J170" s="136">
        <v>24.565000000000001</v>
      </c>
      <c r="K170" s="136">
        <v>25.603000000000002</v>
      </c>
      <c r="L170" s="136">
        <v>25.859000000000002</v>
      </c>
      <c r="M170" s="136">
        <v>26.641999999999999</v>
      </c>
      <c r="N170" s="136">
        <v>26.556000000000001</v>
      </c>
      <c r="O170" s="136">
        <v>26.344999999999999</v>
      </c>
      <c r="P170" s="136">
        <v>26.826000000000001</v>
      </c>
      <c r="Q170" s="136">
        <v>27.183</v>
      </c>
      <c r="R170" s="136">
        <v>27.422999999999998</v>
      </c>
      <c r="S170" s="136">
        <v>27.614000000000001</v>
      </c>
      <c r="T170" s="136">
        <v>28.344000000000001</v>
      </c>
      <c r="U170" s="136">
        <v>29.584</v>
      </c>
      <c r="V170" s="136">
        <v>30.768000000000001</v>
      </c>
      <c r="W170" s="1">
        <v>18.597000000000001</v>
      </c>
      <c r="X170" s="1">
        <v>21.963999999999999</v>
      </c>
    </row>
    <row r="171" spans="1:24" x14ac:dyDescent="0.3">
      <c r="A171" s="1" t="s">
        <v>398</v>
      </c>
      <c r="B171" s="133" t="s">
        <v>399</v>
      </c>
      <c r="C171" s="136">
        <v>7.0490000000000004</v>
      </c>
      <c r="D171" s="136">
        <v>7.6929999999999996</v>
      </c>
      <c r="E171" s="136">
        <v>8.6010000000000009</v>
      </c>
      <c r="F171" s="136">
        <v>9.0220000000000002</v>
      </c>
      <c r="G171" s="136">
        <v>9.0310000000000006</v>
      </c>
      <c r="H171" s="136">
        <v>9.2309999999999999</v>
      </c>
      <c r="I171" s="136">
        <v>9.5640000000000001</v>
      </c>
      <c r="J171" s="136">
        <v>9.343</v>
      </c>
      <c r="K171" s="136">
        <v>9.2889999999999997</v>
      </c>
      <c r="L171" s="136">
        <v>9.3089999999999993</v>
      </c>
      <c r="M171" s="136">
        <v>9.4909999999999997</v>
      </c>
      <c r="N171" s="136">
        <v>9.1159999999999997</v>
      </c>
      <c r="O171" s="136">
        <v>9.1</v>
      </c>
      <c r="P171" s="136">
        <v>9.1280000000000001</v>
      </c>
      <c r="Q171" s="136">
        <v>9.3620000000000001</v>
      </c>
      <c r="R171" s="136">
        <v>9.3559999999999999</v>
      </c>
      <c r="S171" s="136">
        <v>9.2669999999999995</v>
      </c>
      <c r="T171" s="136">
        <v>9.5210000000000008</v>
      </c>
      <c r="U171" s="136">
        <v>9.6229999999999993</v>
      </c>
      <c r="V171" s="136">
        <v>9.9250000000000007</v>
      </c>
      <c r="W171" s="1">
        <v>6.9589999999999996</v>
      </c>
      <c r="X171" s="1">
        <v>8.734</v>
      </c>
    </row>
    <row r="172" spans="1:24" x14ac:dyDescent="0.3">
      <c r="A172" s="1" t="s">
        <v>400</v>
      </c>
      <c r="B172" s="133" t="s">
        <v>401</v>
      </c>
      <c r="C172" s="136">
        <v>1.964</v>
      </c>
      <c r="D172" s="136">
        <v>2.073</v>
      </c>
      <c r="E172" s="136">
        <v>2.2250000000000001</v>
      </c>
      <c r="F172" s="136">
        <v>2.2850000000000001</v>
      </c>
      <c r="G172" s="136">
        <v>2.3069999999999999</v>
      </c>
      <c r="H172" s="136">
        <v>2.3559999999999999</v>
      </c>
      <c r="I172" s="136">
        <v>2.42</v>
      </c>
      <c r="J172" s="136">
        <v>2.63</v>
      </c>
      <c r="K172" s="136">
        <v>2.7440000000000002</v>
      </c>
      <c r="L172" s="136">
        <v>2.863</v>
      </c>
      <c r="M172" s="136">
        <v>3.1110000000000002</v>
      </c>
      <c r="N172" s="136">
        <v>3.2149999999999999</v>
      </c>
      <c r="O172" s="136">
        <v>3.2749999999999999</v>
      </c>
      <c r="P172" s="136">
        <v>3.3210000000000002</v>
      </c>
      <c r="Q172" s="136">
        <v>3.4039999999999999</v>
      </c>
      <c r="R172" s="136">
        <v>3.45</v>
      </c>
      <c r="S172" s="136">
        <v>3.4380000000000002</v>
      </c>
      <c r="T172" s="136">
        <v>3.5019999999999998</v>
      </c>
      <c r="U172" s="136">
        <v>3.5670000000000002</v>
      </c>
      <c r="V172" s="136">
        <v>3.665</v>
      </c>
      <c r="W172" s="1">
        <v>0.57099999999999995</v>
      </c>
      <c r="X172" s="1">
        <v>0.73699999999999999</v>
      </c>
    </row>
    <row r="173" spans="1:24" x14ac:dyDescent="0.3">
      <c r="A173" s="1" t="s">
        <v>402</v>
      </c>
      <c r="B173" s="133" t="s">
        <v>403</v>
      </c>
      <c r="C173" s="136">
        <v>1.181</v>
      </c>
      <c r="D173" s="136">
        <v>1.28</v>
      </c>
      <c r="E173" s="136">
        <v>1.2869999999999999</v>
      </c>
      <c r="F173" s="136">
        <v>1.4630000000000001</v>
      </c>
      <c r="G173" s="136">
        <v>1.4119999999999999</v>
      </c>
      <c r="H173" s="136">
        <v>1.446</v>
      </c>
      <c r="I173" s="136">
        <v>1.472</v>
      </c>
      <c r="J173" s="136">
        <v>1.494</v>
      </c>
      <c r="K173" s="136">
        <v>2.1459999999999999</v>
      </c>
      <c r="L173" s="136">
        <v>2.3170000000000002</v>
      </c>
      <c r="M173" s="136">
        <v>2.3690000000000002</v>
      </c>
      <c r="N173" s="136">
        <v>2.452</v>
      </c>
      <c r="O173" s="136">
        <v>2.1760000000000002</v>
      </c>
      <c r="P173" s="136">
        <v>1.9419999999999999</v>
      </c>
      <c r="Q173" s="136">
        <v>1.786</v>
      </c>
      <c r="R173" s="136">
        <v>1.899</v>
      </c>
      <c r="S173" s="136">
        <v>1.966</v>
      </c>
      <c r="T173" s="136">
        <v>2.08</v>
      </c>
      <c r="U173" s="136">
        <v>3.03</v>
      </c>
      <c r="V173" s="136">
        <v>3.3769999999999998</v>
      </c>
      <c r="W173" s="1">
        <v>4.0780000000000003</v>
      </c>
      <c r="X173" s="1">
        <v>4.4039999999999999</v>
      </c>
    </row>
    <row r="174" spans="1:24" x14ac:dyDescent="0.3">
      <c r="A174" s="1" t="s">
        <v>404</v>
      </c>
      <c r="B174" s="133" t="s">
        <v>405</v>
      </c>
      <c r="C174" s="136">
        <v>8.2029999999999994</v>
      </c>
      <c r="D174" s="136">
        <v>8.9440000000000008</v>
      </c>
      <c r="E174" s="136">
        <v>9.7590000000000003</v>
      </c>
      <c r="F174" s="136">
        <v>10.348000000000001</v>
      </c>
      <c r="G174" s="136">
        <v>10.3</v>
      </c>
      <c r="H174" s="136">
        <v>10.513</v>
      </c>
      <c r="I174" s="136">
        <v>10.855</v>
      </c>
      <c r="J174" s="136">
        <v>11.316000000000001</v>
      </c>
      <c r="K174" s="136">
        <v>11.474</v>
      </c>
      <c r="L174" s="136">
        <v>11.429</v>
      </c>
      <c r="M174" s="136">
        <v>11.724</v>
      </c>
      <c r="N174" s="136">
        <v>11.847</v>
      </c>
      <c r="O174" s="136">
        <v>11.821</v>
      </c>
      <c r="P174" s="136">
        <v>12.44</v>
      </c>
      <c r="Q174" s="136">
        <v>12.632</v>
      </c>
      <c r="R174" s="136">
        <v>12.718999999999999</v>
      </c>
      <c r="S174" s="136">
        <v>12.942</v>
      </c>
      <c r="T174" s="136">
        <v>13.247999999999999</v>
      </c>
      <c r="U174" s="136">
        <v>13.464</v>
      </c>
      <c r="V174" s="136">
        <v>13.946</v>
      </c>
      <c r="W174" s="1">
        <v>7.4859999999999998</v>
      </c>
      <c r="X174" s="1">
        <v>8.4250000000000007</v>
      </c>
    </row>
    <row r="175" spans="1:24" x14ac:dyDescent="0.3">
      <c r="A175" s="1" t="s">
        <v>207</v>
      </c>
      <c r="B175" s="133" t="s">
        <v>406</v>
      </c>
      <c r="C175" s="136">
        <v>25.364999999999998</v>
      </c>
      <c r="D175" s="136">
        <v>25.494</v>
      </c>
      <c r="E175" s="136">
        <v>24.713000000000001</v>
      </c>
      <c r="F175" s="136">
        <v>24.844000000000001</v>
      </c>
      <c r="G175" s="136">
        <v>25.827000000000002</v>
      </c>
      <c r="H175" s="136">
        <v>26.132999999999999</v>
      </c>
      <c r="I175" s="136">
        <v>27.004000000000001</v>
      </c>
      <c r="J175" s="136">
        <v>27.646999999999998</v>
      </c>
      <c r="K175" s="136">
        <v>28.28</v>
      </c>
      <c r="L175" s="136">
        <v>27.827000000000002</v>
      </c>
      <c r="M175" s="136">
        <v>28.713000000000001</v>
      </c>
      <c r="N175" s="136">
        <v>27.988</v>
      </c>
      <c r="O175" s="136">
        <v>28.181999999999999</v>
      </c>
      <c r="P175" s="136">
        <v>27.832999999999998</v>
      </c>
      <c r="Q175" s="136">
        <v>27.475000000000001</v>
      </c>
      <c r="R175" s="136">
        <v>26.704000000000001</v>
      </c>
      <c r="S175" s="136">
        <v>26.53</v>
      </c>
      <c r="T175" s="136">
        <v>26.690999999999999</v>
      </c>
      <c r="U175" s="136">
        <v>26.594999999999999</v>
      </c>
      <c r="V175" s="136">
        <v>26.783999999999999</v>
      </c>
      <c r="W175" s="1">
        <v>23.167000000000002</v>
      </c>
      <c r="X175" s="1">
        <v>24.934999999999999</v>
      </c>
    </row>
    <row r="176" spans="1:24" x14ac:dyDescent="0.3">
      <c r="A176" s="1" t="s">
        <v>407</v>
      </c>
      <c r="B176" s="133" t="s">
        <v>408</v>
      </c>
      <c r="C176" s="136">
        <v>7.94</v>
      </c>
      <c r="D176" s="136">
        <v>7.694</v>
      </c>
      <c r="E176" s="136">
        <v>6.82</v>
      </c>
      <c r="F176" s="136">
        <v>6.9039999999999999</v>
      </c>
      <c r="G176" s="136">
        <v>7.2309999999999999</v>
      </c>
      <c r="H176" s="136">
        <v>7.5679999999999996</v>
      </c>
      <c r="I176" s="136">
        <v>7.84</v>
      </c>
      <c r="J176" s="136">
        <v>7.9059999999999997</v>
      </c>
      <c r="K176" s="136">
        <v>8.1999999999999993</v>
      </c>
      <c r="L176" s="136">
        <v>8.8719999999999999</v>
      </c>
      <c r="M176" s="136">
        <v>9.9689999999999994</v>
      </c>
      <c r="N176" s="136">
        <v>10.272</v>
      </c>
      <c r="O176" s="136">
        <v>10.244</v>
      </c>
      <c r="P176" s="136">
        <v>10.218</v>
      </c>
      <c r="Q176" s="136">
        <v>10.256</v>
      </c>
      <c r="R176" s="136">
        <v>10.32</v>
      </c>
      <c r="S176" s="136">
        <v>10.41</v>
      </c>
      <c r="T176" s="136">
        <v>10.648</v>
      </c>
      <c r="U176" s="136">
        <v>10.705</v>
      </c>
      <c r="V176" s="136">
        <v>10.762</v>
      </c>
      <c r="W176" s="1">
        <v>10.284000000000001</v>
      </c>
      <c r="X176" s="1">
        <v>11.090999999999999</v>
      </c>
    </row>
    <row r="177" spans="1:24" x14ac:dyDescent="0.3">
      <c r="A177" s="1" t="s">
        <v>409</v>
      </c>
      <c r="B177" s="133" t="s">
        <v>410</v>
      </c>
      <c r="C177" s="136">
        <v>5.8209999999999997</v>
      </c>
      <c r="D177" s="136">
        <v>5.8</v>
      </c>
      <c r="E177" s="136">
        <v>5.8620000000000001</v>
      </c>
      <c r="F177" s="136">
        <v>5.9649999999999999</v>
      </c>
      <c r="G177" s="136">
        <v>6.415</v>
      </c>
      <c r="H177" s="136">
        <v>6.484</v>
      </c>
      <c r="I177" s="136">
        <v>6.899</v>
      </c>
      <c r="J177" s="136">
        <v>7.2290000000000001</v>
      </c>
      <c r="K177" s="136">
        <v>7.5259999999999998</v>
      </c>
      <c r="L177" s="136">
        <v>6.5540000000000003</v>
      </c>
      <c r="M177" s="136">
        <v>5.8479999999999999</v>
      </c>
      <c r="N177" s="136">
        <v>5.7389999999999999</v>
      </c>
      <c r="O177" s="136">
        <v>5.6210000000000004</v>
      </c>
      <c r="P177" s="136">
        <v>5.2549999999999999</v>
      </c>
      <c r="Q177" s="136">
        <v>5.03</v>
      </c>
      <c r="R177" s="136">
        <v>4.6120000000000001</v>
      </c>
      <c r="S177" s="136">
        <v>4.5119999999999996</v>
      </c>
      <c r="T177" s="136">
        <v>4.7489999999999997</v>
      </c>
      <c r="U177" s="136">
        <v>4.6550000000000002</v>
      </c>
      <c r="V177" s="136">
        <v>4.6539999999999999</v>
      </c>
      <c r="W177" s="1">
        <v>4.1740000000000004</v>
      </c>
      <c r="X177" s="1">
        <v>4.4669999999999996</v>
      </c>
    </row>
    <row r="178" spans="1:24" x14ac:dyDescent="0.3">
      <c r="A178" s="1" t="s">
        <v>411</v>
      </c>
      <c r="B178" s="133" t="s">
        <v>412</v>
      </c>
      <c r="C178" s="136">
        <v>11.87</v>
      </c>
      <c r="D178" s="136">
        <v>12.345000000000001</v>
      </c>
      <c r="E178" s="136">
        <v>12.461</v>
      </c>
      <c r="F178" s="136">
        <v>12.38</v>
      </c>
      <c r="G178" s="136">
        <v>12.567</v>
      </c>
      <c r="H178" s="136">
        <v>12.401</v>
      </c>
      <c r="I178" s="136">
        <v>12.590999999999999</v>
      </c>
      <c r="J178" s="136">
        <v>12.878</v>
      </c>
      <c r="K178" s="136">
        <v>12.914999999999999</v>
      </c>
      <c r="L178" s="136">
        <v>12.558999999999999</v>
      </c>
      <c r="M178" s="136">
        <v>12.906000000000001</v>
      </c>
      <c r="N178" s="136">
        <v>11.994999999999999</v>
      </c>
      <c r="O178" s="136">
        <v>12.326000000000001</v>
      </c>
      <c r="P178" s="136">
        <v>12.36</v>
      </c>
      <c r="Q178" s="136">
        <v>12.189</v>
      </c>
      <c r="R178" s="136">
        <v>11.772</v>
      </c>
      <c r="S178" s="136">
        <v>11.61</v>
      </c>
      <c r="T178" s="136">
        <v>11.294</v>
      </c>
      <c r="U178" s="136">
        <v>11.238</v>
      </c>
      <c r="V178" s="136">
        <v>11.371</v>
      </c>
      <c r="W178" s="1">
        <v>8.7469999999999999</v>
      </c>
      <c r="X178" s="1">
        <v>9.4190000000000005</v>
      </c>
    </row>
    <row r="179" spans="1:24" x14ac:dyDescent="0.3">
      <c r="A179" s="1" t="s">
        <v>209</v>
      </c>
      <c r="B179" s="133" t="s">
        <v>413</v>
      </c>
      <c r="C179" s="136">
        <v>3.536</v>
      </c>
      <c r="D179" s="136">
        <v>3.5739999999999998</v>
      </c>
      <c r="E179" s="136">
        <v>3.7890000000000001</v>
      </c>
      <c r="F179" s="136">
        <v>3.9649999999999999</v>
      </c>
      <c r="G179" s="136">
        <v>4.05</v>
      </c>
      <c r="H179" s="136">
        <v>4.0170000000000003</v>
      </c>
      <c r="I179" s="136">
        <v>4.0250000000000004</v>
      </c>
      <c r="J179" s="136">
        <v>4.0350000000000001</v>
      </c>
      <c r="K179" s="136">
        <v>4.16</v>
      </c>
      <c r="L179" s="136">
        <v>4.1420000000000003</v>
      </c>
      <c r="M179" s="136">
        <v>4.1559999999999997</v>
      </c>
      <c r="N179" s="136">
        <v>4.04</v>
      </c>
      <c r="O179" s="136">
        <v>3.9009999999999998</v>
      </c>
      <c r="P179" s="136">
        <v>3.718</v>
      </c>
      <c r="Q179" s="136">
        <v>3.6030000000000002</v>
      </c>
      <c r="R179" s="136">
        <v>3.5139999999999998</v>
      </c>
      <c r="S179" s="136">
        <v>3.5659999999999998</v>
      </c>
      <c r="T179" s="136">
        <v>3.5539999999999998</v>
      </c>
      <c r="U179" s="136">
        <v>3.4329999999999998</v>
      </c>
      <c r="V179" s="136">
        <v>3.3650000000000002</v>
      </c>
      <c r="W179" s="1">
        <v>2.9529999999999998</v>
      </c>
      <c r="X179" s="1">
        <v>3.2109999999999999</v>
      </c>
    </row>
    <row r="180" spans="1:24" x14ac:dyDescent="0.3">
      <c r="A180" s="1" t="s">
        <v>414</v>
      </c>
      <c r="B180" s="133" t="s">
        <v>415</v>
      </c>
      <c r="C180" s="136">
        <v>3.536</v>
      </c>
      <c r="D180" s="136">
        <v>3.5739999999999998</v>
      </c>
      <c r="E180" s="136">
        <v>3.7890000000000001</v>
      </c>
      <c r="F180" s="136">
        <v>3.9649999999999999</v>
      </c>
      <c r="G180" s="136">
        <v>4.05</v>
      </c>
      <c r="H180" s="136">
        <v>4.0170000000000003</v>
      </c>
      <c r="I180" s="136">
        <v>4.0250000000000004</v>
      </c>
      <c r="J180" s="136">
        <v>4.0350000000000001</v>
      </c>
      <c r="K180" s="136">
        <v>4.16</v>
      </c>
      <c r="L180" s="136">
        <v>4.1420000000000003</v>
      </c>
      <c r="M180" s="136">
        <v>4.1559999999999997</v>
      </c>
      <c r="N180" s="136">
        <v>4.04</v>
      </c>
      <c r="O180" s="136">
        <v>3.9009999999999998</v>
      </c>
      <c r="P180" s="136">
        <v>3.718</v>
      </c>
      <c r="Q180" s="136">
        <v>3.6030000000000002</v>
      </c>
      <c r="R180" s="136">
        <v>3.5139999999999998</v>
      </c>
      <c r="S180" s="136">
        <v>3.5659999999999998</v>
      </c>
      <c r="T180" s="136">
        <v>3.5539999999999998</v>
      </c>
      <c r="U180" s="136">
        <v>3.4329999999999998</v>
      </c>
      <c r="V180" s="136">
        <v>3.3650000000000002</v>
      </c>
      <c r="W180" s="1">
        <v>2.9529999999999998</v>
      </c>
      <c r="X180" s="1">
        <v>3.2109999999999999</v>
      </c>
    </row>
    <row r="181" spans="1:24" x14ac:dyDescent="0.3">
      <c r="A181" s="1" t="s">
        <v>85</v>
      </c>
      <c r="B181" s="133" t="s">
        <v>221</v>
      </c>
      <c r="C181" s="136">
        <v>1621.2449999999999</v>
      </c>
      <c r="D181" s="136">
        <v>1653.422</v>
      </c>
      <c r="E181" s="136">
        <v>1671.8510000000001</v>
      </c>
      <c r="F181" s="136">
        <v>1683.7660000000001</v>
      </c>
      <c r="G181" s="136">
        <v>1734.798</v>
      </c>
      <c r="H181" s="136">
        <v>1760.5170000000001</v>
      </c>
      <c r="I181" s="136">
        <v>1804.1310000000001</v>
      </c>
      <c r="J181" s="136">
        <v>1850.1869999999999</v>
      </c>
      <c r="K181" s="136">
        <v>1859.701</v>
      </c>
      <c r="L181" s="136">
        <v>1810.8869999999999</v>
      </c>
      <c r="M181" s="136">
        <v>1842.424</v>
      </c>
      <c r="N181" s="136">
        <v>1883.6690000000001</v>
      </c>
      <c r="O181" s="136">
        <v>1894.309</v>
      </c>
      <c r="P181" s="136">
        <v>1906.0429999999999</v>
      </c>
      <c r="Q181" s="136">
        <v>1927.23</v>
      </c>
      <c r="R181" s="136">
        <v>1944.633</v>
      </c>
      <c r="S181" s="136">
        <v>1963.461</v>
      </c>
      <c r="T181" s="136">
        <v>2006.1780000000001</v>
      </c>
      <c r="U181" s="136">
        <v>2043.9829999999999</v>
      </c>
      <c r="V181" s="136">
        <v>2082.6579999999999</v>
      </c>
      <c r="W181" s="1">
        <v>1926.874</v>
      </c>
      <c r="X181" s="1">
        <v>2044.95</v>
      </c>
    </row>
    <row r="182" spans="1:24" x14ac:dyDescent="0.3">
      <c r="B182" s="133"/>
    </row>
    <row r="183" spans="1:24" x14ac:dyDescent="0.3">
      <c r="B183" s="133" t="s">
        <v>222</v>
      </c>
    </row>
    <row r="184" spans="1:24" x14ac:dyDescent="0.3">
      <c r="B184" s="133"/>
    </row>
    <row r="185" spans="1:24" x14ac:dyDescent="0.3">
      <c r="B185" s="133" t="s">
        <v>223</v>
      </c>
    </row>
    <row r="188" spans="1:24" ht="22.2" x14ac:dyDescent="0.3">
      <c r="B188" s="121" t="s">
        <v>416</v>
      </c>
    </row>
    <row r="189" spans="1:24" x14ac:dyDescent="0.3">
      <c r="H189" s="31" t="s">
        <v>417</v>
      </c>
    </row>
    <row r="190" spans="1:24" x14ac:dyDescent="0.3">
      <c r="B190" s="1" t="s">
        <v>418</v>
      </c>
      <c r="C190" s="122">
        <v>2015</v>
      </c>
      <c r="D190" s="145">
        <v>2016</v>
      </c>
      <c r="E190" s="145">
        <v>2017</v>
      </c>
      <c r="F190" s="145">
        <v>2018</v>
      </c>
      <c r="G190" s="145">
        <v>2019</v>
      </c>
      <c r="H190" s="145">
        <v>2020</v>
      </c>
      <c r="I190" s="1">
        <v>2021</v>
      </c>
    </row>
    <row r="191" spans="1:24" x14ac:dyDescent="0.3">
      <c r="B191" s="124" t="s">
        <v>24</v>
      </c>
      <c r="C191" s="126">
        <f>R5</f>
        <v>25.623999999999999</v>
      </c>
      <c r="D191" s="126">
        <f t="shared" ref="D191:I197" si="15">S5</f>
        <v>26.013999999999999</v>
      </c>
      <c r="E191" s="126">
        <f t="shared" si="15"/>
        <v>26.658000000000001</v>
      </c>
      <c r="F191" s="126">
        <f t="shared" si="15"/>
        <v>25.46</v>
      </c>
      <c r="G191" s="126">
        <f t="shared" si="15"/>
        <v>25.805</v>
      </c>
      <c r="H191" s="126">
        <f t="shared" si="15"/>
        <v>22.829000000000001</v>
      </c>
      <c r="I191" s="126">
        <f t="shared" si="15"/>
        <v>24.457000000000001</v>
      </c>
    </row>
    <row r="192" spans="1:24" x14ac:dyDescent="0.3">
      <c r="B192" s="127" t="s">
        <v>25</v>
      </c>
      <c r="C192" s="126">
        <f t="shared" ref="C192:C197" si="16">R6</f>
        <v>41.414999999999999</v>
      </c>
      <c r="D192" s="126">
        <f t="shared" si="15"/>
        <v>42.558999999999997</v>
      </c>
      <c r="E192" s="126">
        <f t="shared" si="15"/>
        <v>43.824999999999996</v>
      </c>
      <c r="F192" s="126">
        <f t="shared" si="15"/>
        <v>45.193000000000005</v>
      </c>
      <c r="G192" s="126">
        <f t="shared" si="15"/>
        <v>47.174999999999997</v>
      </c>
      <c r="H192" s="126">
        <f t="shared" si="15"/>
        <v>45.88900000000001</v>
      </c>
      <c r="I192" s="126">
        <f t="shared" si="15"/>
        <v>46.328000000000003</v>
      </c>
    </row>
    <row r="193" spans="2:16" x14ac:dyDescent="0.3">
      <c r="B193" s="128" t="s">
        <v>26</v>
      </c>
      <c r="C193" s="126">
        <f t="shared" si="16"/>
        <v>8.0229999999999997</v>
      </c>
      <c r="D193" s="126">
        <f t="shared" si="15"/>
        <v>8.1</v>
      </c>
      <c r="E193" s="126">
        <f t="shared" si="15"/>
        <v>8.2919999999999998</v>
      </c>
      <c r="F193" s="126">
        <f t="shared" si="15"/>
        <v>8.2710000000000008</v>
      </c>
      <c r="G193" s="126">
        <f t="shared" si="15"/>
        <v>8.359</v>
      </c>
      <c r="H193" s="126">
        <f t="shared" si="15"/>
        <v>7.4640000000000004</v>
      </c>
      <c r="I193" s="126">
        <f t="shared" si="15"/>
        <v>8.1720000000000006</v>
      </c>
    </row>
    <row r="194" spans="2:16" x14ac:dyDescent="0.3">
      <c r="B194" s="129" t="s">
        <v>124</v>
      </c>
      <c r="C194" s="126">
        <f t="shared" si="16"/>
        <v>43.508000000000003</v>
      </c>
      <c r="D194" s="126">
        <f t="shared" si="15"/>
        <v>44.673999999999999</v>
      </c>
      <c r="E194" s="126">
        <f t="shared" si="15"/>
        <v>45.484999999999999</v>
      </c>
      <c r="F194" s="126">
        <f t="shared" si="15"/>
        <v>45.279000000000003</v>
      </c>
      <c r="G194" s="126">
        <f t="shared" si="15"/>
        <v>45.597999999999999</v>
      </c>
      <c r="H194" s="126">
        <f t="shared" si="15"/>
        <v>44.088999999999999</v>
      </c>
      <c r="I194" s="126">
        <f t="shared" si="15"/>
        <v>44.859000000000002</v>
      </c>
    </row>
    <row r="195" spans="2:16" x14ac:dyDescent="0.3">
      <c r="B195" s="130" t="s">
        <v>125</v>
      </c>
      <c r="C195" s="126">
        <f t="shared" si="16"/>
        <v>60.172999999999995</v>
      </c>
      <c r="D195" s="126">
        <f t="shared" si="15"/>
        <v>59.025999999999996</v>
      </c>
      <c r="E195" s="126">
        <f t="shared" si="15"/>
        <v>60.472999999999999</v>
      </c>
      <c r="F195" s="126">
        <f t="shared" si="15"/>
        <v>63.185999999999993</v>
      </c>
      <c r="G195" s="126">
        <f t="shared" si="15"/>
        <v>63.614999999999995</v>
      </c>
      <c r="H195" s="126">
        <f t="shared" si="15"/>
        <v>49.807000000000002</v>
      </c>
      <c r="I195" s="126">
        <f t="shared" si="15"/>
        <v>52.09</v>
      </c>
    </row>
    <row r="196" spans="2:16" x14ac:dyDescent="0.3">
      <c r="B196" s="131" t="s">
        <v>31</v>
      </c>
      <c r="C196" s="126">
        <f t="shared" si="16"/>
        <v>109.505</v>
      </c>
      <c r="D196" s="126">
        <f t="shared" si="15"/>
        <v>108.449</v>
      </c>
      <c r="E196" s="126">
        <f t="shared" si="15"/>
        <v>110.801</v>
      </c>
      <c r="F196" s="126">
        <f t="shared" si="15"/>
        <v>111.943</v>
      </c>
      <c r="G196" s="126">
        <f t="shared" si="15"/>
        <v>114.88200000000001</v>
      </c>
      <c r="H196" s="126">
        <f t="shared" si="15"/>
        <v>101.443</v>
      </c>
      <c r="I196" s="126">
        <f t="shared" si="15"/>
        <v>108.227</v>
      </c>
    </row>
    <row r="197" spans="2:16" x14ac:dyDescent="0.3">
      <c r="B197" s="132" t="s">
        <v>29</v>
      </c>
      <c r="C197" s="126">
        <f t="shared" si="16"/>
        <v>23.295999999999999</v>
      </c>
      <c r="D197" s="126">
        <f t="shared" si="15"/>
        <v>23.045999999999999</v>
      </c>
      <c r="E197" s="126">
        <f t="shared" si="15"/>
        <v>23.308</v>
      </c>
      <c r="F197" s="126">
        <f t="shared" si="15"/>
        <v>23.242000000000004</v>
      </c>
      <c r="G197" s="126">
        <f t="shared" si="15"/>
        <v>23.724</v>
      </c>
      <c r="H197" s="126">
        <f t="shared" si="15"/>
        <v>22.257999999999999</v>
      </c>
      <c r="I197" s="126">
        <f t="shared" si="15"/>
        <v>23.780999999999999</v>
      </c>
    </row>
    <row r="198" spans="2:16" x14ac:dyDescent="0.3">
      <c r="B198" s="145" t="s">
        <v>419</v>
      </c>
      <c r="C198" s="146">
        <f t="shared" ref="C198:H198" si="17">SUM(C191:C195,C197)</f>
        <v>202.03899999999999</v>
      </c>
      <c r="D198" s="146">
        <f t="shared" si="17"/>
        <v>203.41899999999998</v>
      </c>
      <c r="E198" s="146">
        <f t="shared" si="17"/>
        <v>208.041</v>
      </c>
      <c r="F198" s="146">
        <f t="shared" si="17"/>
        <v>210.63100000000003</v>
      </c>
      <c r="G198" s="146">
        <f t="shared" si="17"/>
        <v>214.27599999999995</v>
      </c>
      <c r="H198" s="146">
        <f t="shared" si="17"/>
        <v>192.33600000000004</v>
      </c>
      <c r="I198" s="146">
        <f t="shared" ref="I198" si="18">SUM(I191:I195,I197)</f>
        <v>199.68700000000001</v>
      </c>
    </row>
    <row r="199" spans="2:16" x14ac:dyDescent="0.3">
      <c r="B199" s="1" t="s">
        <v>420</v>
      </c>
      <c r="C199" s="115">
        <f t="shared" ref="C199:H199" si="19">C198+C196</f>
        <v>311.54399999999998</v>
      </c>
      <c r="D199" s="115">
        <f t="shared" si="19"/>
        <v>311.86799999999999</v>
      </c>
      <c r="E199" s="115">
        <f t="shared" si="19"/>
        <v>318.84199999999998</v>
      </c>
      <c r="F199" s="115">
        <f t="shared" si="19"/>
        <v>322.57400000000001</v>
      </c>
      <c r="G199" s="115">
        <f t="shared" si="19"/>
        <v>329.15799999999996</v>
      </c>
      <c r="H199" s="115">
        <f t="shared" si="19"/>
        <v>293.77900000000005</v>
      </c>
      <c r="I199" s="115">
        <f t="shared" ref="I199" si="20">I198+I196</f>
        <v>307.91399999999999</v>
      </c>
    </row>
    <row r="201" spans="2:16" x14ac:dyDescent="0.3">
      <c r="C201" s="660" t="s">
        <v>421</v>
      </c>
      <c r="D201" s="660"/>
      <c r="E201" s="660"/>
      <c r="F201" s="660"/>
      <c r="G201" s="660"/>
      <c r="H201" s="660"/>
      <c r="I201" s="660" t="s">
        <v>422</v>
      </c>
      <c r="J201" s="660"/>
      <c r="K201" s="660"/>
      <c r="L201" s="660"/>
      <c r="M201" s="660"/>
      <c r="N201" s="660"/>
      <c r="O201" s="660" t="s">
        <v>423</v>
      </c>
      <c r="P201" s="660"/>
    </row>
    <row r="202" spans="2:16" x14ac:dyDescent="0.3">
      <c r="C202" s="122">
        <v>2015</v>
      </c>
      <c r="D202" s="145">
        <v>2016</v>
      </c>
      <c r="E202" s="145">
        <v>2017</v>
      </c>
      <c r="F202" s="145">
        <v>2018</v>
      </c>
      <c r="G202" s="145">
        <v>2019</v>
      </c>
      <c r="H202" s="145">
        <v>2020</v>
      </c>
      <c r="I202" s="122">
        <v>2015</v>
      </c>
      <c r="J202" s="145">
        <v>2016</v>
      </c>
      <c r="K202" s="145">
        <v>2017</v>
      </c>
      <c r="L202" s="145">
        <v>2018</v>
      </c>
      <c r="M202" s="145">
        <v>2019</v>
      </c>
      <c r="N202" s="145">
        <v>2020</v>
      </c>
      <c r="O202" s="145">
        <v>2015</v>
      </c>
      <c r="P202" s="145">
        <v>2020</v>
      </c>
    </row>
    <row r="203" spans="2:16" x14ac:dyDescent="0.3">
      <c r="B203" s="5" t="s">
        <v>424</v>
      </c>
      <c r="C203" s="8">
        <v>280.8</v>
      </c>
      <c r="D203" s="8">
        <v>281.10000000000002</v>
      </c>
      <c r="E203" s="8">
        <v>282.89999999999998</v>
      </c>
      <c r="F203" s="8">
        <v>288.8</v>
      </c>
      <c r="G203" s="8">
        <v>300.60000000000002</v>
      </c>
      <c r="H203" s="8">
        <v>272</v>
      </c>
      <c r="I203" s="8">
        <f t="shared" ref="I203:N203" si="21">C203*(1-C206)</f>
        <v>279.39600000000002</v>
      </c>
      <c r="J203" s="8">
        <f t="shared" si="21"/>
        <v>279.13230000000004</v>
      </c>
      <c r="K203" s="8">
        <f t="shared" si="21"/>
        <v>277.80779999999999</v>
      </c>
      <c r="L203" s="8">
        <f t="shared" si="21"/>
        <v>278.40320000000003</v>
      </c>
      <c r="M203" s="8">
        <f t="shared" si="21"/>
        <v>286.1712</v>
      </c>
      <c r="N203" s="8">
        <f t="shared" si="21"/>
        <v>257.584</v>
      </c>
      <c r="O203" s="8">
        <v>266.65699999999998</v>
      </c>
      <c r="P203" s="8">
        <v>249.76707351702399</v>
      </c>
    </row>
    <row r="204" spans="2:16" x14ac:dyDescent="0.3">
      <c r="B204" s="5" t="s">
        <v>425</v>
      </c>
      <c r="C204" s="676"/>
      <c r="D204" s="676"/>
      <c r="E204" s="676"/>
      <c r="F204" s="676"/>
      <c r="G204" s="676"/>
      <c r="H204" s="676"/>
      <c r="I204" s="676"/>
      <c r="J204" s="676"/>
      <c r="K204" s="676"/>
      <c r="L204" s="676"/>
      <c r="M204" s="676"/>
      <c r="N204" s="676"/>
      <c r="O204" s="8">
        <v>228.45824189336599</v>
      </c>
      <c r="P204" s="8">
        <v>215.980157747688</v>
      </c>
    </row>
    <row r="205" spans="2:16" x14ac:dyDescent="0.3">
      <c r="B205" s="5" t="s">
        <v>426</v>
      </c>
      <c r="C205" s="8">
        <v>107.9</v>
      </c>
      <c r="D205" s="8">
        <v>108.4</v>
      </c>
      <c r="E205" s="8">
        <v>113.1</v>
      </c>
      <c r="F205" s="8">
        <v>117.4</v>
      </c>
      <c r="G205" s="8">
        <v>124.1</v>
      </c>
      <c r="H205" s="8">
        <v>106.7</v>
      </c>
      <c r="I205" s="8">
        <f t="shared" ref="I205:N205" si="22">C205*(1-C206)</f>
        <v>107.3605</v>
      </c>
      <c r="J205" s="8">
        <f t="shared" si="22"/>
        <v>107.64120000000001</v>
      </c>
      <c r="K205" s="8">
        <f t="shared" si="22"/>
        <v>111.0642</v>
      </c>
      <c r="L205" s="8">
        <f t="shared" si="22"/>
        <v>113.17360000000001</v>
      </c>
      <c r="M205" s="8">
        <f t="shared" si="22"/>
        <v>118.14319999999999</v>
      </c>
      <c r="N205" s="8">
        <f t="shared" si="22"/>
        <v>101.0449</v>
      </c>
      <c r="O205" s="8">
        <v>107.884</v>
      </c>
      <c r="P205" s="8">
        <v>90.720938362229006</v>
      </c>
    </row>
    <row r="206" spans="2:16" x14ac:dyDescent="0.3">
      <c r="B206" s="1" t="s">
        <v>427</v>
      </c>
      <c r="C206" s="21">
        <v>5.0000000000000001E-3</v>
      </c>
      <c r="D206" s="21">
        <v>7.0000000000000001E-3</v>
      </c>
      <c r="E206" s="21">
        <v>1.7999999999999999E-2</v>
      </c>
      <c r="F206" s="21">
        <v>3.5999999999999997E-2</v>
      </c>
      <c r="G206" s="21">
        <v>4.8000000000000001E-2</v>
      </c>
      <c r="H206" s="21">
        <v>5.2999999999999999E-2</v>
      </c>
    </row>
    <row r="207" spans="2:16" hidden="1" x14ac:dyDescent="0.3"/>
    <row r="208" spans="2:16" hidden="1" x14ac:dyDescent="0.3">
      <c r="B208" s="145" t="s">
        <v>428</v>
      </c>
      <c r="C208" s="147">
        <f>AVERAGE(C198/O204,H198/P204)</f>
        <v>0.88744240112244932</v>
      </c>
      <c r="D208" s="21"/>
    </row>
    <row r="209" spans="2:19" hidden="1" x14ac:dyDescent="0.3">
      <c r="B209" s="148" t="s">
        <v>429</v>
      </c>
    </row>
    <row r="210" spans="2:19" hidden="1" x14ac:dyDescent="0.3">
      <c r="C210" s="675" t="s">
        <v>21</v>
      </c>
      <c r="D210" s="675"/>
      <c r="E210" s="675"/>
      <c r="F210" s="675"/>
      <c r="G210" s="675"/>
      <c r="H210" s="675"/>
      <c r="I210" s="675"/>
      <c r="J210" s="675"/>
      <c r="K210" s="675" t="s">
        <v>22</v>
      </c>
      <c r="L210" s="675"/>
      <c r="M210" s="675"/>
      <c r="N210" s="675"/>
      <c r="O210" s="675"/>
      <c r="P210" s="675"/>
      <c r="Q210" s="675"/>
      <c r="R210" s="675"/>
    </row>
    <row r="211" spans="2:19" hidden="1" x14ac:dyDescent="0.3">
      <c r="B211" s="5" t="s">
        <v>102</v>
      </c>
      <c r="C211" s="149">
        <v>2019</v>
      </c>
      <c r="D211" s="149">
        <v>2020</v>
      </c>
      <c r="E211" s="149">
        <v>2025</v>
      </c>
      <c r="F211" s="149">
        <v>2030</v>
      </c>
      <c r="G211" s="149">
        <v>2035</v>
      </c>
      <c r="H211" s="149">
        <v>2040</v>
      </c>
      <c r="I211" s="149">
        <v>2045</v>
      </c>
      <c r="J211" s="149">
        <v>2050</v>
      </c>
      <c r="K211" s="149">
        <v>2019</v>
      </c>
      <c r="L211" s="149">
        <v>2020</v>
      </c>
      <c r="M211" s="149">
        <v>2025</v>
      </c>
      <c r="N211" s="149">
        <v>2030</v>
      </c>
      <c r="O211" s="149">
        <v>2035</v>
      </c>
      <c r="P211" s="149">
        <v>2040</v>
      </c>
      <c r="Q211" s="149">
        <v>2045</v>
      </c>
      <c r="R211" s="149">
        <v>2050</v>
      </c>
    </row>
    <row r="212" spans="2:19" hidden="1" x14ac:dyDescent="0.3">
      <c r="B212" s="5" t="s">
        <v>430</v>
      </c>
      <c r="C212" s="8">
        <v>263.79228045364903</v>
      </c>
      <c r="D212" s="8">
        <v>235.2055540394</v>
      </c>
      <c r="E212" s="8">
        <v>239.72749600556401</v>
      </c>
      <c r="F212" s="8">
        <v>244.929728371327</v>
      </c>
      <c r="G212" s="8">
        <v>253.551684281391</v>
      </c>
      <c r="H212" s="8">
        <v>268.05452538604999</v>
      </c>
      <c r="I212" s="8">
        <v>286.30709288620301</v>
      </c>
      <c r="J212" s="8">
        <v>305.76299601141397</v>
      </c>
      <c r="K212" s="8">
        <v>263.79228045364903</v>
      </c>
      <c r="L212" s="8">
        <v>235.205554039399</v>
      </c>
      <c r="M212" s="8">
        <v>253.79982776162501</v>
      </c>
      <c r="N212" s="8">
        <v>263.91920734506499</v>
      </c>
      <c r="O212" s="8">
        <v>277.19107422381597</v>
      </c>
      <c r="P212" s="8">
        <v>297.87313484072303</v>
      </c>
      <c r="Q212" s="8">
        <v>322.67523786659001</v>
      </c>
      <c r="R212" s="8">
        <v>348.33878171553903</v>
      </c>
      <c r="S212" s="1" t="s">
        <v>431</v>
      </c>
    </row>
    <row r="213" spans="2:19" hidden="1" x14ac:dyDescent="0.3">
      <c r="B213" s="5" t="s">
        <v>432</v>
      </c>
      <c r="C213" s="8">
        <f t="shared" ref="C213:R213" si="23">C212*$C208</f>
        <v>234.10045476335284</v>
      </c>
      <c r="D213" s="8">
        <f t="shared" si="23"/>
        <v>208.73138163406114</v>
      </c>
      <c r="E213" s="8">
        <f t="shared" si="23"/>
        <v>212.74434467025009</v>
      </c>
      <c r="F213" s="8">
        <f t="shared" si="23"/>
        <v>217.36102625211973</v>
      </c>
      <c r="G213" s="8">
        <f t="shared" si="23"/>
        <v>225.01251550731882</v>
      </c>
      <c r="H213" s="8">
        <f t="shared" si="23"/>
        <v>237.88295164033474</v>
      </c>
      <c r="I213" s="8">
        <f t="shared" si="23"/>
        <v>254.08105396932012</v>
      </c>
      <c r="J213" s="8">
        <f t="shared" si="23"/>
        <v>271.34704735476311</v>
      </c>
      <c r="K213" s="8">
        <f t="shared" si="23"/>
        <v>234.10045476335284</v>
      </c>
      <c r="L213" s="8">
        <f t="shared" si="23"/>
        <v>208.73138163406026</v>
      </c>
      <c r="M213" s="8">
        <f t="shared" si="23"/>
        <v>225.23272855324058</v>
      </c>
      <c r="N213" s="8">
        <f t="shared" si="23"/>
        <v>234.21309506863804</v>
      </c>
      <c r="O213" s="8">
        <f t="shared" si="23"/>
        <v>245.99111247889431</v>
      </c>
      <c r="P213" s="8">
        <f t="shared" si="23"/>
        <v>264.34525001292235</v>
      </c>
      <c r="Q213" s="8">
        <f t="shared" si="23"/>
        <v>286.35568787508413</v>
      </c>
      <c r="R213" s="8">
        <f t="shared" si="23"/>
        <v>309.13060484970669</v>
      </c>
    </row>
    <row r="214" spans="2:19" hidden="1" x14ac:dyDescent="0.3">
      <c r="B214" s="5" t="s">
        <v>433</v>
      </c>
      <c r="C214" s="8">
        <v>124.1</v>
      </c>
      <c r="D214" s="8">
        <v>106.7</v>
      </c>
      <c r="E214" s="8">
        <v>113.993023633184</v>
      </c>
      <c r="F214" s="8">
        <v>116.16592190119</v>
      </c>
      <c r="G214" s="8">
        <v>119.77244944755</v>
      </c>
      <c r="H214" s="8">
        <v>124.913474627238</v>
      </c>
      <c r="I214" s="8">
        <v>131.700686828946</v>
      </c>
      <c r="J214" s="8">
        <v>139.093521731273</v>
      </c>
      <c r="K214" s="8">
        <v>124.1</v>
      </c>
      <c r="L214" s="8">
        <v>106.7</v>
      </c>
      <c r="M214" s="8">
        <v>113.993023633183</v>
      </c>
      <c r="N214" s="8">
        <v>116.16592190119</v>
      </c>
      <c r="O214" s="8">
        <v>119.772449447551</v>
      </c>
      <c r="P214" s="8">
        <v>124.913474627238</v>
      </c>
      <c r="Q214" s="8">
        <v>131.700686828946</v>
      </c>
      <c r="R214" s="8">
        <v>139.093521731273</v>
      </c>
    </row>
    <row r="215" spans="2:19" ht="15" hidden="1" customHeight="1" x14ac:dyDescent="0.3"/>
    <row r="216" spans="2:19" hidden="1" x14ac:dyDescent="0.3"/>
  </sheetData>
  <mergeCells count="7">
    <mergeCell ref="C210:J210"/>
    <mergeCell ref="K210:R210"/>
    <mergeCell ref="C201:H201"/>
    <mergeCell ref="I201:N201"/>
    <mergeCell ref="O201:P201"/>
    <mergeCell ref="C204:H204"/>
    <mergeCell ref="I204:N204"/>
  </mergeCells>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Roman,Normal"&amp;12&amp;A</oddHeader>
    <oddFooter>&amp;C&amp;"Times New Roman,Normal"&amp;12Page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2F5597"/>
  </sheetPr>
  <dimension ref="A1:AMK250"/>
  <sheetViews>
    <sheetView topLeftCell="Q118" zoomScale="70" zoomScaleNormal="70" workbookViewId="0">
      <selection activeCell="Y128" sqref="Y128"/>
    </sheetView>
  </sheetViews>
  <sheetFormatPr baseColWidth="10" defaultColWidth="8.6640625" defaultRowHeight="14.4" x14ac:dyDescent="0.3"/>
  <cols>
    <col min="1" max="1" width="8.6640625" style="38" customWidth="1"/>
    <col min="2" max="2" width="10.44140625" style="1" customWidth="1"/>
    <col min="3" max="3" width="40.33203125" style="1" customWidth="1"/>
    <col min="4" max="18" width="10.44140625" style="1" customWidth="1"/>
    <col min="19" max="19" width="45.44140625" style="1" customWidth="1"/>
    <col min="20" max="20" width="10.44140625" style="1" customWidth="1"/>
    <col min="21" max="21" width="23" style="1" customWidth="1"/>
    <col min="22" max="22" width="53.33203125" style="1" customWidth="1"/>
    <col min="23" max="40" width="10.44140625" style="1" customWidth="1"/>
    <col min="41" max="41" width="31.33203125" style="1" customWidth="1"/>
    <col min="42" max="42" width="37.5546875" style="1" customWidth="1"/>
    <col min="43" max="43" width="6.5546875" style="1" customWidth="1"/>
    <col min="44" max="1025" width="10.44140625" style="1" customWidth="1"/>
  </cols>
  <sheetData>
    <row r="1" spans="3:47" x14ac:dyDescent="0.3">
      <c r="U1" s="150"/>
    </row>
    <row r="2" spans="3:47" x14ac:dyDescent="0.3">
      <c r="C2" s="678" t="s">
        <v>434</v>
      </c>
      <c r="D2" s="678"/>
      <c r="E2" s="678"/>
      <c r="F2" s="678"/>
      <c r="G2" s="678"/>
      <c r="H2" s="678"/>
      <c r="I2" s="678"/>
      <c r="J2" s="678"/>
      <c r="K2" s="678"/>
      <c r="L2" s="678"/>
      <c r="M2" s="678"/>
      <c r="N2" s="678"/>
      <c r="O2" s="678"/>
      <c r="P2" s="678"/>
      <c r="Q2" s="678"/>
      <c r="R2" s="678"/>
      <c r="S2" s="678"/>
      <c r="T2" s="678"/>
      <c r="U2" s="678"/>
      <c r="V2" s="678"/>
      <c r="W2" s="678"/>
      <c r="X2" s="678"/>
      <c r="Y2" s="678"/>
      <c r="Z2" s="678"/>
      <c r="AA2" s="678"/>
      <c r="AB2" s="678"/>
      <c r="AC2" s="678"/>
      <c r="AD2" s="678"/>
      <c r="AE2" s="678"/>
      <c r="AF2" s="678"/>
      <c r="AG2" s="678"/>
      <c r="AH2" s="678"/>
      <c r="AI2" s="678"/>
      <c r="AJ2" s="678"/>
      <c r="AK2" s="678"/>
      <c r="AL2" s="678"/>
      <c r="AM2" s="678"/>
    </row>
    <row r="4" spans="3:47" x14ac:dyDescent="0.3">
      <c r="C4" s="151" t="s">
        <v>435</v>
      </c>
      <c r="U4" s="151" t="s">
        <v>436</v>
      </c>
      <c r="V4" s="151"/>
      <c r="W4" s="151"/>
      <c r="X4" s="151"/>
      <c r="Y4" s="151"/>
      <c r="Z4" s="151"/>
      <c r="AA4" s="151"/>
      <c r="AB4" s="151"/>
      <c r="AC4" s="151"/>
      <c r="AD4" s="151"/>
      <c r="AE4" s="151"/>
      <c r="AF4" s="151"/>
      <c r="AG4" s="151"/>
      <c r="AH4" s="151"/>
      <c r="AI4" s="151"/>
      <c r="AJ4" s="151"/>
      <c r="AK4" s="151"/>
      <c r="AL4" s="151"/>
    </row>
    <row r="8" spans="3:47" x14ac:dyDescent="0.3">
      <c r="C8" s="679">
        <v>2019</v>
      </c>
      <c r="D8" s="679"/>
      <c r="E8" s="679"/>
      <c r="F8" s="679"/>
      <c r="G8" s="679"/>
      <c r="H8" s="679"/>
      <c r="I8" s="679"/>
      <c r="J8" s="679"/>
      <c r="K8" s="679"/>
      <c r="L8" s="679"/>
      <c r="M8" s="679"/>
      <c r="N8" s="679"/>
      <c r="O8" s="679"/>
      <c r="P8" s="679"/>
      <c r="Q8" s="679"/>
      <c r="R8" s="679"/>
      <c r="V8" s="680">
        <v>2019</v>
      </c>
      <c r="W8" s="680"/>
      <c r="X8" s="680"/>
      <c r="Y8" s="680"/>
      <c r="Z8" s="680"/>
      <c r="AA8" s="680"/>
      <c r="AB8" s="680"/>
      <c r="AC8" s="680"/>
      <c r="AD8" s="680"/>
      <c r="AE8" s="680"/>
      <c r="AF8" s="680"/>
      <c r="AG8" s="680"/>
      <c r="AH8" s="680"/>
      <c r="AI8" s="680"/>
      <c r="AJ8" s="680"/>
      <c r="AK8" s="680"/>
      <c r="AL8" s="680"/>
    </row>
    <row r="9" spans="3:47" ht="30" customHeight="1" x14ac:dyDescent="0.3">
      <c r="C9" s="681" t="s">
        <v>437</v>
      </c>
      <c r="D9" s="681"/>
      <c r="E9" s="677" t="s">
        <v>438</v>
      </c>
      <c r="F9" s="677" t="s">
        <v>439</v>
      </c>
      <c r="G9" s="677" t="s">
        <v>440</v>
      </c>
      <c r="H9" s="677" t="s">
        <v>441</v>
      </c>
      <c r="I9" s="677" t="s">
        <v>442</v>
      </c>
      <c r="J9" s="677"/>
      <c r="K9" s="677"/>
      <c r="L9" s="677"/>
      <c r="M9" s="677" t="s">
        <v>443</v>
      </c>
      <c r="N9" s="677" t="s">
        <v>444</v>
      </c>
      <c r="O9" s="677" t="s">
        <v>445</v>
      </c>
      <c r="P9" s="677" t="s">
        <v>446</v>
      </c>
      <c r="Q9" s="153" t="s">
        <v>447</v>
      </c>
      <c r="R9" s="677" t="s">
        <v>52</v>
      </c>
      <c r="V9" s="681" t="s">
        <v>437</v>
      </c>
      <c r="W9" s="681"/>
      <c r="X9" s="677" t="s">
        <v>438</v>
      </c>
      <c r="Y9" s="152"/>
      <c r="Z9" s="677" t="s">
        <v>440</v>
      </c>
      <c r="AA9" s="677" t="s">
        <v>441</v>
      </c>
      <c r="AB9" s="677" t="s">
        <v>442</v>
      </c>
      <c r="AC9" s="677"/>
      <c r="AD9" s="677"/>
      <c r="AE9" s="677"/>
      <c r="AF9" s="677" t="s">
        <v>443</v>
      </c>
      <c r="AG9" s="677" t="s">
        <v>444</v>
      </c>
      <c r="AH9" s="677" t="s">
        <v>445</v>
      </c>
      <c r="AI9" s="154"/>
      <c r="AJ9" s="677" t="s">
        <v>446</v>
      </c>
      <c r="AK9" s="153" t="s">
        <v>447</v>
      </c>
      <c r="AL9" s="677" t="s">
        <v>52</v>
      </c>
      <c r="AR9" s="660" t="s">
        <v>448</v>
      </c>
      <c r="AS9" s="660"/>
      <c r="AT9" s="660" t="s">
        <v>449</v>
      </c>
      <c r="AU9" s="660"/>
    </row>
    <row r="10" spans="3:47" ht="43.2" x14ac:dyDescent="0.3">
      <c r="C10" s="681"/>
      <c r="D10" s="681"/>
      <c r="E10" s="677"/>
      <c r="F10" s="677"/>
      <c r="G10" s="677"/>
      <c r="H10" s="677"/>
      <c r="I10" s="153" t="s">
        <v>450</v>
      </c>
      <c r="J10" s="153" t="s">
        <v>451</v>
      </c>
      <c r="K10" s="153" t="s">
        <v>452</v>
      </c>
      <c r="L10" s="153" t="s">
        <v>453</v>
      </c>
      <c r="M10" s="677"/>
      <c r="N10" s="677"/>
      <c r="O10" s="677"/>
      <c r="P10" s="677"/>
      <c r="Q10" s="153" t="s">
        <v>447</v>
      </c>
      <c r="R10" s="677"/>
      <c r="V10" s="681"/>
      <c r="W10" s="681"/>
      <c r="X10" s="677"/>
      <c r="Y10" s="152" t="s">
        <v>454</v>
      </c>
      <c r="Z10" s="677"/>
      <c r="AA10" s="677"/>
      <c r="AB10" s="153" t="s">
        <v>450</v>
      </c>
      <c r="AC10" s="153" t="s">
        <v>451</v>
      </c>
      <c r="AD10" s="153" t="s">
        <v>452</v>
      </c>
      <c r="AE10" s="153" t="s">
        <v>453</v>
      </c>
      <c r="AF10" s="677"/>
      <c r="AG10" s="677"/>
      <c r="AH10" s="677"/>
      <c r="AI10" s="155" t="s">
        <v>455</v>
      </c>
      <c r="AJ10" s="677"/>
      <c r="AK10" s="153" t="s">
        <v>447</v>
      </c>
      <c r="AL10" s="677"/>
      <c r="AO10" s="135"/>
      <c r="AR10" s="1" t="s">
        <v>456</v>
      </c>
      <c r="AS10" s="1" t="s">
        <v>457</v>
      </c>
      <c r="AT10" s="1" t="s">
        <v>456</v>
      </c>
      <c r="AU10" s="1" t="s">
        <v>457</v>
      </c>
    </row>
    <row r="11" spans="3:47" x14ac:dyDescent="0.3">
      <c r="C11" s="682" t="s">
        <v>24</v>
      </c>
      <c r="D11" s="682"/>
      <c r="E11" s="156">
        <v>24190.062730000001</v>
      </c>
      <c r="F11" s="156"/>
      <c r="G11" s="156">
        <v>1324.6569999999999</v>
      </c>
      <c r="H11" s="156">
        <v>17579.52421</v>
      </c>
      <c r="I11" s="156">
        <v>6.9779999999999998</v>
      </c>
      <c r="J11" s="156">
        <v>0</v>
      </c>
      <c r="K11" s="156">
        <v>0</v>
      </c>
      <c r="L11" s="156">
        <v>0</v>
      </c>
      <c r="M11" s="156"/>
      <c r="N11" s="156">
        <v>0</v>
      </c>
      <c r="O11" s="156">
        <v>20853.753000000001</v>
      </c>
      <c r="P11" s="156">
        <v>117.46299999999999</v>
      </c>
      <c r="Q11" s="156">
        <v>0</v>
      </c>
      <c r="R11" s="156">
        <v>64072.437940000003</v>
      </c>
      <c r="U11" s="157"/>
      <c r="V11" s="682" t="s">
        <v>24</v>
      </c>
      <c r="W11" s="682"/>
      <c r="X11" s="156">
        <v>19671.074860000001</v>
      </c>
      <c r="Y11" s="156">
        <v>27950.379000000001</v>
      </c>
      <c r="Z11" s="156">
        <v>1324.6569999999999</v>
      </c>
      <c r="AA11" s="156">
        <v>9299.348</v>
      </c>
      <c r="AB11" s="156">
        <v>6.9779999999999998</v>
      </c>
      <c r="AC11" s="156">
        <v>0</v>
      </c>
      <c r="AD11" s="156">
        <v>0</v>
      </c>
      <c r="AE11" s="156">
        <v>0</v>
      </c>
      <c r="AF11" s="156"/>
      <c r="AG11" s="156">
        <v>0</v>
      </c>
      <c r="AH11" s="156">
        <v>20853.753000000001</v>
      </c>
      <c r="AI11" s="156">
        <v>0</v>
      </c>
      <c r="AJ11" s="156">
        <v>117.46299999999999</v>
      </c>
      <c r="AK11" s="156">
        <v>0</v>
      </c>
      <c r="AL11" s="156">
        <v>79223.652860000002</v>
      </c>
      <c r="AM11" s="135" t="s">
        <v>458</v>
      </c>
      <c r="AO11" s="135" t="s">
        <v>459</v>
      </c>
      <c r="AP11" s="682" t="s">
        <v>24</v>
      </c>
      <c r="AQ11" s="682"/>
    </row>
    <row r="12" spans="3:47" x14ac:dyDescent="0.3">
      <c r="C12" s="158" t="s">
        <v>460</v>
      </c>
      <c r="D12" s="158" t="s">
        <v>456</v>
      </c>
      <c r="E12" s="159">
        <v>29391.005140000001</v>
      </c>
      <c r="F12" s="159"/>
      <c r="G12" s="159">
        <v>221.4588</v>
      </c>
      <c r="H12" s="159">
        <v>14402.57315</v>
      </c>
      <c r="I12" s="159">
        <v>-50.812139999999999</v>
      </c>
      <c r="J12" s="159">
        <v>0</v>
      </c>
      <c r="K12" s="159">
        <v>0</v>
      </c>
      <c r="L12" s="159">
        <v>0</v>
      </c>
      <c r="M12" s="159"/>
      <c r="N12" s="159">
        <v>0</v>
      </c>
      <c r="O12" s="159">
        <v>11347.0864</v>
      </c>
      <c r="P12" s="159">
        <v>117.46299999999999</v>
      </c>
      <c r="Q12" s="159">
        <v>0</v>
      </c>
      <c r="R12" s="156">
        <v>55428.77145</v>
      </c>
      <c r="U12" s="157"/>
      <c r="V12" s="158" t="s">
        <v>460</v>
      </c>
      <c r="W12" s="158" t="s">
        <v>456</v>
      </c>
      <c r="X12" s="160">
        <v>18488.833859999999</v>
      </c>
      <c r="Y12" s="160">
        <v>27318.87</v>
      </c>
      <c r="Z12" s="160">
        <v>0</v>
      </c>
      <c r="AA12" s="160">
        <v>0</v>
      </c>
      <c r="AB12" s="160">
        <v>0</v>
      </c>
      <c r="AC12" s="160">
        <v>0</v>
      </c>
      <c r="AD12" s="160">
        <v>0</v>
      </c>
      <c r="AE12" s="160">
        <v>0</v>
      </c>
      <c r="AF12" s="160"/>
      <c r="AG12" s="160">
        <v>0</v>
      </c>
      <c r="AH12" s="160">
        <v>0</v>
      </c>
      <c r="AI12" s="160">
        <v>0</v>
      </c>
      <c r="AJ12" s="160">
        <v>0</v>
      </c>
      <c r="AK12" s="160">
        <v>0</v>
      </c>
      <c r="AL12" s="160">
        <v>45807.703860000001</v>
      </c>
      <c r="AM12" s="1" t="s">
        <v>461</v>
      </c>
      <c r="AO12" s="1" t="s">
        <v>462</v>
      </c>
      <c r="AP12" s="158" t="s">
        <v>460</v>
      </c>
      <c r="AQ12" s="158" t="s">
        <v>456</v>
      </c>
      <c r="AR12" s="1">
        <v>157.6</v>
      </c>
      <c r="AS12" s="161">
        <f>AR12/AL12</f>
        <v>3.4404693254581303E-3</v>
      </c>
      <c r="AT12" s="115">
        <v>2093.6669999999999</v>
      </c>
      <c r="AU12" s="161">
        <f>AT12/AL12</f>
        <v>4.5705565299644334E-2</v>
      </c>
    </row>
    <row r="13" spans="3:47" x14ac:dyDescent="0.3">
      <c r="C13" s="158" t="s">
        <v>463</v>
      </c>
      <c r="D13" s="158" t="s">
        <v>456</v>
      </c>
      <c r="E13" s="159">
        <v>68.343100000000007</v>
      </c>
      <c r="F13" s="159"/>
      <c r="G13" s="159">
        <v>39.053199999999997</v>
      </c>
      <c r="H13" s="159">
        <v>372.95805999999999</v>
      </c>
      <c r="I13" s="159">
        <v>56.627139999999997</v>
      </c>
      <c r="J13" s="159">
        <v>0</v>
      </c>
      <c r="K13" s="159">
        <v>0</v>
      </c>
      <c r="L13" s="159">
        <v>0</v>
      </c>
      <c r="M13" s="159"/>
      <c r="N13" s="159">
        <v>0</v>
      </c>
      <c r="O13" s="159">
        <v>1415.6785</v>
      </c>
      <c r="P13" s="159">
        <v>0</v>
      </c>
      <c r="Q13" s="159">
        <v>0</v>
      </c>
      <c r="R13" s="156">
        <v>1952.66</v>
      </c>
      <c r="U13" s="157"/>
      <c r="V13" s="158" t="s">
        <v>463</v>
      </c>
      <c r="W13" s="158" t="s">
        <v>456</v>
      </c>
      <c r="X13" s="162">
        <v>68.343100000000007</v>
      </c>
      <c r="Y13" s="160">
        <v>0</v>
      </c>
      <c r="Z13" s="162">
        <v>39.053199999999997</v>
      </c>
      <c r="AA13" s="162">
        <v>429.58519999999999</v>
      </c>
      <c r="AB13" s="160">
        <v>0</v>
      </c>
      <c r="AC13" s="160">
        <v>0</v>
      </c>
      <c r="AD13" s="160">
        <v>0</v>
      </c>
      <c r="AE13" s="160">
        <v>0</v>
      </c>
      <c r="AF13" s="160"/>
      <c r="AG13" s="160">
        <v>0</v>
      </c>
      <c r="AH13" s="162">
        <v>1415.6785</v>
      </c>
      <c r="AI13" s="160">
        <v>0</v>
      </c>
      <c r="AJ13" s="160">
        <v>0</v>
      </c>
      <c r="AK13" s="160">
        <v>0</v>
      </c>
      <c r="AL13" s="162">
        <v>1952.66</v>
      </c>
      <c r="AM13" s="163" t="s">
        <v>464</v>
      </c>
      <c r="AO13" s="163"/>
      <c r="AP13" s="158" t="s">
        <v>463</v>
      </c>
      <c r="AQ13" s="158" t="s">
        <v>456</v>
      </c>
      <c r="AS13" s="161"/>
      <c r="AU13" s="161"/>
    </row>
    <row r="14" spans="3:47" x14ac:dyDescent="0.3">
      <c r="C14" s="158" t="s">
        <v>465</v>
      </c>
      <c r="D14" s="158" t="s">
        <v>456</v>
      </c>
      <c r="E14" s="159">
        <v>0</v>
      </c>
      <c r="F14" s="159"/>
      <c r="G14" s="159">
        <v>0</v>
      </c>
      <c r="H14" s="159">
        <v>0</v>
      </c>
      <c r="I14" s="159">
        <v>0</v>
      </c>
      <c r="J14" s="159">
        <v>0</v>
      </c>
      <c r="K14" s="159">
        <v>0</v>
      </c>
      <c r="L14" s="159">
        <v>0</v>
      </c>
      <c r="M14" s="159"/>
      <c r="N14" s="159">
        <v>0</v>
      </c>
      <c r="O14" s="159">
        <v>0</v>
      </c>
      <c r="P14" s="159">
        <v>0</v>
      </c>
      <c r="Q14" s="159">
        <v>0</v>
      </c>
      <c r="R14" s="156">
        <v>0</v>
      </c>
      <c r="U14" s="157"/>
      <c r="V14" s="158" t="s">
        <v>465</v>
      </c>
      <c r="W14" s="158" t="s">
        <v>456</v>
      </c>
      <c r="X14" s="160">
        <v>0</v>
      </c>
      <c r="Y14" s="160">
        <v>0</v>
      </c>
      <c r="Z14" s="160">
        <v>0</v>
      </c>
      <c r="AA14" s="160">
        <v>0</v>
      </c>
      <c r="AB14" s="160">
        <v>0</v>
      </c>
      <c r="AC14" s="160">
        <v>0</v>
      </c>
      <c r="AD14" s="160">
        <v>0</v>
      </c>
      <c r="AE14" s="160">
        <v>0</v>
      </c>
      <c r="AF14" s="160"/>
      <c r="AG14" s="160">
        <v>0</v>
      </c>
      <c r="AH14" s="160">
        <v>0</v>
      </c>
      <c r="AI14" s="160">
        <v>0</v>
      </c>
      <c r="AJ14" s="160">
        <v>0</v>
      </c>
      <c r="AK14" s="160">
        <v>0</v>
      </c>
      <c r="AL14" s="160">
        <v>0</v>
      </c>
      <c r="AP14" s="158" t="s">
        <v>465</v>
      </c>
      <c r="AQ14" s="158" t="s">
        <v>456</v>
      </c>
      <c r="AS14" s="161"/>
      <c r="AU14" s="161"/>
    </row>
    <row r="15" spans="3:47" x14ac:dyDescent="0.3">
      <c r="C15" s="158"/>
      <c r="D15" s="158"/>
      <c r="E15" s="159"/>
      <c r="F15" s="159"/>
      <c r="G15" s="159"/>
      <c r="H15" s="159"/>
      <c r="I15" s="159"/>
      <c r="J15" s="159"/>
      <c r="K15" s="159"/>
      <c r="L15" s="159"/>
      <c r="M15" s="159"/>
      <c r="N15" s="159"/>
      <c r="O15" s="159"/>
      <c r="P15" s="159"/>
      <c r="Q15" s="159"/>
      <c r="R15" s="156"/>
      <c r="U15" s="157"/>
      <c r="V15" s="164" t="s">
        <v>466</v>
      </c>
      <c r="W15" s="158" t="s">
        <v>456</v>
      </c>
      <c r="X15" s="162">
        <v>1087.6789000000001</v>
      </c>
      <c r="Y15" s="160">
        <v>631.50900000000001</v>
      </c>
      <c r="Z15" s="162">
        <v>221.4588</v>
      </c>
      <c r="AA15" s="162">
        <v>6065.7698</v>
      </c>
      <c r="AB15" s="159">
        <v>5.8150000000000004</v>
      </c>
      <c r="AC15" s="160">
        <v>0</v>
      </c>
      <c r="AD15" s="160"/>
      <c r="AE15" s="160"/>
      <c r="AF15" s="160"/>
      <c r="AG15" s="160"/>
      <c r="AH15" s="162">
        <v>11347.0864</v>
      </c>
      <c r="AI15" s="160">
        <v>0</v>
      </c>
      <c r="AJ15" s="160">
        <v>117.46299999999999</v>
      </c>
      <c r="AK15" s="160">
        <v>0</v>
      </c>
      <c r="AL15" s="162">
        <v>19476.777999999998</v>
      </c>
      <c r="AM15" s="1" t="s">
        <v>467</v>
      </c>
      <c r="AN15" s="161"/>
      <c r="AO15" s="1" t="s">
        <v>462</v>
      </c>
      <c r="AP15" s="164" t="s">
        <v>466</v>
      </c>
      <c r="AQ15" s="158" t="s">
        <v>456</v>
      </c>
      <c r="AS15" s="161"/>
      <c r="AU15" s="161"/>
    </row>
    <row r="16" spans="3:47" x14ac:dyDescent="0.3">
      <c r="C16" s="158" t="s">
        <v>468</v>
      </c>
      <c r="D16" s="158" t="s">
        <v>456</v>
      </c>
      <c r="E16" s="159">
        <v>25.056000000000001</v>
      </c>
      <c r="F16" s="159"/>
      <c r="G16" s="159">
        <v>175.392</v>
      </c>
      <c r="H16" s="159">
        <v>1566</v>
      </c>
      <c r="I16" s="159">
        <v>0</v>
      </c>
      <c r="J16" s="159">
        <v>0</v>
      </c>
      <c r="K16" s="159">
        <v>0</v>
      </c>
      <c r="L16" s="159">
        <v>0</v>
      </c>
      <c r="M16" s="159"/>
      <c r="N16" s="159">
        <v>0</v>
      </c>
      <c r="O16" s="159">
        <v>4447.4399999999996</v>
      </c>
      <c r="P16" s="159">
        <v>50.112000000000002</v>
      </c>
      <c r="Q16" s="159">
        <v>0</v>
      </c>
      <c r="R16" s="156">
        <v>6264</v>
      </c>
      <c r="U16" s="157"/>
      <c r="V16" s="158" t="s">
        <v>468</v>
      </c>
      <c r="W16" s="158" t="s">
        <v>456</v>
      </c>
      <c r="X16" s="160">
        <v>25.056000000000001</v>
      </c>
      <c r="Y16" s="160">
        <v>0</v>
      </c>
      <c r="Z16" s="162">
        <v>175.392</v>
      </c>
      <c r="AA16" s="160">
        <v>1566</v>
      </c>
      <c r="AB16" s="160">
        <v>0</v>
      </c>
      <c r="AC16" s="160">
        <v>0</v>
      </c>
      <c r="AD16" s="160">
        <v>0</v>
      </c>
      <c r="AE16" s="160">
        <v>0</v>
      </c>
      <c r="AF16" s="160"/>
      <c r="AG16" s="160">
        <v>0</v>
      </c>
      <c r="AH16" s="160">
        <v>4447.4399999999996</v>
      </c>
      <c r="AI16" s="160">
        <v>0</v>
      </c>
      <c r="AJ16" s="160">
        <v>0</v>
      </c>
      <c r="AK16" s="160">
        <v>0</v>
      </c>
      <c r="AL16" s="162">
        <v>6264</v>
      </c>
      <c r="AM16" s="1" t="s">
        <v>469</v>
      </c>
      <c r="AP16" s="158" t="s">
        <v>468</v>
      </c>
      <c r="AQ16" s="158" t="s">
        <v>456</v>
      </c>
      <c r="AS16" s="161"/>
      <c r="AT16" s="115">
        <v>55.878</v>
      </c>
      <c r="AU16" s="161">
        <f>AT16/AL16</f>
        <v>8.9204980842911875E-3</v>
      </c>
    </row>
    <row r="17" spans="3:47" x14ac:dyDescent="0.3">
      <c r="C17" s="158" t="s">
        <v>470</v>
      </c>
      <c r="D17" s="158" t="s">
        <v>456</v>
      </c>
      <c r="E17" s="159">
        <v>0</v>
      </c>
      <c r="F17" s="159"/>
      <c r="G17" s="159">
        <v>0</v>
      </c>
      <c r="H17" s="165">
        <f>R17*0.9</f>
        <v>400.95</v>
      </c>
      <c r="I17" s="159">
        <v>0</v>
      </c>
      <c r="J17" s="159">
        <v>0</v>
      </c>
      <c r="K17" s="159">
        <v>0</v>
      </c>
      <c r="L17" s="159">
        <v>0</v>
      </c>
      <c r="M17" s="159"/>
      <c r="N17" s="159">
        <v>0</v>
      </c>
      <c r="O17" s="165">
        <f>445.5*0.1</f>
        <v>44.550000000000004</v>
      </c>
      <c r="P17" s="159">
        <v>0</v>
      </c>
      <c r="Q17" s="159">
        <v>0</v>
      </c>
      <c r="R17" s="156">
        <v>445.5</v>
      </c>
      <c r="U17" s="157"/>
      <c r="V17" s="158" t="s">
        <v>470</v>
      </c>
      <c r="W17" s="158" t="s">
        <v>456</v>
      </c>
      <c r="X17" s="160">
        <v>0</v>
      </c>
      <c r="Y17" s="160">
        <v>0</v>
      </c>
      <c r="Z17" s="162">
        <v>32.923333333333296</v>
      </c>
      <c r="AA17" s="162">
        <v>855.74222222222204</v>
      </c>
      <c r="AB17" s="160">
        <v>0</v>
      </c>
      <c r="AC17" s="160">
        <v>0</v>
      </c>
      <c r="AD17" s="160">
        <v>0</v>
      </c>
      <c r="AE17" s="160">
        <v>0</v>
      </c>
      <c r="AF17" s="160"/>
      <c r="AG17" s="160">
        <v>0</v>
      </c>
      <c r="AH17" s="162">
        <v>448.63</v>
      </c>
      <c r="AI17" s="160">
        <v>0</v>
      </c>
      <c r="AJ17" s="160">
        <v>0</v>
      </c>
      <c r="AK17" s="160">
        <v>0</v>
      </c>
      <c r="AL17" s="162">
        <v>1337.29555555556</v>
      </c>
      <c r="AM17" s="163" t="s">
        <v>471</v>
      </c>
      <c r="AP17" s="158" t="s">
        <v>470</v>
      </c>
      <c r="AQ17" s="158" t="s">
        <v>456</v>
      </c>
      <c r="AS17" s="161"/>
      <c r="AU17" s="161"/>
    </row>
    <row r="18" spans="3:47" x14ac:dyDescent="0.3">
      <c r="C18" s="158" t="s">
        <v>472</v>
      </c>
      <c r="D18" s="158" t="s">
        <v>456</v>
      </c>
      <c r="E18" s="159">
        <v>1.163</v>
      </c>
      <c r="F18" s="159"/>
      <c r="G18" s="159">
        <v>888.75300000000004</v>
      </c>
      <c r="H18" s="159">
        <v>1237.9929999999999</v>
      </c>
      <c r="I18" s="159">
        <v>1.163</v>
      </c>
      <c r="J18" s="159">
        <v>0</v>
      </c>
      <c r="K18" s="159">
        <v>0</v>
      </c>
      <c r="L18" s="159">
        <v>0</v>
      </c>
      <c r="M18" s="159"/>
      <c r="N18" s="159">
        <v>0</v>
      </c>
      <c r="O18" s="159">
        <v>3198.0509999999999</v>
      </c>
      <c r="P18" s="159">
        <v>-50.112000000000002</v>
      </c>
      <c r="Q18" s="159">
        <v>0</v>
      </c>
      <c r="R18" s="156">
        <v>5277.0110000000004</v>
      </c>
      <c r="U18" s="157"/>
      <c r="V18" s="158" t="s">
        <v>472</v>
      </c>
      <c r="W18" s="158" t="s">
        <v>456</v>
      </c>
      <c r="X18" s="160">
        <v>1.163</v>
      </c>
      <c r="Y18" s="160">
        <v>0</v>
      </c>
      <c r="Z18" s="162">
        <v>855.82966666666698</v>
      </c>
      <c r="AA18" s="162">
        <v>382.25077777777801</v>
      </c>
      <c r="AB18" s="160">
        <v>1.163</v>
      </c>
      <c r="AC18" s="160">
        <v>0</v>
      </c>
      <c r="AD18" s="160">
        <v>0</v>
      </c>
      <c r="AE18" s="160">
        <v>0</v>
      </c>
      <c r="AF18" s="160"/>
      <c r="AG18" s="160">
        <v>0</v>
      </c>
      <c r="AH18" s="162">
        <v>3194.9209999999998</v>
      </c>
      <c r="AI18" s="160">
        <v>0</v>
      </c>
      <c r="AJ18" s="160">
        <v>0</v>
      </c>
      <c r="AK18" s="160">
        <v>0</v>
      </c>
      <c r="AL18" s="162">
        <v>4385.2154444444404</v>
      </c>
      <c r="AM18" s="1" t="s">
        <v>467</v>
      </c>
      <c r="AN18" s="161"/>
      <c r="AP18" s="158" t="s">
        <v>472</v>
      </c>
      <c r="AQ18" s="158" t="s">
        <v>456</v>
      </c>
      <c r="AR18" s="1">
        <v>86.5</v>
      </c>
      <c r="AS18" s="161">
        <f>AR18/AL18</f>
        <v>1.9725370645035347E-2</v>
      </c>
      <c r="AT18" s="115">
        <v>82.619</v>
      </c>
      <c r="AU18" s="161">
        <f>AT18/AL18</f>
        <v>1.8840351414129194E-2</v>
      </c>
    </row>
    <row r="19" spans="3:47" x14ac:dyDescent="0.3">
      <c r="C19" s="682" t="s">
        <v>25</v>
      </c>
      <c r="D19" s="682"/>
      <c r="E19" s="156">
        <v>3728.8687500000001</v>
      </c>
      <c r="F19" s="156"/>
      <c r="G19" s="156">
        <v>4401.59447</v>
      </c>
      <c r="H19" s="156">
        <v>64658.52203</v>
      </c>
      <c r="I19" s="156">
        <v>1080.47642000001</v>
      </c>
      <c r="J19" s="156">
        <v>0</v>
      </c>
      <c r="K19" s="156">
        <v>0</v>
      </c>
      <c r="L19" s="156">
        <v>0</v>
      </c>
      <c r="M19" s="156"/>
      <c r="N19" s="156">
        <v>0</v>
      </c>
      <c r="O19" s="156">
        <v>19634.219570000001</v>
      </c>
      <c r="P19" s="156">
        <v>11362.64956</v>
      </c>
      <c r="Q19" s="156">
        <v>0</v>
      </c>
      <c r="R19" s="156">
        <v>75866.327900000004</v>
      </c>
      <c r="U19" s="157"/>
      <c r="V19" s="682" t="s">
        <v>25</v>
      </c>
      <c r="W19" s="682"/>
      <c r="X19" s="156">
        <v>3659.9609999999998</v>
      </c>
      <c r="Y19" s="156">
        <v>68.907749999999993</v>
      </c>
      <c r="Z19" s="156">
        <v>4401.59447</v>
      </c>
      <c r="AA19" s="156">
        <v>64658.52203</v>
      </c>
      <c r="AB19" s="156">
        <v>1080.47642000001</v>
      </c>
      <c r="AC19" s="156">
        <v>0</v>
      </c>
      <c r="AD19" s="156">
        <v>0</v>
      </c>
      <c r="AE19" s="156">
        <v>0</v>
      </c>
      <c r="AF19" s="156"/>
      <c r="AG19" s="156">
        <v>0</v>
      </c>
      <c r="AH19" s="156">
        <v>19634.219570000001</v>
      </c>
      <c r="AI19" s="156">
        <v>0</v>
      </c>
      <c r="AJ19" s="156">
        <v>11362.64956</v>
      </c>
      <c r="AK19" s="156">
        <v>0</v>
      </c>
      <c r="AL19" s="156">
        <v>75866.327900000004</v>
      </c>
      <c r="AM19" s="1" t="s">
        <v>473</v>
      </c>
      <c r="AP19" s="682" t="s">
        <v>25</v>
      </c>
      <c r="AQ19" s="682"/>
      <c r="AS19" s="161"/>
      <c r="AU19" s="161"/>
    </row>
    <row r="20" spans="3:47" x14ac:dyDescent="0.3">
      <c r="C20" s="158" t="s">
        <v>474</v>
      </c>
      <c r="D20" s="158" t="s">
        <v>456</v>
      </c>
      <c r="E20" s="159">
        <v>0</v>
      </c>
      <c r="F20" s="159"/>
      <c r="G20" s="159">
        <v>26.879492334423301</v>
      </c>
      <c r="H20" s="159">
        <v>4999.5855742027297</v>
      </c>
      <c r="I20" s="159">
        <v>26.879492334423301</v>
      </c>
      <c r="J20" s="159">
        <v>0</v>
      </c>
      <c r="K20" s="159">
        <v>0</v>
      </c>
      <c r="L20" s="159">
        <v>0</v>
      </c>
      <c r="M20" s="159"/>
      <c r="N20" s="159">
        <v>0</v>
      </c>
      <c r="O20" s="159">
        <v>322.55390801307902</v>
      </c>
      <c r="P20" s="159">
        <v>0</v>
      </c>
      <c r="Q20" s="159">
        <v>0</v>
      </c>
      <c r="R20" s="156">
        <v>5375.8984668846497</v>
      </c>
      <c r="U20" s="157"/>
      <c r="V20" s="175" t="s">
        <v>870</v>
      </c>
      <c r="W20" s="158" t="s">
        <v>456</v>
      </c>
      <c r="X20" s="159">
        <v>0</v>
      </c>
      <c r="Y20" s="159">
        <v>0</v>
      </c>
      <c r="Z20" s="159">
        <v>26.879492334423301</v>
      </c>
      <c r="AA20" s="159">
        <v>4999.5855742027297</v>
      </c>
      <c r="AB20" s="159">
        <v>26.879492334423301</v>
      </c>
      <c r="AC20" s="159">
        <v>0</v>
      </c>
      <c r="AD20" s="159">
        <v>0</v>
      </c>
      <c r="AE20" s="159">
        <v>0</v>
      </c>
      <c r="AF20" s="159"/>
      <c r="AG20" s="159">
        <v>0</v>
      </c>
      <c r="AH20" s="159">
        <v>322.55390801307902</v>
      </c>
      <c r="AI20" s="159">
        <v>0</v>
      </c>
      <c r="AJ20" s="159">
        <v>0</v>
      </c>
      <c r="AK20" s="159">
        <v>0</v>
      </c>
      <c r="AL20" s="159">
        <v>5375.8984668846497</v>
      </c>
      <c r="AM20" s="1" t="s">
        <v>469</v>
      </c>
      <c r="AP20" s="158" t="s">
        <v>474</v>
      </c>
      <c r="AQ20" s="158" t="s">
        <v>456</v>
      </c>
      <c r="AS20" s="161"/>
      <c r="AU20" s="161"/>
    </row>
    <row r="21" spans="3:47" x14ac:dyDescent="0.3">
      <c r="C21" s="158" t="s">
        <v>475</v>
      </c>
      <c r="D21" s="158" t="s">
        <v>456</v>
      </c>
      <c r="E21" s="159">
        <v>0</v>
      </c>
      <c r="F21" s="159"/>
      <c r="G21" s="159">
        <v>1703.6673708114899</v>
      </c>
      <c r="H21" s="159">
        <v>12328.079291392</v>
      </c>
      <c r="I21" s="159">
        <v>757.42589761749502</v>
      </c>
      <c r="J21" s="159">
        <v>0</v>
      </c>
      <c r="K21" s="159">
        <v>0</v>
      </c>
      <c r="L21" s="159">
        <v>0</v>
      </c>
      <c r="M21" s="159"/>
      <c r="N21" s="159">
        <v>0</v>
      </c>
      <c r="O21" s="159">
        <v>5680.6942321312099</v>
      </c>
      <c r="P21" s="159">
        <v>4436.6416860453301</v>
      </c>
      <c r="Q21" s="159">
        <v>0</v>
      </c>
      <c r="R21" s="156">
        <v>24906.2184779975</v>
      </c>
      <c r="U21" s="157"/>
      <c r="V21" s="158" t="s">
        <v>475</v>
      </c>
      <c r="W21" s="158" t="s">
        <v>456</v>
      </c>
      <c r="X21" s="160">
        <v>0</v>
      </c>
      <c r="Y21" s="160">
        <v>0</v>
      </c>
      <c r="Z21" s="160">
        <v>1618.41363305613</v>
      </c>
      <c r="AA21" s="160">
        <v>29131.4453950104</v>
      </c>
      <c r="AB21" s="160">
        <v>588.63274428274406</v>
      </c>
      <c r="AC21" s="160">
        <v>0</v>
      </c>
      <c r="AD21" s="160">
        <v>0</v>
      </c>
      <c r="AE21" s="160">
        <v>0</v>
      </c>
      <c r="AF21" s="160"/>
      <c r="AG21" s="160">
        <v>0</v>
      </c>
      <c r="AH21" s="160">
        <v>7108.8951993951996</v>
      </c>
      <c r="AI21" s="160">
        <v>0</v>
      </c>
      <c r="AJ21" s="160">
        <v>5861.8958703458702</v>
      </c>
      <c r="AK21" s="160">
        <v>0</v>
      </c>
      <c r="AL21" s="160">
        <v>44309.282842090397</v>
      </c>
      <c r="AM21" s="1" t="s">
        <v>476</v>
      </c>
      <c r="AN21" s="161"/>
      <c r="AO21" s="1" t="s">
        <v>477</v>
      </c>
      <c r="AP21" s="158" t="s">
        <v>475</v>
      </c>
      <c r="AQ21" s="158" t="s">
        <v>456</v>
      </c>
      <c r="AR21" s="1">
        <v>292.60000000000002</v>
      </c>
      <c r="AS21" s="161">
        <f>AR21/AL21</f>
        <v>6.6035823924925413E-3</v>
      </c>
      <c r="AT21" s="115">
        <v>287.28899999999999</v>
      </c>
      <c r="AU21" s="161">
        <f>AT21/AL21</f>
        <v>6.4837203757921718E-3</v>
      </c>
    </row>
    <row r="22" spans="3:47" x14ac:dyDescent="0.3">
      <c r="C22" s="158" t="s">
        <v>478</v>
      </c>
      <c r="D22" s="158" t="s">
        <v>456</v>
      </c>
      <c r="E22" s="159">
        <v>3728.8687500000001</v>
      </c>
      <c r="F22" s="159"/>
      <c r="G22" s="159">
        <v>2671.0476068540902</v>
      </c>
      <c r="H22" s="159">
        <v>18330.857164405301</v>
      </c>
      <c r="I22" s="159">
        <v>296.16813004808802</v>
      </c>
      <c r="J22" s="159">
        <v>0</v>
      </c>
      <c r="K22" s="159">
        <v>0</v>
      </c>
      <c r="L22" s="159">
        <v>0</v>
      </c>
      <c r="M22" s="159"/>
      <c r="N22" s="159">
        <v>0</v>
      </c>
      <c r="O22" s="159">
        <v>13630.971429855699</v>
      </c>
      <c r="P22" s="159">
        <v>6926.2978739546697</v>
      </c>
      <c r="Q22" s="159">
        <v>0</v>
      </c>
      <c r="R22" s="156">
        <v>45584.210955117902</v>
      </c>
      <c r="U22" s="157"/>
      <c r="V22" s="158" t="s">
        <v>478</v>
      </c>
      <c r="W22" s="158" t="s">
        <v>456</v>
      </c>
      <c r="X22" s="159">
        <v>3659.9609999999998</v>
      </c>
      <c r="Y22" s="159">
        <v>68.907749999999993</v>
      </c>
      <c r="Z22" s="159">
        <v>2756.3013446094401</v>
      </c>
      <c r="AA22" s="159">
        <v>1527.4910607868801</v>
      </c>
      <c r="AB22" s="159">
        <v>464.96128338283802</v>
      </c>
      <c r="AC22" s="159">
        <v>0</v>
      </c>
      <c r="AD22" s="159">
        <v>0</v>
      </c>
      <c r="AE22" s="159">
        <v>0</v>
      </c>
      <c r="AF22" s="159"/>
      <c r="AG22" s="159">
        <v>0</v>
      </c>
      <c r="AH22" s="159">
        <v>12202.770462591699</v>
      </c>
      <c r="AI22" s="159">
        <v>0</v>
      </c>
      <c r="AJ22" s="159">
        <v>5500.7536896541296</v>
      </c>
      <c r="AK22" s="159">
        <v>0</v>
      </c>
      <c r="AL22" s="159">
        <v>26181.146591025001</v>
      </c>
      <c r="AM22" s="1" t="s">
        <v>467</v>
      </c>
      <c r="AN22" s="166"/>
      <c r="AP22" s="158" t="s">
        <v>478</v>
      </c>
      <c r="AQ22" s="158" t="s">
        <v>456</v>
      </c>
      <c r="AR22" s="1">
        <v>932.6</v>
      </c>
      <c r="AS22" s="161">
        <f>AR22/AL22</f>
        <v>3.5621052605835792E-2</v>
      </c>
      <c r="AT22" s="115">
        <v>1014.828</v>
      </c>
      <c r="AU22" s="161">
        <f>AT22/AL22</f>
        <v>3.8761785946681455E-2</v>
      </c>
    </row>
    <row r="23" spans="3:47" x14ac:dyDescent="0.3">
      <c r="C23" s="682" t="s">
        <v>479</v>
      </c>
      <c r="D23" s="682"/>
      <c r="E23" s="156">
        <v>2938.9009999999998</v>
      </c>
      <c r="F23" s="156"/>
      <c r="G23" s="156">
        <v>6832.625</v>
      </c>
      <c r="H23" s="156">
        <v>19326.734</v>
      </c>
      <c r="I23" s="156">
        <v>5982.4719999999998</v>
      </c>
      <c r="J23" s="156">
        <v>0</v>
      </c>
      <c r="K23" s="156">
        <v>0</v>
      </c>
      <c r="L23" s="156">
        <v>0</v>
      </c>
      <c r="M23" s="156"/>
      <c r="N23" s="156">
        <v>0</v>
      </c>
      <c r="O23" s="156">
        <v>8314.2870000000003</v>
      </c>
      <c r="P23" s="156">
        <v>0</v>
      </c>
      <c r="Q23" s="156">
        <v>0</v>
      </c>
      <c r="R23" s="156">
        <v>43395.019</v>
      </c>
      <c r="U23" s="157"/>
      <c r="V23" s="682" t="s">
        <v>479</v>
      </c>
      <c r="W23" s="682"/>
      <c r="X23" s="156">
        <v>2556.2739999999999</v>
      </c>
      <c r="Y23" s="156">
        <v>382.62700000000001</v>
      </c>
      <c r="Z23" s="156">
        <v>6832.625</v>
      </c>
      <c r="AA23" s="156">
        <v>19326.734</v>
      </c>
      <c r="AB23" s="156">
        <v>2679.0324536471198</v>
      </c>
      <c r="AC23" s="156">
        <v>3417.6412551478002</v>
      </c>
      <c r="AD23" s="156">
        <v>0</v>
      </c>
      <c r="AE23" s="156">
        <v>0</v>
      </c>
      <c r="AF23" s="156"/>
      <c r="AG23" s="156">
        <v>0</v>
      </c>
      <c r="AH23" s="156">
        <v>8314.2870000000003</v>
      </c>
      <c r="AI23" s="156">
        <v>0</v>
      </c>
      <c r="AJ23" s="156">
        <v>0</v>
      </c>
      <c r="AK23" s="156">
        <v>0</v>
      </c>
      <c r="AL23" s="156">
        <f>SUM(AL24:AL26)</f>
        <v>43509.220711408125</v>
      </c>
      <c r="AM23" s="1" t="s">
        <v>473</v>
      </c>
      <c r="AP23" s="682" t="s">
        <v>479</v>
      </c>
      <c r="AQ23" s="682"/>
      <c r="AS23" s="161"/>
      <c r="AU23" s="161"/>
    </row>
    <row r="24" spans="3:47" x14ac:dyDescent="0.3">
      <c r="C24" s="158" t="s">
        <v>480</v>
      </c>
      <c r="D24" s="158" t="s">
        <v>456</v>
      </c>
      <c r="E24" s="159">
        <v>1876.1928459664</v>
      </c>
      <c r="F24" s="159"/>
      <c r="G24" s="159">
        <v>5159.5303263996202</v>
      </c>
      <c r="H24" s="159">
        <v>268.02754942364697</v>
      </c>
      <c r="I24" s="159">
        <v>5695.5854252463396</v>
      </c>
      <c r="J24" s="159">
        <v>0</v>
      </c>
      <c r="K24" s="159">
        <v>0</v>
      </c>
      <c r="L24" s="159">
        <v>0</v>
      </c>
      <c r="M24" s="159"/>
      <c r="N24" s="159">
        <v>0</v>
      </c>
      <c r="O24" s="159">
        <v>402.04132416403598</v>
      </c>
      <c r="P24" s="159">
        <v>0</v>
      </c>
      <c r="Q24" s="159">
        <v>0</v>
      </c>
      <c r="R24" s="156">
        <v>13401.3774711679</v>
      </c>
      <c r="U24" s="157"/>
      <c r="V24" s="158" t="s">
        <v>480</v>
      </c>
      <c r="W24" s="158" t="s">
        <v>456</v>
      </c>
      <c r="X24" s="159">
        <v>1876.1928459664</v>
      </c>
      <c r="Y24" s="159">
        <v>0</v>
      </c>
      <c r="Z24" s="159">
        <v>5159.5303263996202</v>
      </c>
      <c r="AA24" s="159">
        <v>268.02754942364697</v>
      </c>
      <c r="AB24" s="159">
        <v>2278.2341700985298</v>
      </c>
      <c r="AC24" s="159">
        <v>3417.6412551478002</v>
      </c>
      <c r="AD24" s="159">
        <v>0</v>
      </c>
      <c r="AE24" s="159">
        <v>0</v>
      </c>
      <c r="AF24" s="159"/>
      <c r="AG24" s="159">
        <v>0</v>
      </c>
      <c r="AH24" s="159">
        <v>1871.7831758505499</v>
      </c>
      <c r="AI24" s="159">
        <v>0</v>
      </c>
      <c r="AJ24" s="159">
        <v>0</v>
      </c>
      <c r="AK24" s="159">
        <v>0</v>
      </c>
      <c r="AL24" s="159">
        <f>SUM(X24:AK24)</f>
        <v>14871.409322886549</v>
      </c>
      <c r="AM24" s="1" t="s">
        <v>473</v>
      </c>
      <c r="AP24" s="158" t="s">
        <v>480</v>
      </c>
      <c r="AQ24" s="158" t="s">
        <v>456</v>
      </c>
      <c r="AS24" s="161"/>
      <c r="AT24" s="115">
        <v>995.96699999999998</v>
      </c>
      <c r="AU24" s="161">
        <f>AT24/AL24</f>
        <v>6.697193106420947E-2</v>
      </c>
    </row>
    <row r="25" spans="3:47" x14ac:dyDescent="0.3">
      <c r="C25" s="158" t="s">
        <v>481</v>
      </c>
      <c r="D25" s="158" t="s">
        <v>456</v>
      </c>
      <c r="E25" s="159">
        <v>0</v>
      </c>
      <c r="F25" s="159"/>
      <c r="G25" s="159">
        <v>1376.6639064451999</v>
      </c>
      <c r="H25" s="159">
        <v>10248.4979486143</v>
      </c>
      <c r="I25" s="159">
        <v>0</v>
      </c>
      <c r="J25" s="159">
        <v>0</v>
      </c>
      <c r="K25" s="159">
        <v>0</v>
      </c>
      <c r="L25" s="159">
        <v>0</v>
      </c>
      <c r="M25" s="159"/>
      <c r="N25" s="159">
        <v>0</v>
      </c>
      <c r="O25" s="159">
        <v>3671.1037427872002</v>
      </c>
      <c r="P25" s="159">
        <v>0</v>
      </c>
      <c r="Q25" s="159">
        <v>0</v>
      </c>
      <c r="R25" s="156">
        <v>15296.265594946701</v>
      </c>
      <c r="U25" s="157"/>
      <c r="V25" s="158" t="s">
        <v>481</v>
      </c>
      <c r="W25" s="158" t="s">
        <v>456</v>
      </c>
      <c r="X25" s="159">
        <v>0</v>
      </c>
      <c r="Y25" s="159">
        <v>0</v>
      </c>
      <c r="Z25" s="159">
        <v>1376.6639064451999</v>
      </c>
      <c r="AA25" s="159">
        <v>10248.4979486143</v>
      </c>
      <c r="AB25" s="159">
        <v>0</v>
      </c>
      <c r="AC25" s="159">
        <v>0</v>
      </c>
      <c r="AD25" s="159">
        <v>0</v>
      </c>
      <c r="AE25" s="159">
        <v>0</v>
      </c>
      <c r="AF25" s="159"/>
      <c r="AG25" s="159">
        <v>0</v>
      </c>
      <c r="AH25" s="159">
        <v>3671.1037427872002</v>
      </c>
      <c r="AI25" s="159">
        <v>0</v>
      </c>
      <c r="AJ25" s="159">
        <v>0</v>
      </c>
      <c r="AK25" s="159">
        <v>0</v>
      </c>
      <c r="AL25" s="159">
        <f>SUM(X25:AK25)</f>
        <v>15296.265597846699</v>
      </c>
      <c r="AM25" s="1" t="s">
        <v>476</v>
      </c>
      <c r="AN25" s="161"/>
      <c r="AP25" s="158" t="s">
        <v>481</v>
      </c>
      <c r="AQ25" s="158" t="s">
        <v>456</v>
      </c>
      <c r="AR25" s="1">
        <v>65</v>
      </c>
      <c r="AS25" s="161">
        <f>AR25/AL25</f>
        <v>4.2494032013376025E-3</v>
      </c>
      <c r="AT25" s="115">
        <v>222.06700000000001</v>
      </c>
      <c r="AU25" s="161">
        <f>AT25/AL25</f>
        <v>1.4517726472483653E-2</v>
      </c>
    </row>
    <row r="26" spans="3:47" x14ac:dyDescent="0.3">
      <c r="C26" s="158" t="s">
        <v>482</v>
      </c>
      <c r="D26" s="158" t="s">
        <v>456</v>
      </c>
      <c r="E26" s="159">
        <v>1062.7081540365</v>
      </c>
      <c r="F26" s="159"/>
      <c r="G26" s="159">
        <v>296.43077005517603</v>
      </c>
      <c r="H26" s="159">
        <v>8810.2085019623592</v>
      </c>
      <c r="I26" s="159">
        <v>286.88657475366301</v>
      </c>
      <c r="J26" s="159">
        <v>0</v>
      </c>
      <c r="K26" s="159">
        <v>0</v>
      </c>
      <c r="L26" s="159">
        <v>0</v>
      </c>
      <c r="M26" s="159"/>
      <c r="N26" s="159">
        <v>0</v>
      </c>
      <c r="O26" s="159">
        <v>4241.1419330777599</v>
      </c>
      <c r="P26" s="159">
        <v>0</v>
      </c>
      <c r="Q26" s="159">
        <v>0</v>
      </c>
      <c r="R26" s="156">
        <v>14697.3759338855</v>
      </c>
      <c r="U26" s="157"/>
      <c r="V26" s="158" t="s">
        <v>482</v>
      </c>
      <c r="W26" s="158" t="s">
        <v>456</v>
      </c>
      <c r="X26" s="159">
        <v>680.08115403650095</v>
      </c>
      <c r="Y26" s="159">
        <v>382.62700000000001</v>
      </c>
      <c r="Z26" s="159">
        <v>296.43077005517603</v>
      </c>
      <c r="AA26" s="159">
        <v>8810.2085019623592</v>
      </c>
      <c r="AB26" s="159">
        <v>400.79828325859</v>
      </c>
      <c r="AC26" s="159">
        <v>0</v>
      </c>
      <c r="AD26" s="159">
        <v>0</v>
      </c>
      <c r="AE26" s="159">
        <v>0</v>
      </c>
      <c r="AF26" s="159"/>
      <c r="AG26" s="159">
        <v>0</v>
      </c>
      <c r="AH26" s="159">
        <v>2771.4000813622501</v>
      </c>
      <c r="AI26" s="159">
        <v>0</v>
      </c>
      <c r="AJ26" s="159">
        <v>0</v>
      </c>
      <c r="AK26" s="159">
        <v>0</v>
      </c>
      <c r="AL26" s="159">
        <f>SUM(X26:AK26)</f>
        <v>13341.545790674874</v>
      </c>
      <c r="AM26" s="1" t="s">
        <v>467</v>
      </c>
      <c r="AN26" s="166"/>
      <c r="AP26" s="158" t="s">
        <v>482</v>
      </c>
      <c r="AQ26" s="158" t="s">
        <v>456</v>
      </c>
      <c r="AR26" s="1">
        <v>132</v>
      </c>
      <c r="AS26" s="161">
        <f>AR26/AL26</f>
        <v>9.8939060039251164E-3</v>
      </c>
      <c r="AT26" s="115">
        <v>-64.718999999999994</v>
      </c>
      <c r="AU26" s="161">
        <f>AT26/AL26</f>
        <v>-4.8509371414244664E-3</v>
      </c>
    </row>
    <row r="27" spans="3:47" x14ac:dyDescent="0.3">
      <c r="C27" s="682" t="s">
        <v>483</v>
      </c>
      <c r="D27" s="682"/>
      <c r="E27" s="156">
        <v>2301.5770000000002</v>
      </c>
      <c r="F27" s="156"/>
      <c r="G27" s="156">
        <v>2944.7159999999999</v>
      </c>
      <c r="H27" s="156">
        <v>26382.654999999999</v>
      </c>
      <c r="I27" s="156">
        <v>2189.9290000000001</v>
      </c>
      <c r="J27" s="156">
        <v>0</v>
      </c>
      <c r="K27" s="156">
        <v>0</v>
      </c>
      <c r="L27" s="156">
        <v>0</v>
      </c>
      <c r="M27" s="156"/>
      <c r="N27" s="156">
        <v>0</v>
      </c>
      <c r="O27" s="156">
        <v>23015.77</v>
      </c>
      <c r="P27" s="156">
        <v>0</v>
      </c>
      <c r="Q27" s="156">
        <v>0</v>
      </c>
      <c r="R27" s="156">
        <v>56834.646999999997</v>
      </c>
      <c r="U27" s="157"/>
      <c r="V27" s="682" t="s">
        <v>483</v>
      </c>
      <c r="W27" s="682"/>
      <c r="X27" s="156">
        <v>2130.616</v>
      </c>
      <c r="Y27" s="156">
        <v>170.96100000000001</v>
      </c>
      <c r="Z27" s="156">
        <v>2944.7159999999999</v>
      </c>
      <c r="AA27" s="156">
        <v>26382.654999999999</v>
      </c>
      <c r="AB27" s="156">
        <v>2189.9290000000001</v>
      </c>
      <c r="AC27" s="156">
        <v>0</v>
      </c>
      <c r="AD27" s="156">
        <v>0</v>
      </c>
      <c r="AE27" s="156">
        <v>0</v>
      </c>
      <c r="AF27" s="156"/>
      <c r="AG27" s="156">
        <v>0</v>
      </c>
      <c r="AH27" s="156">
        <v>23015.77</v>
      </c>
      <c r="AI27" s="156">
        <v>0</v>
      </c>
      <c r="AJ27" s="156">
        <v>2752.0909999999999</v>
      </c>
      <c r="AK27" s="156">
        <v>0</v>
      </c>
      <c r="AL27" s="156">
        <v>59586.737999999998</v>
      </c>
      <c r="AM27" s="1" t="s">
        <v>473</v>
      </c>
      <c r="AP27" s="682" t="s">
        <v>483</v>
      </c>
      <c r="AQ27" s="682"/>
      <c r="AS27" s="161"/>
      <c r="AU27" s="161"/>
    </row>
    <row r="28" spans="3:47" x14ac:dyDescent="0.3">
      <c r="C28" s="158" t="s">
        <v>484</v>
      </c>
      <c r="D28" s="158" t="s">
        <v>456</v>
      </c>
      <c r="E28" s="159">
        <v>1906.6484837999999</v>
      </c>
      <c r="F28" s="159"/>
      <c r="G28" s="159">
        <v>922.57184700000005</v>
      </c>
      <c r="H28" s="159">
        <v>6868.0348610000001</v>
      </c>
      <c r="I28" s="159">
        <v>41.003193199999998</v>
      </c>
      <c r="J28" s="159">
        <v>0</v>
      </c>
      <c r="K28" s="159">
        <v>0</v>
      </c>
      <c r="L28" s="159">
        <v>0</v>
      </c>
      <c r="M28" s="159"/>
      <c r="N28" s="159">
        <v>0</v>
      </c>
      <c r="O28" s="159">
        <v>512.53991499999995</v>
      </c>
      <c r="P28" s="159">
        <v>0</v>
      </c>
      <c r="Q28" s="159">
        <v>0</v>
      </c>
      <c r="R28" s="156">
        <v>10250.7983</v>
      </c>
      <c r="U28" s="157"/>
      <c r="V28" s="158" t="s">
        <v>484</v>
      </c>
      <c r="W28" s="158" t="s">
        <v>456</v>
      </c>
      <c r="X28" s="159">
        <v>1906.6484837999999</v>
      </c>
      <c r="Y28" s="159">
        <v>0</v>
      </c>
      <c r="Z28" s="159">
        <v>922.57184700000005</v>
      </c>
      <c r="AA28" s="159">
        <v>6868.0348610000001</v>
      </c>
      <c r="AB28" s="159">
        <v>41.003193199999998</v>
      </c>
      <c r="AC28" s="159">
        <v>0</v>
      </c>
      <c r="AD28" s="159">
        <v>0</v>
      </c>
      <c r="AE28" s="159">
        <v>0</v>
      </c>
      <c r="AF28" s="159"/>
      <c r="AG28" s="159">
        <v>0</v>
      </c>
      <c r="AH28" s="159">
        <v>512.53991499999995</v>
      </c>
      <c r="AI28" s="159">
        <v>0</v>
      </c>
      <c r="AJ28" s="159">
        <v>0</v>
      </c>
      <c r="AK28" s="159">
        <v>0</v>
      </c>
      <c r="AL28" s="159">
        <v>10250.7983</v>
      </c>
      <c r="AM28" s="1" t="s">
        <v>476</v>
      </c>
      <c r="AN28" s="161"/>
      <c r="AP28" s="158" t="s">
        <v>484</v>
      </c>
      <c r="AQ28" s="158" t="s">
        <v>456</v>
      </c>
      <c r="AR28" s="1">
        <v>267.8</v>
      </c>
      <c r="AS28" s="161">
        <f>AR28/AL28</f>
        <v>2.6124794592826982E-2</v>
      </c>
      <c r="AT28" s="115">
        <v>646.88199999999995</v>
      </c>
      <c r="AU28" s="161">
        <f>AT28/AL28</f>
        <v>6.3105524181467892E-2</v>
      </c>
    </row>
    <row r="29" spans="3:47" x14ac:dyDescent="0.3">
      <c r="C29" s="158" t="s">
        <v>485</v>
      </c>
      <c r="D29" s="158" t="s">
        <v>456</v>
      </c>
      <c r="E29" s="159">
        <v>394.92851619999999</v>
      </c>
      <c r="F29" s="159"/>
      <c r="G29" s="159">
        <v>2022.144153</v>
      </c>
      <c r="H29" s="159">
        <v>19514.620138999999</v>
      </c>
      <c r="I29" s="159">
        <v>2148.9258067999999</v>
      </c>
      <c r="J29" s="159">
        <v>0</v>
      </c>
      <c r="K29" s="159">
        <v>0</v>
      </c>
      <c r="L29" s="159">
        <v>0</v>
      </c>
      <c r="M29" s="159"/>
      <c r="N29" s="159">
        <v>0</v>
      </c>
      <c r="O29" s="159">
        <v>22503.230084999999</v>
      </c>
      <c r="P29" s="159">
        <v>0</v>
      </c>
      <c r="Q29" s="159">
        <v>0</v>
      </c>
      <c r="R29" s="156">
        <v>46583.848700000002</v>
      </c>
      <c r="U29" s="157"/>
      <c r="V29" s="158" t="s">
        <v>485</v>
      </c>
      <c r="W29" s="158" t="s">
        <v>456</v>
      </c>
      <c r="X29" s="159">
        <v>223.96751620000001</v>
      </c>
      <c r="Y29" s="159">
        <v>170.96100000000001</v>
      </c>
      <c r="Z29" s="159">
        <v>2022.144153</v>
      </c>
      <c r="AA29" s="159">
        <v>19514.620138999999</v>
      </c>
      <c r="AB29" s="159">
        <v>2148.9258067999999</v>
      </c>
      <c r="AC29" s="159">
        <v>0</v>
      </c>
      <c r="AD29" s="159">
        <v>0</v>
      </c>
      <c r="AE29" s="159">
        <v>0</v>
      </c>
      <c r="AF29" s="159"/>
      <c r="AG29" s="159">
        <v>0</v>
      </c>
      <c r="AH29" s="159">
        <v>22503.230084999999</v>
      </c>
      <c r="AI29" s="159">
        <v>0</v>
      </c>
      <c r="AJ29" s="159">
        <v>2752.0909999999999</v>
      </c>
      <c r="AK29" s="159">
        <v>0</v>
      </c>
      <c r="AL29" s="159">
        <v>49364.939700000003</v>
      </c>
      <c r="AM29" s="1" t="s">
        <v>467</v>
      </c>
      <c r="AN29" s="161"/>
      <c r="AP29" s="158" t="s">
        <v>485</v>
      </c>
      <c r="AQ29" s="158" t="s">
        <v>456</v>
      </c>
      <c r="AR29" s="1">
        <v>49.1</v>
      </c>
      <c r="AS29" s="161">
        <f>AR29/AL29</f>
        <v>9.9463303912432398E-4</v>
      </c>
      <c r="AT29" s="115">
        <v>393.11799999999999</v>
      </c>
      <c r="AU29" s="161">
        <f>AT29/AL29</f>
        <v>7.9635061318630556E-3</v>
      </c>
    </row>
    <row r="30" spans="3:47" x14ac:dyDescent="0.3">
      <c r="C30" s="682" t="s">
        <v>486</v>
      </c>
      <c r="D30" s="682"/>
      <c r="E30" s="156">
        <v>319.82499999999999</v>
      </c>
      <c r="F30" s="156"/>
      <c r="G30" s="156">
        <v>1482.825</v>
      </c>
      <c r="H30" s="156">
        <v>11980.063</v>
      </c>
      <c r="I30" s="156">
        <v>111.648</v>
      </c>
      <c r="J30" s="156">
        <v>0</v>
      </c>
      <c r="K30" s="156">
        <v>0</v>
      </c>
      <c r="L30" s="156">
        <v>0</v>
      </c>
      <c r="M30" s="156"/>
      <c r="N30" s="156">
        <v>0</v>
      </c>
      <c r="O30" s="156">
        <v>18782.45</v>
      </c>
      <c r="P30" s="156">
        <v>36.052999999999997</v>
      </c>
      <c r="Q30" s="156">
        <v>0</v>
      </c>
      <c r="R30" s="156">
        <v>32712.864000000001</v>
      </c>
      <c r="U30" s="157"/>
      <c r="V30" s="682" t="s">
        <v>486</v>
      </c>
      <c r="W30" s="682"/>
      <c r="X30" s="156">
        <v>15.119</v>
      </c>
      <c r="Y30" s="156">
        <v>304.70600000000002</v>
      </c>
      <c r="Z30" s="156">
        <v>1482.825</v>
      </c>
      <c r="AA30" s="156">
        <v>11980.063</v>
      </c>
      <c r="AB30" s="156">
        <v>111.648</v>
      </c>
      <c r="AC30" s="156">
        <v>0</v>
      </c>
      <c r="AD30" s="156">
        <v>0</v>
      </c>
      <c r="AE30" s="156">
        <v>0</v>
      </c>
      <c r="AF30" s="156"/>
      <c r="AG30" s="156">
        <v>0</v>
      </c>
      <c r="AH30" s="156">
        <v>18782.45</v>
      </c>
      <c r="AI30" s="156">
        <v>0</v>
      </c>
      <c r="AJ30" s="156">
        <v>36.052999999999997</v>
      </c>
      <c r="AK30" s="156">
        <v>0</v>
      </c>
      <c r="AL30" s="156">
        <v>32712.864000000001</v>
      </c>
      <c r="AM30" s="1" t="s">
        <v>473</v>
      </c>
      <c r="AN30" s="161"/>
      <c r="AP30" s="682" t="s">
        <v>486</v>
      </c>
      <c r="AQ30" s="682"/>
      <c r="AR30" s="1">
        <v>22.7</v>
      </c>
      <c r="AS30" s="161">
        <f>AR30/AL30</f>
        <v>6.939166194681089E-4</v>
      </c>
      <c r="AT30" s="115">
        <v>110.557</v>
      </c>
      <c r="AU30" s="161">
        <f>AT30/AL30</f>
        <v>3.3796184889222781E-3</v>
      </c>
    </row>
    <row r="31" spans="3:47" x14ac:dyDescent="0.3">
      <c r="C31" s="682" t="s">
        <v>31</v>
      </c>
      <c r="D31" s="682"/>
      <c r="E31" s="156">
        <v>0</v>
      </c>
      <c r="F31" s="156"/>
      <c r="G31" s="156">
        <v>10781.01</v>
      </c>
      <c r="H31" s="156">
        <v>2224.819</v>
      </c>
      <c r="I31" s="156">
        <v>666.399</v>
      </c>
      <c r="J31" s="156">
        <v>0</v>
      </c>
      <c r="K31" s="156">
        <v>0</v>
      </c>
      <c r="L31" s="156">
        <v>0</v>
      </c>
      <c r="M31" s="156"/>
      <c r="N31" s="156">
        <v>0</v>
      </c>
      <c r="O31" s="156">
        <v>4133.3019999999997</v>
      </c>
      <c r="P31" s="156">
        <v>0</v>
      </c>
      <c r="Q31" s="156">
        <v>0</v>
      </c>
      <c r="R31" s="156">
        <v>17805.53</v>
      </c>
      <c r="U31" s="157"/>
      <c r="V31" s="682" t="s">
        <v>31</v>
      </c>
      <c r="W31" s="682"/>
      <c r="X31" s="156">
        <v>0</v>
      </c>
      <c r="Y31" s="156">
        <v>0</v>
      </c>
      <c r="Z31" s="156">
        <v>10781.01</v>
      </c>
      <c r="AA31" s="156">
        <v>2224.819</v>
      </c>
      <c r="AB31" s="156">
        <v>666.399</v>
      </c>
      <c r="AC31" s="156">
        <v>0</v>
      </c>
      <c r="AD31" s="156">
        <v>0</v>
      </c>
      <c r="AE31" s="156">
        <v>0</v>
      </c>
      <c r="AF31" s="156"/>
      <c r="AG31" s="156">
        <v>0</v>
      </c>
      <c r="AH31" s="156">
        <v>4133.3019999999997</v>
      </c>
      <c r="AI31" s="156">
        <v>0</v>
      </c>
      <c r="AJ31" s="156">
        <v>0</v>
      </c>
      <c r="AK31" s="156">
        <v>0</v>
      </c>
      <c r="AL31" s="156">
        <v>17805.53</v>
      </c>
      <c r="AM31" s="1" t="s">
        <v>473</v>
      </c>
      <c r="AP31" s="682" t="s">
        <v>31</v>
      </c>
      <c r="AQ31" s="682"/>
      <c r="AS31" s="161"/>
      <c r="AU31" s="161"/>
    </row>
    <row r="32" spans="3:47" x14ac:dyDescent="0.3">
      <c r="C32" s="682" t="s">
        <v>487</v>
      </c>
      <c r="D32" s="682"/>
      <c r="E32" s="156">
        <v>111.648</v>
      </c>
      <c r="F32" s="156"/>
      <c r="G32" s="156">
        <v>3732.067</v>
      </c>
      <c r="H32" s="156">
        <v>16468.614979999998</v>
      </c>
      <c r="I32" s="156">
        <v>7392.0280000000002</v>
      </c>
      <c r="J32" s="156">
        <v>0</v>
      </c>
      <c r="K32" s="156">
        <v>0</v>
      </c>
      <c r="L32" s="156">
        <v>0</v>
      </c>
      <c r="M32" s="156"/>
      <c r="N32" s="156">
        <v>0</v>
      </c>
      <c r="O32" s="156">
        <v>18501.004000000001</v>
      </c>
      <c r="P32" s="156">
        <v>532.02598</v>
      </c>
      <c r="Q32" s="156">
        <v>0</v>
      </c>
      <c r="R32" s="156">
        <v>46737.38796</v>
      </c>
      <c r="U32" s="157"/>
      <c r="V32" s="682" t="s">
        <v>487</v>
      </c>
      <c r="W32" s="682"/>
      <c r="X32" s="156">
        <v>111.648</v>
      </c>
      <c r="Y32" s="156">
        <v>0</v>
      </c>
      <c r="Z32" s="156">
        <v>3732.067</v>
      </c>
      <c r="AA32" s="156">
        <v>16468.614979999998</v>
      </c>
      <c r="AB32" s="156">
        <v>7392.0280000000002</v>
      </c>
      <c r="AC32" s="156">
        <v>0</v>
      </c>
      <c r="AD32" s="156">
        <v>0</v>
      </c>
      <c r="AE32" s="156">
        <v>0</v>
      </c>
      <c r="AF32" s="156"/>
      <c r="AG32" s="156">
        <v>0</v>
      </c>
      <c r="AH32" s="156">
        <v>18501.004000000001</v>
      </c>
      <c r="AI32" s="156">
        <v>0</v>
      </c>
      <c r="AJ32" s="156">
        <v>6499.4669800000001</v>
      </c>
      <c r="AK32" s="156">
        <v>0</v>
      </c>
      <c r="AL32" s="156">
        <v>49804.828959999999</v>
      </c>
      <c r="AM32" s="1" t="s">
        <v>473</v>
      </c>
      <c r="AP32" s="682" t="s">
        <v>487</v>
      </c>
      <c r="AQ32" s="682"/>
      <c r="AS32" s="161"/>
      <c r="AU32" s="161"/>
    </row>
    <row r="33" spans="3:47" x14ac:dyDescent="0.3">
      <c r="C33" s="158" t="s">
        <v>488</v>
      </c>
      <c r="D33" s="158" t="s">
        <v>456</v>
      </c>
      <c r="E33" s="159">
        <v>111.648</v>
      </c>
      <c r="F33" s="159"/>
      <c r="G33" s="159">
        <v>462.87400000000002</v>
      </c>
      <c r="H33" s="159">
        <v>8878.3420000000006</v>
      </c>
      <c r="I33" s="159">
        <v>6857.0479999999998</v>
      </c>
      <c r="J33" s="159">
        <v>0</v>
      </c>
      <c r="K33" s="159">
        <v>0</v>
      </c>
      <c r="L33" s="159">
        <v>0</v>
      </c>
      <c r="M33" s="159"/>
      <c r="N33" s="159">
        <v>0</v>
      </c>
      <c r="O33" s="159">
        <v>7509.491</v>
      </c>
      <c r="P33" s="159">
        <v>0</v>
      </c>
      <c r="Q33" s="159">
        <v>0</v>
      </c>
      <c r="R33" s="156">
        <v>23819.402999999998</v>
      </c>
      <c r="U33" s="157"/>
      <c r="V33" s="158" t="s">
        <v>488</v>
      </c>
      <c r="W33" s="158" t="s">
        <v>456</v>
      </c>
      <c r="X33" s="159">
        <v>111.648</v>
      </c>
      <c r="Y33" s="159">
        <v>0</v>
      </c>
      <c r="Z33" s="159">
        <v>462.87400000000002</v>
      </c>
      <c r="AA33" s="159">
        <v>8878.3420000000006</v>
      </c>
      <c r="AB33" s="159">
        <v>6857.0479999999998</v>
      </c>
      <c r="AC33" s="159">
        <v>0</v>
      </c>
      <c r="AD33" s="159">
        <v>0</v>
      </c>
      <c r="AE33" s="159">
        <v>0</v>
      </c>
      <c r="AF33" s="159"/>
      <c r="AG33" s="159">
        <v>0</v>
      </c>
      <c r="AH33" s="159">
        <v>7509.491</v>
      </c>
      <c r="AI33" s="159">
        <v>0</v>
      </c>
      <c r="AJ33" s="159">
        <v>3067.4409999999998</v>
      </c>
      <c r="AK33" s="159">
        <v>0</v>
      </c>
      <c r="AL33" s="159">
        <v>26886.844000000001</v>
      </c>
      <c r="AM33" s="1" t="s">
        <v>473</v>
      </c>
      <c r="AN33" s="161"/>
      <c r="AP33" s="158" t="s">
        <v>488</v>
      </c>
      <c r="AQ33" s="158" t="s">
        <v>456</v>
      </c>
      <c r="AR33" s="1">
        <v>108.6</v>
      </c>
      <c r="AS33" s="161">
        <f>AR33/AL33</f>
        <v>4.0391501509065173E-3</v>
      </c>
      <c r="AT33" s="115">
        <v>2412.0079999999998</v>
      </c>
      <c r="AU33" s="161">
        <f>AT33/AL33</f>
        <v>8.9709599237456042E-2</v>
      </c>
    </row>
    <row r="34" spans="3:47" x14ac:dyDescent="0.3">
      <c r="C34" s="158" t="s">
        <v>489</v>
      </c>
      <c r="D34" s="158" t="s">
        <v>456</v>
      </c>
      <c r="E34" s="159">
        <v>0</v>
      </c>
      <c r="F34" s="159"/>
      <c r="G34" s="159">
        <v>3269.1930000000002</v>
      </c>
      <c r="H34" s="159">
        <v>7590.2729799999997</v>
      </c>
      <c r="I34" s="159">
        <v>534.98</v>
      </c>
      <c r="J34" s="159">
        <v>0</v>
      </c>
      <c r="K34" s="159">
        <v>0</v>
      </c>
      <c r="L34" s="159">
        <v>0</v>
      </c>
      <c r="M34" s="159"/>
      <c r="N34" s="159">
        <v>0</v>
      </c>
      <c r="O34" s="159">
        <v>10991.513000000001</v>
      </c>
      <c r="P34" s="159">
        <v>532.02598</v>
      </c>
      <c r="Q34" s="159">
        <v>0</v>
      </c>
      <c r="R34" s="156">
        <v>22917.984960000002</v>
      </c>
      <c r="U34" s="157"/>
      <c r="V34" s="158" t="s">
        <v>489</v>
      </c>
      <c r="W34" s="158" t="s">
        <v>456</v>
      </c>
      <c r="X34" s="159">
        <v>0</v>
      </c>
      <c r="Y34" s="159">
        <v>0</v>
      </c>
      <c r="Z34" s="159">
        <v>3269.1930000000002</v>
      </c>
      <c r="AA34" s="159">
        <v>7590.2729799999997</v>
      </c>
      <c r="AB34" s="159">
        <v>534.98</v>
      </c>
      <c r="AC34" s="159">
        <v>0</v>
      </c>
      <c r="AD34" s="159">
        <v>0</v>
      </c>
      <c r="AE34" s="159">
        <v>0</v>
      </c>
      <c r="AF34" s="159"/>
      <c r="AG34" s="159">
        <v>0</v>
      </c>
      <c r="AH34" s="159">
        <v>10991.513000000001</v>
      </c>
      <c r="AI34" s="159">
        <v>0</v>
      </c>
      <c r="AJ34" s="159">
        <v>532.02598</v>
      </c>
      <c r="AK34" s="159">
        <v>0</v>
      </c>
      <c r="AL34" s="159">
        <v>22917.984960000002</v>
      </c>
      <c r="AM34" s="1" t="s">
        <v>467</v>
      </c>
      <c r="AP34" s="158" t="s">
        <v>489</v>
      </c>
      <c r="AQ34" s="158" t="s">
        <v>456</v>
      </c>
      <c r="AR34" s="1">
        <v>22.5</v>
      </c>
      <c r="AS34" s="161">
        <f>AR34/AL34</f>
        <v>9.8176170545841916E-4</v>
      </c>
      <c r="AT34" s="115">
        <v>143.74</v>
      </c>
      <c r="AU34" s="161">
        <f>AT34/AL34</f>
        <v>6.271930113004141E-3</v>
      </c>
    </row>
    <row r="35" spans="3:47" x14ac:dyDescent="0.3">
      <c r="C35" s="682" t="s">
        <v>490</v>
      </c>
      <c r="D35" s="682"/>
      <c r="E35" s="156">
        <v>36490.88248</v>
      </c>
      <c r="F35" s="156"/>
      <c r="G35" s="156">
        <v>31499.494470000001</v>
      </c>
      <c r="H35" s="156">
        <v>129620.93222</v>
      </c>
      <c r="I35" s="156">
        <v>17429.927520000001</v>
      </c>
      <c r="J35" s="156">
        <v>0</v>
      </c>
      <c r="K35" s="156">
        <v>0</v>
      </c>
      <c r="L35" s="156">
        <v>0</v>
      </c>
      <c r="M35" s="156"/>
      <c r="N35" s="156">
        <v>0</v>
      </c>
      <c r="O35" s="156">
        <v>113234.78556999999</v>
      </c>
      <c r="P35" s="156">
        <v>12048.19154</v>
      </c>
      <c r="Q35" s="156">
        <v>0</v>
      </c>
      <c r="R35" s="156">
        <v>337424.21380000003</v>
      </c>
      <c r="U35" s="157"/>
      <c r="V35" s="682" t="s">
        <v>491</v>
      </c>
      <c r="W35" s="682"/>
      <c r="X35" s="156">
        <v>9655.8590000000004</v>
      </c>
      <c r="Y35" s="156">
        <v>1558.71075</v>
      </c>
      <c r="Z35" s="156">
        <v>31499.494470000001</v>
      </c>
      <c r="AA35" s="156">
        <v>121340.75601</v>
      </c>
      <c r="AB35" s="156">
        <v>14126.487973647099</v>
      </c>
      <c r="AC35" s="156">
        <v>3417.6412551478002</v>
      </c>
      <c r="AD35" s="156">
        <v>0</v>
      </c>
      <c r="AE35" s="156">
        <v>0</v>
      </c>
      <c r="AF35" s="156"/>
      <c r="AG35" s="156">
        <v>0</v>
      </c>
      <c r="AH35" s="156">
        <v>113234.78556999999</v>
      </c>
      <c r="AI35" s="156">
        <v>0</v>
      </c>
      <c r="AJ35" s="156">
        <v>17867.726439999999</v>
      </c>
      <c r="AK35" s="156">
        <v>0</v>
      </c>
      <c r="AL35" s="156">
        <v>312587.25686000002</v>
      </c>
      <c r="AP35" s="682" t="s">
        <v>491</v>
      </c>
      <c r="AQ35" s="682"/>
      <c r="AS35" s="161"/>
    </row>
    <row r="36" spans="3:47" x14ac:dyDescent="0.3">
      <c r="E36" s="150" t="s">
        <v>492</v>
      </c>
      <c r="P36" s="1" t="s">
        <v>493</v>
      </c>
      <c r="X36" s="157">
        <f t="shared" ref="X36:AL36" si="0">SUM(X13:X18,X20:X22,X24:X26,X28:X29,X30:X31,X33:X34)</f>
        <v>9655.8590000029017</v>
      </c>
      <c r="Y36" s="157">
        <f t="shared" si="0"/>
        <v>1558.7107500000002</v>
      </c>
      <c r="Z36" s="157">
        <f t="shared" si="0"/>
        <v>31499.494472899987</v>
      </c>
      <c r="AA36" s="157">
        <f t="shared" si="0"/>
        <v>121340.7560100003</v>
      </c>
      <c r="AB36" s="157">
        <f t="shared" si="0"/>
        <v>14126.487973357125</v>
      </c>
      <c r="AC36" s="157">
        <f t="shared" si="0"/>
        <v>3417.6412551478002</v>
      </c>
      <c r="AD36" s="157">
        <f t="shared" si="0"/>
        <v>0</v>
      </c>
      <c r="AE36" s="157">
        <f t="shared" si="0"/>
        <v>0</v>
      </c>
      <c r="AF36" s="157">
        <f t="shared" si="0"/>
        <v>0</v>
      </c>
      <c r="AG36" s="157">
        <f t="shared" si="0"/>
        <v>0</v>
      </c>
      <c r="AH36" s="157">
        <f t="shared" si="0"/>
        <v>113234.78846999997</v>
      </c>
      <c r="AI36" s="157">
        <f t="shared" si="0"/>
        <v>0</v>
      </c>
      <c r="AJ36" s="157">
        <f t="shared" si="0"/>
        <v>17867.723539999999</v>
      </c>
      <c r="AK36" s="157">
        <f t="shared" si="0"/>
        <v>0</v>
      </c>
      <c r="AL36" s="157">
        <f t="shared" si="0"/>
        <v>312730.45857140806</v>
      </c>
    </row>
    <row r="37" spans="3:47" x14ac:dyDescent="0.3">
      <c r="C37" s="679">
        <v>2021</v>
      </c>
      <c r="D37" s="679"/>
      <c r="E37" s="679"/>
      <c r="F37" s="679"/>
      <c r="G37" s="679"/>
      <c r="H37" s="679"/>
      <c r="I37" s="679"/>
      <c r="J37" s="679"/>
      <c r="K37" s="679"/>
      <c r="L37" s="679"/>
      <c r="M37" s="679"/>
      <c r="N37" s="679"/>
      <c r="O37" s="679"/>
      <c r="P37" s="679"/>
      <c r="Q37" s="679"/>
      <c r="R37" s="679"/>
      <c r="V37" s="680">
        <v>2021</v>
      </c>
      <c r="W37" s="680"/>
      <c r="X37" s="680"/>
      <c r="Y37" s="680"/>
      <c r="Z37" s="680"/>
      <c r="AA37" s="680"/>
      <c r="AB37" s="680"/>
      <c r="AC37" s="680"/>
      <c r="AD37" s="680"/>
      <c r="AE37" s="680"/>
      <c r="AF37" s="680"/>
      <c r="AG37" s="680"/>
      <c r="AH37" s="680"/>
      <c r="AI37" s="680"/>
      <c r="AJ37" s="680"/>
      <c r="AK37" s="680"/>
      <c r="AL37" s="680"/>
    </row>
    <row r="38" spans="3:47" x14ac:dyDescent="0.3">
      <c r="C38" s="681" t="s">
        <v>437</v>
      </c>
      <c r="D38" s="681"/>
      <c r="E38" s="677" t="s">
        <v>438</v>
      </c>
      <c r="F38" s="677" t="s">
        <v>439</v>
      </c>
      <c r="G38" s="677" t="s">
        <v>440</v>
      </c>
      <c r="H38" s="677" t="s">
        <v>441</v>
      </c>
      <c r="I38" s="677" t="s">
        <v>442</v>
      </c>
      <c r="J38" s="677"/>
      <c r="K38" s="677"/>
      <c r="L38" s="677"/>
      <c r="M38" s="677" t="s">
        <v>443</v>
      </c>
      <c r="N38" s="677" t="s">
        <v>444</v>
      </c>
      <c r="O38" s="677" t="s">
        <v>445</v>
      </c>
      <c r="P38" s="677" t="s">
        <v>446</v>
      </c>
      <c r="Q38" s="153" t="s">
        <v>447</v>
      </c>
      <c r="R38" s="677" t="s">
        <v>52</v>
      </c>
      <c r="V38" s="681" t="s">
        <v>874</v>
      </c>
      <c r="W38" s="681"/>
      <c r="X38" s="677" t="s">
        <v>438</v>
      </c>
      <c r="Y38" s="406"/>
      <c r="Z38" s="677" t="s">
        <v>440</v>
      </c>
      <c r="AA38" s="677" t="s">
        <v>441</v>
      </c>
      <c r="AB38" s="677" t="s">
        <v>442</v>
      </c>
      <c r="AC38" s="677"/>
      <c r="AD38" s="677"/>
      <c r="AE38" s="677"/>
      <c r="AF38" s="677" t="s">
        <v>443</v>
      </c>
      <c r="AG38" s="677" t="s">
        <v>444</v>
      </c>
      <c r="AH38" s="677" t="s">
        <v>445</v>
      </c>
      <c r="AI38" s="154"/>
      <c r="AJ38" s="677" t="s">
        <v>446</v>
      </c>
      <c r="AK38" s="153" t="s">
        <v>447</v>
      </c>
      <c r="AL38" s="677" t="s">
        <v>52</v>
      </c>
    </row>
    <row r="39" spans="3:47" ht="43.2" x14ac:dyDescent="0.3">
      <c r="C39" s="681"/>
      <c r="D39" s="681"/>
      <c r="E39" s="677"/>
      <c r="F39" s="677"/>
      <c r="G39" s="677"/>
      <c r="H39" s="677"/>
      <c r="I39" s="153" t="s">
        <v>450</v>
      </c>
      <c r="J39" s="153" t="s">
        <v>451</v>
      </c>
      <c r="K39" s="153" t="s">
        <v>452</v>
      </c>
      <c r="L39" s="153" t="s">
        <v>453</v>
      </c>
      <c r="M39" s="677"/>
      <c r="N39" s="677"/>
      <c r="O39" s="677"/>
      <c r="P39" s="677"/>
      <c r="Q39" s="153" t="s">
        <v>447</v>
      </c>
      <c r="R39" s="677"/>
      <c r="V39" s="681"/>
      <c r="W39" s="681"/>
      <c r="X39" s="677"/>
      <c r="Y39" s="406" t="s">
        <v>454</v>
      </c>
      <c r="Z39" s="677"/>
      <c r="AA39" s="677"/>
      <c r="AB39" s="153" t="s">
        <v>450</v>
      </c>
      <c r="AC39" s="153" t="s">
        <v>451</v>
      </c>
      <c r="AD39" s="153" t="s">
        <v>452</v>
      </c>
      <c r="AE39" s="153" t="s">
        <v>453</v>
      </c>
      <c r="AF39" s="677"/>
      <c r="AG39" s="677"/>
      <c r="AH39" s="677"/>
      <c r="AI39" s="155" t="s">
        <v>455</v>
      </c>
      <c r="AJ39" s="677"/>
      <c r="AK39" s="153" t="s">
        <v>447</v>
      </c>
      <c r="AL39" s="677"/>
    </row>
    <row r="40" spans="3:47" x14ac:dyDescent="0.3">
      <c r="C40" s="682" t="s">
        <v>24</v>
      </c>
      <c r="D40" s="682"/>
      <c r="E40" s="156"/>
      <c r="F40" s="156"/>
      <c r="G40" s="156"/>
      <c r="H40" s="156"/>
      <c r="I40" s="156"/>
      <c r="J40" s="156"/>
      <c r="K40" s="156"/>
      <c r="L40" s="156"/>
      <c r="M40" s="156"/>
      <c r="N40" s="156"/>
      <c r="O40" s="156"/>
      <c r="P40" s="156"/>
      <c r="Q40" s="156"/>
      <c r="R40" s="156"/>
      <c r="V40" s="682" t="s">
        <v>24</v>
      </c>
      <c r="W40" s="682"/>
      <c r="X40" s="427">
        <v>42860.66813888889</v>
      </c>
      <c r="Y40" s="427">
        <v>28479.945555555558</v>
      </c>
      <c r="Z40" s="427">
        <v>348.85113611110853</v>
      </c>
      <c r="AA40" s="427">
        <v>15069.093427124848</v>
      </c>
      <c r="AB40" s="427">
        <v>15.315263111698838</v>
      </c>
      <c r="AC40" s="427">
        <v>0</v>
      </c>
      <c r="AD40" s="427"/>
      <c r="AE40" s="427"/>
      <c r="AF40" s="427"/>
      <c r="AG40" s="427"/>
      <c r="AH40" s="427">
        <v>21144.198270740002</v>
      </c>
      <c r="AI40" s="427"/>
      <c r="AJ40" s="427">
        <v>446.31655647559887</v>
      </c>
      <c r="AK40" s="427"/>
      <c r="AL40" s="427">
        <v>108364.38834800771</v>
      </c>
      <c r="AM40" s="135" t="s">
        <v>458</v>
      </c>
    </row>
    <row r="41" spans="3:47" x14ac:dyDescent="0.3">
      <c r="C41" s="158" t="s">
        <v>460</v>
      </c>
      <c r="D41" s="158" t="s">
        <v>456</v>
      </c>
      <c r="E41" s="159"/>
      <c r="F41" s="159"/>
      <c r="G41" s="159"/>
      <c r="H41" s="159"/>
      <c r="I41" s="159"/>
      <c r="J41" s="159"/>
      <c r="K41" s="159"/>
      <c r="L41" s="159"/>
      <c r="M41" s="159"/>
      <c r="N41" s="159"/>
      <c r="O41" s="159"/>
      <c r="P41" s="159"/>
      <c r="Q41" s="159"/>
      <c r="R41" s="156"/>
      <c r="V41" s="158" t="s">
        <v>460</v>
      </c>
      <c r="W41" s="158" t="s">
        <v>456</v>
      </c>
      <c r="X41" s="428">
        <v>41530.730000000003</v>
      </c>
      <c r="Y41" s="428">
        <v>27772.440000000002</v>
      </c>
      <c r="Z41" s="428">
        <v>0</v>
      </c>
      <c r="AA41" s="428">
        <v>0</v>
      </c>
      <c r="AB41" s="428">
        <v>0</v>
      </c>
      <c r="AC41" s="428">
        <v>0</v>
      </c>
      <c r="AD41" s="428">
        <v>0</v>
      </c>
      <c r="AE41" s="428">
        <v>0</v>
      </c>
      <c r="AF41" s="428"/>
      <c r="AG41" s="428">
        <v>0</v>
      </c>
      <c r="AH41" s="428">
        <v>0</v>
      </c>
      <c r="AI41" s="428">
        <v>0</v>
      </c>
      <c r="AJ41" s="428">
        <v>0</v>
      </c>
      <c r="AK41" s="428">
        <v>0</v>
      </c>
      <c r="AL41" s="428">
        <v>69303.170000000013</v>
      </c>
      <c r="AM41" s="1" t="s">
        <v>461</v>
      </c>
    </row>
    <row r="42" spans="3:47" x14ac:dyDescent="0.3">
      <c r="C42" s="158" t="s">
        <v>463</v>
      </c>
      <c r="D42" s="158" t="s">
        <v>456</v>
      </c>
      <c r="E42" s="159"/>
      <c r="F42" s="159"/>
      <c r="G42" s="159"/>
      <c r="H42" s="159"/>
      <c r="I42" s="159"/>
      <c r="J42" s="159"/>
      <c r="K42" s="159"/>
      <c r="L42" s="159"/>
      <c r="M42" s="159"/>
      <c r="N42" s="159"/>
      <c r="O42" s="159"/>
      <c r="P42" s="159"/>
      <c r="Q42" s="159"/>
      <c r="R42" s="156"/>
      <c r="V42" s="158" t="s">
        <v>463</v>
      </c>
      <c r="W42" s="158" t="s">
        <v>456</v>
      </c>
      <c r="X42" s="428">
        <v>68.378010870877304</v>
      </c>
      <c r="Y42" s="428">
        <v>0</v>
      </c>
      <c r="Z42" s="428">
        <v>39.073149069072741</v>
      </c>
      <c r="AA42" s="428">
        <v>429.80463975980018</v>
      </c>
      <c r="AB42" s="428">
        <v>0</v>
      </c>
      <c r="AC42" s="428">
        <v>0</v>
      </c>
      <c r="AD42" s="428">
        <v>0</v>
      </c>
      <c r="AE42" s="428">
        <v>0</v>
      </c>
      <c r="AF42" s="428"/>
      <c r="AG42" s="428">
        <v>0</v>
      </c>
      <c r="AH42" s="428">
        <v>1416.4016537538869</v>
      </c>
      <c r="AI42" s="428">
        <v>0</v>
      </c>
      <c r="AJ42" s="428">
        <v>0</v>
      </c>
      <c r="AK42" s="428">
        <v>0</v>
      </c>
      <c r="AL42" s="428">
        <v>1953.6574534536371</v>
      </c>
      <c r="AM42" s="429" t="s">
        <v>464</v>
      </c>
    </row>
    <row r="43" spans="3:47" x14ac:dyDescent="0.3">
      <c r="C43" s="158" t="s">
        <v>465</v>
      </c>
      <c r="D43" s="158" t="s">
        <v>456</v>
      </c>
      <c r="E43" s="159"/>
      <c r="F43" s="159"/>
      <c r="G43" s="159"/>
      <c r="H43" s="159"/>
      <c r="I43" s="159"/>
      <c r="J43" s="159"/>
      <c r="K43" s="159"/>
      <c r="L43" s="159"/>
      <c r="M43" s="159"/>
      <c r="N43" s="159"/>
      <c r="O43" s="159"/>
      <c r="P43" s="159"/>
      <c r="Q43" s="159"/>
      <c r="R43" s="156"/>
      <c r="V43" s="158" t="s">
        <v>465</v>
      </c>
      <c r="W43" s="158" t="s">
        <v>456</v>
      </c>
      <c r="X43" s="428">
        <v>0</v>
      </c>
      <c r="Y43" s="428">
        <v>0</v>
      </c>
      <c r="Z43" s="428">
        <v>0</v>
      </c>
      <c r="AA43" s="428">
        <v>0</v>
      </c>
      <c r="AB43" s="428">
        <v>0</v>
      </c>
      <c r="AC43" s="428">
        <v>0</v>
      </c>
      <c r="AD43" s="428">
        <v>0</v>
      </c>
      <c r="AE43" s="428">
        <v>0</v>
      </c>
      <c r="AF43" s="428"/>
      <c r="AG43" s="428">
        <v>0</v>
      </c>
      <c r="AH43" s="428">
        <v>0</v>
      </c>
      <c r="AI43" s="428">
        <v>0</v>
      </c>
      <c r="AJ43" s="428">
        <v>0</v>
      </c>
      <c r="AK43" s="428">
        <v>0</v>
      </c>
      <c r="AL43" s="428">
        <v>0</v>
      </c>
    </row>
    <row r="44" spans="3:47" x14ac:dyDescent="0.3">
      <c r="C44" s="158"/>
      <c r="D44" s="158"/>
      <c r="E44" s="159"/>
      <c r="F44" s="159"/>
      <c r="G44" s="159"/>
      <c r="H44" s="159"/>
      <c r="I44" s="159"/>
      <c r="J44" s="159"/>
      <c r="K44" s="159"/>
      <c r="L44" s="159"/>
      <c r="M44" s="159"/>
      <c r="N44" s="159"/>
      <c r="O44" s="159"/>
      <c r="P44" s="159"/>
      <c r="Q44" s="159"/>
      <c r="R44" s="156"/>
      <c r="V44" s="164" t="s">
        <v>466</v>
      </c>
      <c r="W44" s="158" t="s">
        <v>456</v>
      </c>
      <c r="X44" s="428">
        <v>1261.5601280180124</v>
      </c>
      <c r="Y44" s="428">
        <v>707.50555555555604</v>
      </c>
      <c r="Z44" s="428">
        <v>206.59561565314758</v>
      </c>
      <c r="AA44" s="428">
        <v>10745.61269112383</v>
      </c>
      <c r="AB44" s="428">
        <v>0</v>
      </c>
      <c r="AC44" s="428">
        <v>0</v>
      </c>
      <c r="AD44" s="428"/>
      <c r="AE44" s="428"/>
      <c r="AF44" s="428"/>
      <c r="AG44" s="428"/>
      <c r="AH44" s="428">
        <v>11465.760718166115</v>
      </c>
      <c r="AI44" s="428">
        <v>0</v>
      </c>
      <c r="AJ44" s="428">
        <v>167.03398070559885</v>
      </c>
      <c r="AK44" s="428">
        <v>0</v>
      </c>
      <c r="AL44" s="428">
        <v>24554.068689222258</v>
      </c>
      <c r="AM44" s="1" t="s">
        <v>467</v>
      </c>
    </row>
    <row r="45" spans="3:47" x14ac:dyDescent="0.3">
      <c r="C45" s="158" t="s">
        <v>468</v>
      </c>
      <c r="D45" s="158" t="s">
        <v>456</v>
      </c>
      <c r="E45" s="159"/>
      <c r="F45" s="159"/>
      <c r="G45" s="159"/>
      <c r="H45" s="159"/>
      <c r="I45" s="159"/>
      <c r="J45" s="159"/>
      <c r="K45" s="159"/>
      <c r="L45" s="159"/>
      <c r="M45" s="159"/>
      <c r="N45" s="159"/>
      <c r="O45" s="159"/>
      <c r="P45" s="159"/>
      <c r="Q45" s="159"/>
      <c r="R45" s="156"/>
      <c r="V45" s="158" t="s">
        <v>468</v>
      </c>
      <c r="W45" s="158" t="s">
        <v>456</v>
      </c>
      <c r="X45" s="428">
        <v>0</v>
      </c>
      <c r="Y45" s="428">
        <v>0</v>
      </c>
      <c r="Z45" s="428">
        <v>150.0950769230769</v>
      </c>
      <c r="AA45" s="428">
        <v>1340.1346153846152</v>
      </c>
      <c r="AB45" s="428">
        <v>0</v>
      </c>
      <c r="AC45" s="428">
        <v>0</v>
      </c>
      <c r="AD45" s="428">
        <v>0</v>
      </c>
      <c r="AE45" s="428">
        <v>0</v>
      </c>
      <c r="AF45" s="428"/>
      <c r="AG45" s="428">
        <v>0</v>
      </c>
      <c r="AH45" s="428">
        <v>3805.9823076923071</v>
      </c>
      <c r="AI45" s="428">
        <v>0</v>
      </c>
      <c r="AJ45" s="428">
        <v>42.884307692307686</v>
      </c>
      <c r="AK45" s="428">
        <v>0</v>
      </c>
      <c r="AL45" s="428">
        <v>5339.0963076923072</v>
      </c>
      <c r="AM45" s="430" t="s">
        <v>469</v>
      </c>
    </row>
    <row r="46" spans="3:47" x14ac:dyDescent="0.3">
      <c r="C46" s="158" t="s">
        <v>470</v>
      </c>
      <c r="D46" s="158" t="s">
        <v>456</v>
      </c>
      <c r="E46" s="159"/>
      <c r="F46" s="159"/>
      <c r="G46" s="159"/>
      <c r="H46" s="165"/>
      <c r="I46" s="159"/>
      <c r="J46" s="159"/>
      <c r="K46" s="159"/>
      <c r="L46" s="159"/>
      <c r="M46" s="159"/>
      <c r="N46" s="159"/>
      <c r="O46" s="165"/>
      <c r="P46" s="159"/>
      <c r="Q46" s="159"/>
      <c r="R46" s="156"/>
      <c r="V46" s="158" t="s">
        <v>470</v>
      </c>
      <c r="W46" s="158" t="s">
        <v>456</v>
      </c>
      <c r="X46" s="428">
        <v>0</v>
      </c>
      <c r="Y46" s="428">
        <v>0</v>
      </c>
      <c r="Z46" s="428">
        <v>32.923333333333332</v>
      </c>
      <c r="AA46" s="428">
        <v>855.74222222222227</v>
      </c>
      <c r="AB46" s="428">
        <v>0</v>
      </c>
      <c r="AC46" s="428">
        <v>0</v>
      </c>
      <c r="AD46" s="428">
        <v>0</v>
      </c>
      <c r="AE46" s="428">
        <v>0</v>
      </c>
      <c r="AF46" s="428"/>
      <c r="AG46" s="428">
        <v>0</v>
      </c>
      <c r="AH46" s="428">
        <v>448.63</v>
      </c>
      <c r="AI46" s="428">
        <v>0</v>
      </c>
      <c r="AJ46" s="428">
        <v>0</v>
      </c>
      <c r="AK46" s="428">
        <v>0</v>
      </c>
      <c r="AL46" s="428">
        <v>1337.2955555555557</v>
      </c>
      <c r="AM46" s="429" t="s">
        <v>471</v>
      </c>
    </row>
    <row r="47" spans="3:47" x14ac:dyDescent="0.3">
      <c r="C47" s="158" t="s">
        <v>472</v>
      </c>
      <c r="D47" s="158" t="s">
        <v>456</v>
      </c>
      <c r="E47" s="159"/>
      <c r="F47" s="159"/>
      <c r="G47" s="159"/>
      <c r="H47" s="159"/>
      <c r="I47" s="159"/>
      <c r="J47" s="159"/>
      <c r="K47" s="159"/>
      <c r="L47" s="159"/>
      <c r="M47" s="159"/>
      <c r="N47" s="159"/>
      <c r="O47" s="159"/>
      <c r="P47" s="159"/>
      <c r="Q47" s="159"/>
      <c r="R47" s="156"/>
      <c r="V47" s="158" t="s">
        <v>472</v>
      </c>
      <c r="W47" s="158" t="s">
        <v>456</v>
      </c>
      <c r="X47" s="428">
        <v>0</v>
      </c>
      <c r="Y47" s="428">
        <v>0</v>
      </c>
      <c r="Z47" s="428">
        <v>-79.836038867522049</v>
      </c>
      <c r="AA47" s="428">
        <v>1697.7992586343794</v>
      </c>
      <c r="AB47" s="428">
        <v>15.315263111698838</v>
      </c>
      <c r="AC47" s="428">
        <v>0</v>
      </c>
      <c r="AD47" s="428">
        <v>0</v>
      </c>
      <c r="AE47" s="428">
        <v>0</v>
      </c>
      <c r="AF47" s="428"/>
      <c r="AG47" s="428">
        <v>0</v>
      </c>
      <c r="AH47" s="428">
        <v>4007.4235911276928</v>
      </c>
      <c r="AI47" s="428">
        <v>0</v>
      </c>
      <c r="AJ47" s="428">
        <v>236.39826807769236</v>
      </c>
      <c r="AK47" s="428">
        <v>0</v>
      </c>
      <c r="AL47" s="428">
        <v>5877.1003420839415</v>
      </c>
      <c r="AM47" s="1" t="s">
        <v>467</v>
      </c>
    </row>
    <row r="48" spans="3:47" x14ac:dyDescent="0.3">
      <c r="C48" s="682" t="s">
        <v>25</v>
      </c>
      <c r="D48" s="682"/>
      <c r="E48" s="156"/>
      <c r="F48" s="156"/>
      <c r="G48" s="156"/>
      <c r="H48" s="156"/>
      <c r="I48" s="156"/>
      <c r="J48" s="156"/>
      <c r="K48" s="156"/>
      <c r="L48" s="156"/>
      <c r="M48" s="156"/>
      <c r="N48" s="156"/>
      <c r="O48" s="156"/>
      <c r="P48" s="156"/>
      <c r="Q48" s="156"/>
      <c r="R48" s="156"/>
      <c r="V48" s="682" t="s">
        <v>25</v>
      </c>
      <c r="W48" s="682"/>
      <c r="X48" s="427">
        <v>3122.5187177777757</v>
      </c>
      <c r="Y48" s="427">
        <v>0</v>
      </c>
      <c r="Z48" s="427">
        <v>1096.5764088888845</v>
      </c>
      <c r="AA48" s="427">
        <v>34968.860485159668</v>
      </c>
      <c r="AB48" s="427">
        <v>1372.5021902936512</v>
      </c>
      <c r="AC48" s="427">
        <v>0</v>
      </c>
      <c r="AD48" s="427">
        <v>0</v>
      </c>
      <c r="AE48" s="427">
        <v>0</v>
      </c>
      <c r="AF48" s="427"/>
      <c r="AG48" s="427">
        <v>0</v>
      </c>
      <c r="AH48" s="427">
        <v>19067.977618279998</v>
      </c>
      <c r="AI48" s="427">
        <v>0</v>
      </c>
      <c r="AJ48" s="427">
        <v>10755.218382588551</v>
      </c>
      <c r="AK48" s="427">
        <v>0</v>
      </c>
      <c r="AL48" s="427">
        <v>70383.653802988527</v>
      </c>
      <c r="AM48" s="1" t="s">
        <v>473</v>
      </c>
    </row>
    <row r="49" spans="3:39" x14ac:dyDescent="0.3">
      <c r="C49" s="158" t="s">
        <v>474</v>
      </c>
      <c r="D49" s="158" t="s">
        <v>456</v>
      </c>
      <c r="E49" s="159"/>
      <c r="F49" s="159"/>
      <c r="G49" s="159"/>
      <c r="H49" s="159"/>
      <c r="I49" s="159"/>
      <c r="J49" s="159"/>
      <c r="K49" s="159"/>
      <c r="L49" s="159"/>
      <c r="M49" s="159"/>
      <c r="N49" s="159"/>
      <c r="O49" s="159"/>
      <c r="P49" s="159"/>
      <c r="Q49" s="159"/>
      <c r="R49" s="156"/>
      <c r="V49" s="175" t="s">
        <v>870</v>
      </c>
      <c r="W49" s="158" t="s">
        <v>456</v>
      </c>
      <c r="X49" s="428">
        <v>0</v>
      </c>
      <c r="Y49" s="428">
        <v>0</v>
      </c>
      <c r="Z49" s="428">
        <v>25.298517877756744</v>
      </c>
      <c r="AA49" s="428">
        <v>4705.5243252627552</v>
      </c>
      <c r="AB49" s="428">
        <v>25.298517877756744</v>
      </c>
      <c r="AC49" s="428">
        <v>0</v>
      </c>
      <c r="AD49" s="428">
        <v>0</v>
      </c>
      <c r="AE49" s="428">
        <v>0</v>
      </c>
      <c r="AF49" s="428"/>
      <c r="AG49" s="428">
        <v>0</v>
      </c>
      <c r="AH49" s="428">
        <v>303.5822145330809</v>
      </c>
      <c r="AI49" s="428">
        <v>0</v>
      </c>
      <c r="AJ49" s="428">
        <v>0</v>
      </c>
      <c r="AK49" s="428">
        <v>0</v>
      </c>
      <c r="AL49" s="428">
        <v>5059.7035755513498</v>
      </c>
      <c r="AM49" s="430" t="s">
        <v>469</v>
      </c>
    </row>
    <row r="50" spans="3:39" x14ac:dyDescent="0.3">
      <c r="C50" s="158" t="s">
        <v>475</v>
      </c>
      <c r="D50" s="158" t="s">
        <v>456</v>
      </c>
      <c r="E50" s="159"/>
      <c r="F50" s="159"/>
      <c r="G50" s="159"/>
      <c r="H50" s="159"/>
      <c r="I50" s="159"/>
      <c r="J50" s="159"/>
      <c r="K50" s="159"/>
      <c r="L50" s="159"/>
      <c r="M50" s="159"/>
      <c r="N50" s="159"/>
      <c r="O50" s="159"/>
      <c r="P50" s="159"/>
      <c r="Q50" s="159"/>
      <c r="R50" s="156"/>
      <c r="V50" s="158" t="s">
        <v>475</v>
      </c>
      <c r="W50" s="158" t="s">
        <v>456</v>
      </c>
      <c r="X50" s="428">
        <v>0</v>
      </c>
      <c r="Y50" s="428">
        <v>0</v>
      </c>
      <c r="Z50" s="428">
        <v>1071.2778910111278</v>
      </c>
      <c r="AA50" s="428">
        <v>30263.872122172565</v>
      </c>
      <c r="AB50" s="428">
        <v>679.60920509355492</v>
      </c>
      <c r="AC50" s="428">
        <v>0</v>
      </c>
      <c r="AD50" s="428">
        <v>0</v>
      </c>
      <c r="AE50" s="428">
        <v>0</v>
      </c>
      <c r="AF50" s="428"/>
      <c r="AG50" s="428">
        <v>0</v>
      </c>
      <c r="AH50" s="428">
        <v>8207.6144463239452</v>
      </c>
      <c r="AI50" s="428">
        <v>0</v>
      </c>
      <c r="AJ50" s="428">
        <v>6767.8844431959915</v>
      </c>
      <c r="AK50" s="428">
        <v>0</v>
      </c>
      <c r="AL50" s="428">
        <v>46990.258107797184</v>
      </c>
      <c r="AM50" s="430" t="s">
        <v>476</v>
      </c>
    </row>
    <row r="51" spans="3:39" x14ac:dyDescent="0.3">
      <c r="C51" s="158" t="s">
        <v>478</v>
      </c>
      <c r="D51" s="158" t="s">
        <v>456</v>
      </c>
      <c r="E51" s="159"/>
      <c r="F51" s="159"/>
      <c r="G51" s="159"/>
      <c r="H51" s="159"/>
      <c r="I51" s="159"/>
      <c r="J51" s="159"/>
      <c r="K51" s="159"/>
      <c r="L51" s="159"/>
      <c r="M51" s="159"/>
      <c r="N51" s="159"/>
      <c r="O51" s="159"/>
      <c r="P51" s="159"/>
      <c r="Q51" s="159"/>
      <c r="R51" s="156"/>
      <c r="V51" s="158" t="s">
        <v>478</v>
      </c>
      <c r="W51" s="158" t="s">
        <v>456</v>
      </c>
      <c r="X51" s="428">
        <v>3122.5187177777757</v>
      </c>
      <c r="Y51" s="428">
        <v>0</v>
      </c>
      <c r="Z51" s="428">
        <v>0</v>
      </c>
      <c r="AA51" s="428">
        <v>-0.53596227565139998</v>
      </c>
      <c r="AB51" s="428">
        <v>667.5944673223396</v>
      </c>
      <c r="AC51" s="428">
        <v>0</v>
      </c>
      <c r="AD51" s="428">
        <v>0</v>
      </c>
      <c r="AE51" s="428">
        <v>0</v>
      </c>
      <c r="AF51" s="428"/>
      <c r="AG51" s="428">
        <v>0</v>
      </c>
      <c r="AH51" s="428">
        <v>10556.78095742297</v>
      </c>
      <c r="AI51" s="428">
        <v>0</v>
      </c>
      <c r="AJ51" s="428">
        <v>3987.3339393925598</v>
      </c>
      <c r="AK51" s="428">
        <v>0</v>
      </c>
      <c r="AL51" s="428">
        <v>18333.692119639993</v>
      </c>
      <c r="AM51" s="1" t="s">
        <v>467</v>
      </c>
    </row>
    <row r="52" spans="3:39" x14ac:dyDescent="0.3">
      <c r="C52" s="682" t="s">
        <v>479</v>
      </c>
      <c r="D52" s="682"/>
      <c r="E52" s="156"/>
      <c r="F52" s="156"/>
      <c r="G52" s="156"/>
      <c r="H52" s="156"/>
      <c r="I52" s="156"/>
      <c r="J52" s="156"/>
      <c r="K52" s="156"/>
      <c r="L52" s="156"/>
      <c r="M52" s="156"/>
      <c r="N52" s="156"/>
      <c r="O52" s="156"/>
      <c r="P52" s="156"/>
      <c r="Q52" s="156"/>
      <c r="R52" s="156"/>
      <c r="V52" s="682" t="s">
        <v>479</v>
      </c>
      <c r="W52" s="682"/>
      <c r="X52" s="427">
        <v>2947.0130933333321</v>
      </c>
      <c r="Y52" s="427">
        <v>425.96555555555562</v>
      </c>
      <c r="Z52" s="427">
        <v>8854.6754541666633</v>
      </c>
      <c r="AA52" s="427">
        <v>16993.603387240568</v>
      </c>
      <c r="AB52" s="427">
        <v>5653.7886795457998</v>
      </c>
      <c r="AC52" s="427">
        <v>3441.4563021949289</v>
      </c>
      <c r="AD52" s="427">
        <v>0</v>
      </c>
      <c r="AE52" s="427">
        <v>0</v>
      </c>
      <c r="AF52" s="427"/>
      <c r="AG52" s="427">
        <v>0</v>
      </c>
      <c r="AH52" s="427">
        <v>8024.4371387400006</v>
      </c>
      <c r="AI52" s="427">
        <v>0</v>
      </c>
      <c r="AJ52" s="427">
        <v>179.28474672570002</v>
      </c>
      <c r="AK52" s="427">
        <v>0</v>
      </c>
      <c r="AL52" s="427">
        <v>46520.224357502557</v>
      </c>
      <c r="AM52" s="1" t="s">
        <v>473</v>
      </c>
    </row>
    <row r="53" spans="3:39" x14ac:dyDescent="0.3">
      <c r="C53" s="158" t="s">
        <v>480</v>
      </c>
      <c r="D53" s="158" t="s">
        <v>456</v>
      </c>
      <c r="E53" s="159"/>
      <c r="F53" s="159"/>
      <c r="G53" s="159"/>
      <c r="H53" s="159"/>
      <c r="I53" s="159"/>
      <c r="J53" s="159"/>
      <c r="K53" s="159"/>
      <c r="L53" s="159"/>
      <c r="M53" s="159"/>
      <c r="N53" s="159"/>
      <c r="O53" s="159"/>
      <c r="P53" s="159"/>
      <c r="Q53" s="159"/>
      <c r="R53" s="156"/>
      <c r="V53" s="158" t="s">
        <v>480</v>
      </c>
      <c r="W53" s="158" t="s">
        <v>456</v>
      </c>
      <c r="X53" s="428">
        <v>1889.4269894403535</v>
      </c>
      <c r="Y53" s="428">
        <v>0</v>
      </c>
      <c r="Z53" s="428">
        <v>5195.9242209609711</v>
      </c>
      <c r="AA53" s="428">
        <v>269.91814134862187</v>
      </c>
      <c r="AB53" s="428">
        <v>2294.3042014632861</v>
      </c>
      <c r="AC53" s="428">
        <v>3441.4563021949289</v>
      </c>
      <c r="AD53" s="428">
        <v>0</v>
      </c>
      <c r="AE53" s="428">
        <v>0</v>
      </c>
      <c r="AF53" s="428"/>
      <c r="AG53" s="428">
        <v>0</v>
      </c>
      <c r="AH53" s="428">
        <v>404.87721202293278</v>
      </c>
      <c r="AI53" s="428">
        <v>0</v>
      </c>
      <c r="AJ53" s="428">
        <v>0</v>
      </c>
      <c r="AK53" s="428">
        <v>0</v>
      </c>
      <c r="AL53" s="428">
        <v>13495.907067431095</v>
      </c>
      <c r="AM53" s="1" t="s">
        <v>473</v>
      </c>
    </row>
    <row r="54" spans="3:39" x14ac:dyDescent="0.3">
      <c r="C54" s="158" t="s">
        <v>481</v>
      </c>
      <c r="D54" s="158" t="s">
        <v>456</v>
      </c>
      <c r="E54" s="159"/>
      <c r="F54" s="159"/>
      <c r="G54" s="159"/>
      <c r="H54" s="159"/>
      <c r="I54" s="159"/>
      <c r="J54" s="159"/>
      <c r="K54" s="159"/>
      <c r="L54" s="159"/>
      <c r="M54" s="159"/>
      <c r="N54" s="159"/>
      <c r="O54" s="159"/>
      <c r="P54" s="159"/>
      <c r="Q54" s="159"/>
      <c r="R54" s="156"/>
      <c r="V54" s="158" t="s">
        <v>481</v>
      </c>
      <c r="W54" s="158" t="s">
        <v>456</v>
      </c>
      <c r="X54" s="428">
        <v>0</v>
      </c>
      <c r="Y54" s="428">
        <v>0</v>
      </c>
      <c r="Z54" s="428">
        <v>1354.1065407952688</v>
      </c>
      <c r="AA54" s="428">
        <v>10080.570914809225</v>
      </c>
      <c r="AB54" s="428">
        <v>0</v>
      </c>
      <c r="AC54" s="428">
        <v>0</v>
      </c>
      <c r="AD54" s="428">
        <v>0</v>
      </c>
      <c r="AE54" s="428">
        <v>0</v>
      </c>
      <c r="AF54" s="428"/>
      <c r="AG54" s="428">
        <v>0</v>
      </c>
      <c r="AH54" s="428">
        <v>3610.95077545405</v>
      </c>
      <c r="AI54" s="428">
        <v>0</v>
      </c>
      <c r="AJ54" s="428">
        <v>0</v>
      </c>
      <c r="AK54" s="428">
        <v>0</v>
      </c>
      <c r="AL54" s="428">
        <v>15045.628231058543</v>
      </c>
      <c r="AM54" s="430" t="s">
        <v>476</v>
      </c>
    </row>
    <row r="55" spans="3:39" x14ac:dyDescent="0.3">
      <c r="C55" s="158" t="s">
        <v>482</v>
      </c>
      <c r="D55" s="158" t="s">
        <v>456</v>
      </c>
      <c r="E55" s="159"/>
      <c r="F55" s="159"/>
      <c r="G55" s="159"/>
      <c r="H55" s="159"/>
      <c r="I55" s="159"/>
      <c r="J55" s="159"/>
      <c r="K55" s="159"/>
      <c r="L55" s="159"/>
      <c r="M55" s="159"/>
      <c r="N55" s="159"/>
      <c r="O55" s="159"/>
      <c r="P55" s="159"/>
      <c r="Q55" s="159"/>
      <c r="R55" s="156"/>
      <c r="V55" s="158" t="s">
        <v>482</v>
      </c>
      <c r="W55" s="158" t="s">
        <v>456</v>
      </c>
      <c r="X55" s="428">
        <v>1057.5861038929786</v>
      </c>
      <c r="Y55" s="428">
        <v>425.96555555555562</v>
      </c>
      <c r="Z55" s="428">
        <v>2304.6446924104234</v>
      </c>
      <c r="AA55" s="428">
        <v>6643.114331082721</v>
      </c>
      <c r="AB55" s="428">
        <v>3359.4844780825138</v>
      </c>
      <c r="AC55" s="428">
        <v>0</v>
      </c>
      <c r="AD55" s="428">
        <v>0</v>
      </c>
      <c r="AE55" s="428">
        <v>0</v>
      </c>
      <c r="AF55" s="428"/>
      <c r="AG55" s="428">
        <v>0</v>
      </c>
      <c r="AH55" s="428">
        <v>4008.6091512630173</v>
      </c>
      <c r="AI55" s="428">
        <v>0</v>
      </c>
      <c r="AJ55" s="428">
        <v>179.28474672570002</v>
      </c>
      <c r="AK55" s="428">
        <v>0</v>
      </c>
      <c r="AL55" s="428">
        <v>17978.689059012911</v>
      </c>
      <c r="AM55" s="1" t="s">
        <v>467</v>
      </c>
    </row>
    <row r="56" spans="3:39" x14ac:dyDescent="0.3">
      <c r="C56" s="682" t="s">
        <v>483</v>
      </c>
      <c r="D56" s="682"/>
      <c r="E56" s="156"/>
      <c r="F56" s="156"/>
      <c r="G56" s="156"/>
      <c r="H56" s="156"/>
      <c r="I56" s="156"/>
      <c r="J56" s="156"/>
      <c r="K56" s="156"/>
      <c r="L56" s="156"/>
      <c r="M56" s="156"/>
      <c r="N56" s="156"/>
      <c r="O56" s="156"/>
      <c r="P56" s="156"/>
      <c r="Q56" s="156"/>
      <c r="R56" s="156"/>
      <c r="V56" s="682" t="s">
        <v>483</v>
      </c>
      <c r="W56" s="682"/>
      <c r="X56" s="427">
        <v>2906.4971183333309</v>
      </c>
      <c r="Y56" s="427">
        <v>120.4155555555556</v>
      </c>
      <c r="Z56" s="427">
        <v>3214.26671555555</v>
      </c>
      <c r="AA56" s="427">
        <v>25927.976481341484</v>
      </c>
      <c r="AB56" s="427">
        <v>1895.7675902964493</v>
      </c>
      <c r="AC56" s="427">
        <v>0</v>
      </c>
      <c r="AD56" s="427">
        <v>0</v>
      </c>
      <c r="AE56" s="427">
        <v>0</v>
      </c>
      <c r="AF56" s="427"/>
      <c r="AG56" s="427">
        <v>0</v>
      </c>
      <c r="AH56" s="427">
        <v>22638.94627696</v>
      </c>
      <c r="AI56" s="427">
        <v>0</v>
      </c>
      <c r="AJ56" s="427">
        <v>4002.1427687796968</v>
      </c>
      <c r="AK56" s="427">
        <v>0</v>
      </c>
      <c r="AL56" s="427">
        <v>60706.012506822066</v>
      </c>
      <c r="AM56" s="1" t="s">
        <v>473</v>
      </c>
    </row>
    <row r="57" spans="3:39" x14ac:dyDescent="0.3">
      <c r="C57" s="158" t="s">
        <v>484</v>
      </c>
      <c r="D57" s="158" t="s">
        <v>456</v>
      </c>
      <c r="E57" s="159"/>
      <c r="F57" s="159"/>
      <c r="G57" s="159"/>
      <c r="H57" s="159"/>
      <c r="I57" s="159"/>
      <c r="J57" s="159"/>
      <c r="K57" s="159"/>
      <c r="L57" s="159"/>
      <c r="M57" s="159"/>
      <c r="N57" s="159"/>
      <c r="O57" s="159"/>
      <c r="P57" s="159"/>
      <c r="Q57" s="159"/>
      <c r="R57" s="156"/>
      <c r="V57" s="158" t="s">
        <v>484</v>
      </c>
      <c r="W57" s="158" t="s">
        <v>456</v>
      </c>
      <c r="X57" s="428">
        <v>1768.6159680000003</v>
      </c>
      <c r="Y57" s="428">
        <v>0</v>
      </c>
      <c r="Z57" s="428">
        <v>855.78192000000013</v>
      </c>
      <c r="AA57" s="428">
        <v>6370.8209600000018</v>
      </c>
      <c r="AB57" s="428">
        <v>38.034752000000012</v>
      </c>
      <c r="AC57" s="428">
        <v>0</v>
      </c>
      <c r="AD57" s="428">
        <v>0</v>
      </c>
      <c r="AE57" s="428">
        <v>0</v>
      </c>
      <c r="AF57" s="428"/>
      <c r="AG57" s="428">
        <v>0</v>
      </c>
      <c r="AH57" s="428">
        <v>475.4344000000001</v>
      </c>
      <c r="AI57" s="428">
        <v>0</v>
      </c>
      <c r="AJ57" s="428">
        <v>0</v>
      </c>
      <c r="AK57" s="428">
        <v>0</v>
      </c>
      <c r="AL57" s="428">
        <v>9508.6880000000019</v>
      </c>
      <c r="AM57" s="430" t="s">
        <v>476</v>
      </c>
    </row>
    <row r="58" spans="3:39" x14ac:dyDescent="0.3">
      <c r="C58" s="158" t="s">
        <v>485</v>
      </c>
      <c r="D58" s="158" t="s">
        <v>456</v>
      </c>
      <c r="E58" s="159"/>
      <c r="F58" s="159"/>
      <c r="G58" s="159"/>
      <c r="H58" s="159"/>
      <c r="I58" s="159"/>
      <c r="J58" s="159"/>
      <c r="K58" s="159"/>
      <c r="L58" s="159"/>
      <c r="M58" s="159"/>
      <c r="N58" s="159"/>
      <c r="O58" s="159"/>
      <c r="P58" s="159"/>
      <c r="Q58" s="159"/>
      <c r="R58" s="156"/>
      <c r="V58" s="158" t="s">
        <v>485</v>
      </c>
      <c r="W58" s="158" t="s">
        <v>456</v>
      </c>
      <c r="X58" s="428">
        <v>1137.8811503333307</v>
      </c>
      <c r="Y58" s="428">
        <v>120.4155555555556</v>
      </c>
      <c r="Z58" s="428">
        <v>2358.4847955555497</v>
      </c>
      <c r="AA58" s="428">
        <v>19557.155521341483</v>
      </c>
      <c r="AB58" s="428">
        <v>1857.7328382964492</v>
      </c>
      <c r="AC58" s="428">
        <v>0</v>
      </c>
      <c r="AD58" s="428">
        <v>0</v>
      </c>
      <c r="AE58" s="428">
        <v>0</v>
      </c>
      <c r="AF58" s="428"/>
      <c r="AG58" s="428">
        <v>0</v>
      </c>
      <c r="AH58" s="428">
        <v>22163.511876960001</v>
      </c>
      <c r="AI58" s="428">
        <v>0</v>
      </c>
      <c r="AJ58" s="428">
        <v>4002.1427687796968</v>
      </c>
      <c r="AK58" s="428">
        <v>0</v>
      </c>
      <c r="AL58" s="428">
        <v>51197.324506822064</v>
      </c>
      <c r="AM58" s="1" t="s">
        <v>467</v>
      </c>
    </row>
    <row r="59" spans="3:39" x14ac:dyDescent="0.3">
      <c r="C59" s="682" t="s">
        <v>486</v>
      </c>
      <c r="D59" s="682"/>
      <c r="E59" s="156"/>
      <c r="F59" s="156"/>
      <c r="G59" s="156"/>
      <c r="H59" s="156"/>
      <c r="I59" s="156"/>
      <c r="J59" s="156"/>
      <c r="K59" s="156"/>
      <c r="L59" s="156"/>
      <c r="M59" s="156"/>
      <c r="N59" s="156"/>
      <c r="O59" s="156"/>
      <c r="P59" s="156"/>
      <c r="Q59" s="156"/>
      <c r="R59" s="156"/>
      <c r="V59" s="682" t="s">
        <v>486</v>
      </c>
      <c r="W59" s="682"/>
      <c r="X59" s="427">
        <v>252.76999999999916</v>
      </c>
      <c r="Y59" s="427">
        <v>252.76999999999916</v>
      </c>
      <c r="Z59" s="427">
        <v>1231.9814463888836</v>
      </c>
      <c r="AA59" s="427">
        <v>10361.183922705612</v>
      </c>
      <c r="AB59" s="427">
        <v>312.07202797199767</v>
      </c>
      <c r="AC59" s="427">
        <v>0</v>
      </c>
      <c r="AD59" s="427">
        <v>0</v>
      </c>
      <c r="AE59" s="427">
        <v>0</v>
      </c>
      <c r="AF59" s="427"/>
      <c r="AG59" s="427">
        <v>0</v>
      </c>
      <c r="AH59" s="427">
        <v>17675.53702408</v>
      </c>
      <c r="AI59" s="427">
        <v>0</v>
      </c>
      <c r="AJ59" s="427">
        <v>362.7698433899489</v>
      </c>
      <c r="AK59" s="427">
        <v>0</v>
      </c>
      <c r="AL59" s="427">
        <v>30449.084264536443</v>
      </c>
      <c r="AM59" s="1" t="s">
        <v>473</v>
      </c>
    </row>
    <row r="60" spans="3:39" x14ac:dyDescent="0.3">
      <c r="C60" s="682" t="s">
        <v>31</v>
      </c>
      <c r="D60" s="682"/>
      <c r="E60" s="156"/>
      <c r="F60" s="156"/>
      <c r="G60" s="156"/>
      <c r="H60" s="156"/>
      <c r="I60" s="156"/>
      <c r="J60" s="156"/>
      <c r="K60" s="156"/>
      <c r="L60" s="156"/>
      <c r="M60" s="156"/>
      <c r="N60" s="156"/>
      <c r="O60" s="156"/>
      <c r="P60" s="156"/>
      <c r="Q60" s="156"/>
      <c r="R60" s="156"/>
      <c r="V60" s="682" t="s">
        <v>31</v>
      </c>
      <c r="W60" s="682"/>
      <c r="X60" s="427">
        <v>0</v>
      </c>
      <c r="Y60" s="427">
        <v>0</v>
      </c>
      <c r="Z60" s="427">
        <v>10524.823882777724</v>
      </c>
      <c r="AA60" s="427">
        <v>2670.829006758569</v>
      </c>
      <c r="AB60" s="427">
        <v>16.953069026500003</v>
      </c>
      <c r="AC60" s="427">
        <v>0</v>
      </c>
      <c r="AD60" s="427">
        <v>0</v>
      </c>
      <c r="AE60" s="427">
        <v>0</v>
      </c>
      <c r="AF60" s="427"/>
      <c r="AG60" s="427">
        <v>0</v>
      </c>
      <c r="AH60" s="427">
        <v>4319.0922966999988</v>
      </c>
      <c r="AI60" s="427">
        <v>0</v>
      </c>
      <c r="AJ60" s="427">
        <v>0</v>
      </c>
      <c r="AK60" s="427">
        <v>0</v>
      </c>
      <c r="AL60" s="427">
        <v>17531.698255262789</v>
      </c>
      <c r="AM60" s="1" t="s">
        <v>473</v>
      </c>
    </row>
    <row r="61" spans="3:39" x14ac:dyDescent="0.3">
      <c r="C61" s="682" t="s">
        <v>487</v>
      </c>
      <c r="D61" s="682"/>
      <c r="E61" s="156"/>
      <c r="F61" s="156"/>
      <c r="G61" s="156"/>
      <c r="H61" s="156"/>
      <c r="I61" s="156"/>
      <c r="J61" s="156"/>
      <c r="K61" s="156"/>
      <c r="L61" s="156"/>
      <c r="M61" s="156"/>
      <c r="N61" s="156"/>
      <c r="O61" s="156"/>
      <c r="P61" s="156"/>
      <c r="Q61" s="156"/>
      <c r="R61" s="156"/>
      <c r="V61" s="682" t="s">
        <v>487</v>
      </c>
      <c r="W61" s="682"/>
      <c r="X61" s="427">
        <v>0</v>
      </c>
      <c r="Y61" s="427">
        <v>0</v>
      </c>
      <c r="Z61" s="427">
        <v>3736.1898336110939</v>
      </c>
      <c r="AA61" s="427">
        <v>15954.49803751097</v>
      </c>
      <c r="AB61" s="427">
        <v>7218.1573391460006</v>
      </c>
      <c r="AC61" s="427">
        <v>0</v>
      </c>
      <c r="AD61" s="427">
        <v>0</v>
      </c>
      <c r="AE61" s="427">
        <v>0</v>
      </c>
      <c r="AF61" s="427"/>
      <c r="AG61" s="427">
        <v>0</v>
      </c>
      <c r="AH61" s="427">
        <v>17521.061223439996</v>
      </c>
      <c r="AI61" s="427">
        <v>0</v>
      </c>
      <c r="AJ61" s="427">
        <v>4397.5255481910008</v>
      </c>
      <c r="AK61" s="427">
        <v>0</v>
      </c>
      <c r="AL61" s="427">
        <v>48827.431981899063</v>
      </c>
      <c r="AM61" s="1" t="s">
        <v>473</v>
      </c>
    </row>
    <row r="62" spans="3:39" x14ac:dyDescent="0.3">
      <c r="C62" s="158" t="s">
        <v>488</v>
      </c>
      <c r="D62" s="158" t="s">
        <v>456</v>
      </c>
      <c r="E62" s="159"/>
      <c r="F62" s="159"/>
      <c r="G62" s="159"/>
      <c r="H62" s="159"/>
      <c r="I62" s="159"/>
      <c r="J62" s="159"/>
      <c r="K62" s="159"/>
      <c r="L62" s="159"/>
      <c r="M62" s="159"/>
      <c r="N62" s="159"/>
      <c r="O62" s="159"/>
      <c r="P62" s="159"/>
      <c r="Q62" s="159"/>
      <c r="R62" s="156"/>
      <c r="V62" s="158" t="s">
        <v>488</v>
      </c>
      <c r="W62" s="158" t="s">
        <v>456</v>
      </c>
      <c r="X62" s="428">
        <v>0</v>
      </c>
      <c r="Y62" s="428">
        <v>0</v>
      </c>
      <c r="Z62" s="428">
        <v>532.47945527777631</v>
      </c>
      <c r="AA62" s="428">
        <v>8691.2150654563429</v>
      </c>
      <c r="AB62" s="428">
        <v>6926.5228845077008</v>
      </c>
      <c r="AC62" s="428">
        <v>0</v>
      </c>
      <c r="AD62" s="428">
        <v>0</v>
      </c>
      <c r="AE62" s="428">
        <v>0</v>
      </c>
      <c r="AF62" s="428"/>
      <c r="AG62" s="428">
        <v>0</v>
      </c>
      <c r="AH62" s="428">
        <v>6965.1635038000004</v>
      </c>
      <c r="AI62" s="428">
        <v>0</v>
      </c>
      <c r="AJ62" s="428">
        <v>3839.4459605484003</v>
      </c>
      <c r="AK62" s="428">
        <v>0</v>
      </c>
      <c r="AL62" s="428">
        <v>26954.826869590222</v>
      </c>
      <c r="AM62" s="1" t="s">
        <v>473</v>
      </c>
    </row>
    <row r="63" spans="3:39" x14ac:dyDescent="0.3">
      <c r="C63" s="158" t="s">
        <v>489</v>
      </c>
      <c r="D63" s="158" t="s">
        <v>456</v>
      </c>
      <c r="E63" s="159"/>
      <c r="F63" s="159"/>
      <c r="G63" s="159"/>
      <c r="H63" s="159"/>
      <c r="I63" s="159"/>
      <c r="J63" s="159"/>
      <c r="K63" s="159"/>
      <c r="L63" s="159"/>
      <c r="M63" s="159"/>
      <c r="N63" s="159"/>
      <c r="O63" s="159"/>
      <c r="P63" s="159"/>
      <c r="Q63" s="159"/>
      <c r="R63" s="156"/>
      <c r="V63" s="158" t="s">
        <v>489</v>
      </c>
      <c r="W63" s="158" t="s">
        <v>456</v>
      </c>
      <c r="X63" s="428">
        <v>0</v>
      </c>
      <c r="Y63" s="428">
        <v>0</v>
      </c>
      <c r="Z63" s="428">
        <v>3203.7103783333177</v>
      </c>
      <c r="AA63" s="428">
        <v>7263.282972054626</v>
      </c>
      <c r="AB63" s="428">
        <v>291.63445463830004</v>
      </c>
      <c r="AC63" s="428">
        <v>0</v>
      </c>
      <c r="AD63" s="428">
        <v>0</v>
      </c>
      <c r="AE63" s="428">
        <v>0</v>
      </c>
      <c r="AF63" s="428"/>
      <c r="AG63" s="428">
        <v>0</v>
      </c>
      <c r="AH63" s="428">
        <v>10555.897719639997</v>
      </c>
      <c r="AI63" s="428">
        <v>0</v>
      </c>
      <c r="AJ63" s="428">
        <v>558.07958764260002</v>
      </c>
      <c r="AK63" s="428">
        <v>0</v>
      </c>
      <c r="AL63" s="428">
        <v>21872.60511230884</v>
      </c>
      <c r="AM63" s="1" t="s">
        <v>467</v>
      </c>
    </row>
    <row r="64" spans="3:39" x14ac:dyDescent="0.3">
      <c r="C64" s="682" t="s">
        <v>490</v>
      </c>
      <c r="D64" s="682"/>
      <c r="E64" s="156"/>
      <c r="F64" s="156"/>
      <c r="G64" s="156"/>
      <c r="H64" s="156"/>
      <c r="I64" s="156"/>
      <c r="J64" s="156"/>
      <c r="K64" s="156"/>
      <c r="L64" s="156"/>
      <c r="M64" s="156"/>
      <c r="N64" s="156"/>
      <c r="O64" s="156"/>
      <c r="P64" s="156"/>
      <c r="Q64" s="156"/>
      <c r="R64" s="156"/>
      <c r="V64" s="682" t="s">
        <v>491</v>
      </c>
      <c r="W64" s="682"/>
      <c r="X64" s="427">
        <v>10558.737068333328</v>
      </c>
      <c r="Y64" s="427">
        <v>1506.6566666666658</v>
      </c>
      <c r="Z64" s="427">
        <v>29007.364877499906</v>
      </c>
      <c r="AA64" s="427">
        <v>121946.04474784172</v>
      </c>
      <c r="AB64" s="427">
        <v>16484.556159392097</v>
      </c>
      <c r="AC64" s="427">
        <v>3441.4563021949289</v>
      </c>
      <c r="AD64" s="427">
        <v>0</v>
      </c>
      <c r="AE64" s="427">
        <v>0</v>
      </c>
      <c r="AF64" s="427"/>
      <c r="AG64" s="427">
        <v>0</v>
      </c>
      <c r="AH64" s="427">
        <v>110391.24984893997</v>
      </c>
      <c r="AI64" s="427">
        <v>0</v>
      </c>
      <c r="AJ64" s="427">
        <v>20143.257846150496</v>
      </c>
      <c r="AK64" s="427">
        <v>0</v>
      </c>
      <c r="AL64" s="427">
        <v>313479.32351701916</v>
      </c>
    </row>
    <row r="65" spans="2:42" x14ac:dyDescent="0.3">
      <c r="X65" s="427">
        <v>10558.737068333328</v>
      </c>
      <c r="Y65" s="427">
        <v>1506.6566666666658</v>
      </c>
      <c r="Z65" s="427">
        <v>29007.364877499906</v>
      </c>
      <c r="AA65" s="427">
        <v>121946.04474784172</v>
      </c>
      <c r="AB65" s="427">
        <v>16484.556159392097</v>
      </c>
      <c r="AC65" s="427">
        <v>3441.4563021949289</v>
      </c>
      <c r="AD65" s="427">
        <v>0</v>
      </c>
      <c r="AE65" s="427">
        <v>0</v>
      </c>
      <c r="AF65" s="427"/>
      <c r="AG65" s="427">
        <v>0</v>
      </c>
      <c r="AH65" s="427">
        <v>110391.24984893997</v>
      </c>
      <c r="AI65" s="427">
        <v>0</v>
      </c>
      <c r="AJ65" s="427">
        <v>20143.257846150496</v>
      </c>
      <c r="AK65" s="427">
        <v>0</v>
      </c>
      <c r="AL65" s="427">
        <v>313479.32351701916</v>
      </c>
    </row>
    <row r="66" spans="2:42" x14ac:dyDescent="0.3">
      <c r="C66" s="678" t="s">
        <v>4</v>
      </c>
      <c r="D66" s="678"/>
      <c r="E66" s="678"/>
      <c r="F66" s="678"/>
      <c r="G66" s="678"/>
      <c r="H66" s="678"/>
      <c r="I66" s="678"/>
      <c r="J66" s="678"/>
      <c r="K66" s="678"/>
      <c r="L66" s="678"/>
      <c r="M66" s="678"/>
      <c r="N66" s="678"/>
      <c r="O66" s="678"/>
      <c r="P66" s="678"/>
      <c r="Q66" s="678"/>
      <c r="R66" s="678"/>
      <c r="S66" s="678"/>
      <c r="T66" s="678"/>
      <c r="U66" s="678"/>
      <c r="V66" s="678"/>
      <c r="W66" s="678"/>
      <c r="X66" s="678"/>
      <c r="Y66" s="678"/>
      <c r="Z66" s="678"/>
      <c r="AA66" s="678"/>
      <c r="AB66" s="678"/>
      <c r="AC66" s="678"/>
      <c r="AD66" s="678"/>
      <c r="AE66" s="678"/>
      <c r="AF66" s="678"/>
      <c r="AG66" s="678"/>
      <c r="AH66" s="678"/>
      <c r="AI66" s="678"/>
      <c r="AJ66" s="678"/>
      <c r="AK66" s="678"/>
      <c r="AL66" s="678"/>
      <c r="AM66" s="678"/>
    </row>
    <row r="68" spans="2:42" x14ac:dyDescent="0.3">
      <c r="C68" s="151" t="s">
        <v>435</v>
      </c>
      <c r="U68" s="547"/>
      <c r="V68" s="151" t="s">
        <v>436</v>
      </c>
      <c r="W68" s="151"/>
      <c r="X68" s="151"/>
      <c r="Y68" s="151"/>
      <c r="Z68" s="151"/>
      <c r="AA68" s="151"/>
      <c r="AB68" s="151"/>
      <c r="AC68" s="151"/>
      <c r="AD68" s="151"/>
      <c r="AE68" s="151"/>
      <c r="AF68" s="151"/>
      <c r="AG68" s="151"/>
      <c r="AH68" s="151"/>
      <c r="AI68" s="151"/>
      <c r="AJ68" s="151"/>
      <c r="AK68" s="151"/>
      <c r="AL68" s="151"/>
      <c r="AM68" s="151"/>
    </row>
    <row r="69" spans="2:42" x14ac:dyDescent="0.3">
      <c r="U69" s="547"/>
    </row>
    <row r="70" spans="2:42" ht="69.599999999999994" x14ac:dyDescent="0.3">
      <c r="C70" s="683" t="s">
        <v>494</v>
      </c>
      <c r="D70" s="683"/>
      <c r="E70" s="167" t="s">
        <v>438</v>
      </c>
      <c r="F70" s="167" t="s">
        <v>454</v>
      </c>
      <c r="G70" s="167" t="s">
        <v>440</v>
      </c>
      <c r="H70" s="167" t="s">
        <v>441</v>
      </c>
      <c r="I70" s="168" t="s">
        <v>450</v>
      </c>
      <c r="J70" s="168" t="s">
        <v>451</v>
      </c>
      <c r="K70" s="168" t="s">
        <v>452</v>
      </c>
      <c r="L70" s="168" t="s">
        <v>453</v>
      </c>
      <c r="M70" s="168" t="s">
        <v>443</v>
      </c>
      <c r="N70" s="168" t="s">
        <v>444</v>
      </c>
      <c r="O70" s="167" t="s">
        <v>495</v>
      </c>
      <c r="P70" s="167" t="s">
        <v>455</v>
      </c>
      <c r="Q70" s="167" t="s">
        <v>446</v>
      </c>
      <c r="R70" s="167" t="s">
        <v>447</v>
      </c>
      <c r="S70" s="167" t="s">
        <v>52</v>
      </c>
      <c r="U70" s="547"/>
      <c r="V70" s="633" t="s">
        <v>494</v>
      </c>
      <c r="W70" s="633"/>
      <c r="X70" s="633"/>
      <c r="Y70" s="169" t="s">
        <v>438</v>
      </c>
      <c r="Z70" s="169" t="s">
        <v>454</v>
      </c>
      <c r="AA70" s="169" t="s">
        <v>440</v>
      </c>
      <c r="AB70" s="169" t="s">
        <v>496</v>
      </c>
      <c r="AC70" s="169" t="s">
        <v>450</v>
      </c>
      <c r="AD70" s="169" t="s">
        <v>451</v>
      </c>
      <c r="AE70" s="169" t="s">
        <v>452</v>
      </c>
      <c r="AF70" s="169" t="s">
        <v>453</v>
      </c>
      <c r="AG70" s="169" t="s">
        <v>443</v>
      </c>
      <c r="AH70" s="169" t="s">
        <v>444</v>
      </c>
      <c r="AI70" s="169" t="s">
        <v>495</v>
      </c>
      <c r="AJ70" s="169" t="s">
        <v>455</v>
      </c>
      <c r="AK70" s="169" t="s">
        <v>446</v>
      </c>
      <c r="AL70" s="169" t="s">
        <v>447</v>
      </c>
      <c r="AM70" s="169" t="s">
        <v>52</v>
      </c>
      <c r="AN70" s="547"/>
    </row>
    <row r="71" spans="2:42" x14ac:dyDescent="0.3">
      <c r="C71" s="170" t="s">
        <v>24</v>
      </c>
      <c r="D71" s="170"/>
      <c r="E71" s="171"/>
      <c r="F71" s="171"/>
      <c r="G71" s="171"/>
      <c r="H71" s="171"/>
      <c r="I71" s="171"/>
      <c r="J71" s="171"/>
      <c r="K71" s="171"/>
      <c r="L71" s="171"/>
      <c r="M71" s="171"/>
      <c r="N71" s="171"/>
      <c r="O71" s="171"/>
      <c r="P71" s="171"/>
      <c r="Q71" s="171"/>
      <c r="R71" s="171"/>
      <c r="S71" s="172"/>
      <c r="U71" s="547"/>
      <c r="V71" s="634" t="s">
        <v>24</v>
      </c>
      <c r="W71" s="634"/>
      <c r="X71" s="634"/>
      <c r="Y71" s="171"/>
      <c r="Z71" s="171"/>
      <c r="AA71" s="171"/>
      <c r="AB71" s="171"/>
      <c r="AC71" s="171"/>
      <c r="AD71" s="171"/>
      <c r="AE71" s="171"/>
      <c r="AF71" s="171"/>
      <c r="AG71" s="171"/>
      <c r="AH71" s="171"/>
      <c r="AI71" s="171"/>
      <c r="AJ71" s="171"/>
      <c r="AK71" s="171"/>
      <c r="AL71" s="171"/>
      <c r="AM71" s="172"/>
      <c r="AN71" s="547"/>
      <c r="AP71" s="174" t="s">
        <v>459</v>
      </c>
    </row>
    <row r="72" spans="2:42" x14ac:dyDescent="0.3">
      <c r="B72" s="175">
        <v>2019</v>
      </c>
      <c r="C72" s="175" t="s">
        <v>460</v>
      </c>
      <c r="D72" s="176" t="s">
        <v>497</v>
      </c>
      <c r="E72" s="177">
        <v>0.480388367208748</v>
      </c>
      <c r="F72" s="177"/>
      <c r="G72" s="177">
        <v>3.9953763037986296E-3</v>
      </c>
      <c r="H72" s="177">
        <v>0.28681843011004698</v>
      </c>
      <c r="I72" s="177">
        <v>0</v>
      </c>
      <c r="J72" s="177">
        <v>0</v>
      </c>
      <c r="K72" s="177">
        <v>0</v>
      </c>
      <c r="L72" s="177">
        <v>0</v>
      </c>
      <c r="M72" s="177">
        <v>0</v>
      </c>
      <c r="N72" s="177">
        <v>0</v>
      </c>
      <c r="O72" s="177">
        <v>0.22597022364698899</v>
      </c>
      <c r="P72" s="177">
        <v>0</v>
      </c>
      <c r="Q72" s="177">
        <v>2.1191701877419102E-3</v>
      </c>
      <c r="R72" s="177">
        <v>0</v>
      </c>
      <c r="S72" s="178">
        <v>0.99929156745732495</v>
      </c>
      <c r="U72" s="547"/>
      <c r="V72" s="175" t="s">
        <v>460</v>
      </c>
      <c r="W72" s="175">
        <v>2021</v>
      </c>
      <c r="X72" s="176" t="s">
        <v>497</v>
      </c>
      <c r="Y72" s="186">
        <f>'A renseigner'!E79</f>
        <v>0.59926162107736192</v>
      </c>
      <c r="Z72" s="186">
        <f>'A renseigner'!F79</f>
        <v>0.40073837892263797</v>
      </c>
      <c r="AA72" s="186">
        <f>'A renseigner'!G79</f>
        <v>0</v>
      </c>
      <c r="AB72" s="186">
        <f>'A renseigner'!H79</f>
        <v>0</v>
      </c>
      <c r="AC72" s="186">
        <f>'A renseigner'!I79</f>
        <v>0</v>
      </c>
      <c r="AD72" s="186">
        <f>'A renseigner'!J79</f>
        <v>0</v>
      </c>
      <c r="AE72" s="186">
        <f>'A renseigner'!K79</f>
        <v>0</v>
      </c>
      <c r="AF72" s="186">
        <f>'A renseigner'!L79</f>
        <v>0</v>
      </c>
      <c r="AG72" s="186">
        <f>'A renseigner'!M79</f>
        <v>0</v>
      </c>
      <c r="AH72" s="186">
        <f>'A renseigner'!N79</f>
        <v>0</v>
      </c>
      <c r="AI72" s="186">
        <f>'A renseigner'!O79</f>
        <v>0</v>
      </c>
      <c r="AJ72" s="186">
        <f>'A renseigner'!P79</f>
        <v>0</v>
      </c>
      <c r="AK72" s="186">
        <f>'A renseigner'!Q79</f>
        <v>0</v>
      </c>
      <c r="AL72" s="186">
        <f>'A renseigner'!R79</f>
        <v>0</v>
      </c>
      <c r="AM72" s="172">
        <f>'A renseigner'!S79</f>
        <v>0.99999999999999989</v>
      </c>
      <c r="AN72" s="547"/>
      <c r="AP72" s="49" t="s">
        <v>498</v>
      </c>
    </row>
    <row r="73" spans="2:42" x14ac:dyDescent="0.3">
      <c r="B73" s="175">
        <v>2030</v>
      </c>
      <c r="C73" s="175" t="s">
        <v>460</v>
      </c>
      <c r="D73" s="176" t="s">
        <v>497</v>
      </c>
      <c r="E73" s="177">
        <v>0.329212696464595</v>
      </c>
      <c r="F73" s="177"/>
      <c r="G73" s="177">
        <v>0</v>
      </c>
      <c r="H73" s="177">
        <v>0.33790467496737397</v>
      </c>
      <c r="I73" s="177">
        <v>0.08</v>
      </c>
      <c r="J73" s="177">
        <v>0</v>
      </c>
      <c r="K73" s="177">
        <v>0</v>
      </c>
      <c r="L73" s="177">
        <v>0</v>
      </c>
      <c r="M73" s="177">
        <v>0</v>
      </c>
      <c r="N73" s="177">
        <v>0</v>
      </c>
      <c r="O73" s="177">
        <v>0.252882631497031</v>
      </c>
      <c r="P73" s="177">
        <v>0</v>
      </c>
      <c r="Q73" s="177">
        <v>0</v>
      </c>
      <c r="R73" s="177">
        <v>0</v>
      </c>
      <c r="S73" s="178">
        <v>1</v>
      </c>
      <c r="U73" s="547"/>
      <c r="V73" s="175" t="s">
        <v>460</v>
      </c>
      <c r="W73" s="175">
        <v>2030</v>
      </c>
      <c r="X73" s="176" t="s">
        <v>497</v>
      </c>
      <c r="Y73" s="186">
        <f>'A renseigner'!E80</f>
        <v>0.37820479572313859</v>
      </c>
      <c r="Z73" s="186">
        <f>'A renseigner'!F80</f>
        <v>0.56179520427686125</v>
      </c>
      <c r="AA73" s="186">
        <f>'A renseigner'!G80</f>
        <v>0</v>
      </c>
      <c r="AB73" s="186">
        <f>'A renseigner'!H80</f>
        <v>0</v>
      </c>
      <c r="AC73" s="186">
        <f>'A renseigner'!I80</f>
        <v>0.03</v>
      </c>
      <c r="AD73" s="186">
        <f>'A renseigner'!J80</f>
        <v>0.03</v>
      </c>
      <c r="AE73" s="186">
        <f>'A renseigner'!K80</f>
        <v>0</v>
      </c>
      <c r="AF73" s="186">
        <f>'A renseigner'!L80</f>
        <v>0</v>
      </c>
      <c r="AG73" s="186">
        <f>'A renseigner'!M80</f>
        <v>0</v>
      </c>
      <c r="AH73" s="186">
        <f>'A renseigner'!N80</f>
        <v>0</v>
      </c>
      <c r="AI73" s="186">
        <f>'A renseigner'!O80</f>
        <v>0</v>
      </c>
      <c r="AJ73" s="186">
        <f>'A renseigner'!P80</f>
        <v>0</v>
      </c>
      <c r="AK73" s="186">
        <f>'A renseigner'!Q80</f>
        <v>0</v>
      </c>
      <c r="AL73" s="186">
        <f>'A renseigner'!R80</f>
        <v>0</v>
      </c>
      <c r="AM73" s="172">
        <f>'A renseigner'!S80</f>
        <v>0.99999999999999989</v>
      </c>
      <c r="AN73" s="547"/>
      <c r="AO73" s="179"/>
      <c r="AP73" s="49" t="s">
        <v>499</v>
      </c>
    </row>
    <row r="74" spans="2:42" x14ac:dyDescent="0.3">
      <c r="B74" s="175">
        <v>2050</v>
      </c>
      <c r="C74" s="175" t="s">
        <v>460</v>
      </c>
      <c r="D74" s="176" t="s">
        <v>497</v>
      </c>
      <c r="E74" s="177">
        <v>0.161664061772858</v>
      </c>
      <c r="F74" s="177"/>
      <c r="G74" s="177">
        <v>0</v>
      </c>
      <c r="H74" s="177">
        <v>0.38847880686445802</v>
      </c>
      <c r="I74" s="177">
        <v>0.173010449959066</v>
      </c>
      <c r="J74" s="177">
        <v>0</v>
      </c>
      <c r="K74" s="177">
        <v>0</v>
      </c>
      <c r="L74" s="177">
        <v>0</v>
      </c>
      <c r="M74" s="177">
        <v>0</v>
      </c>
      <c r="N74" s="177">
        <v>0</v>
      </c>
      <c r="O74" s="177">
        <v>0.27687568143261798</v>
      </c>
      <c r="P74" s="177">
        <v>0</v>
      </c>
      <c r="Q74" s="177">
        <v>0</v>
      </c>
      <c r="R74" s="177">
        <v>0</v>
      </c>
      <c r="S74" s="178">
        <v>1</v>
      </c>
      <c r="U74" s="547"/>
      <c r="V74" s="175" t="s">
        <v>460</v>
      </c>
      <c r="W74" s="175">
        <v>2050</v>
      </c>
      <c r="X74" s="176" t="s">
        <v>497</v>
      </c>
      <c r="Y74" s="186">
        <f>'A renseigner'!E81</f>
        <v>0.33394678771298414</v>
      </c>
      <c r="Z74" s="186">
        <f>'A renseigner'!F81</f>
        <v>0.49605321228701588</v>
      </c>
      <c r="AA74" s="186">
        <f>'A renseigner'!G81</f>
        <v>0</v>
      </c>
      <c r="AB74" s="186">
        <f>'A renseigner'!H81</f>
        <v>0</v>
      </c>
      <c r="AC74" s="186">
        <f>'A renseigner'!I81</f>
        <v>0.05</v>
      </c>
      <c r="AD74" s="186">
        <f>'A renseigner'!J81</f>
        <v>0.12</v>
      </c>
      <c r="AE74" s="186">
        <f>'A renseigner'!K81</f>
        <v>0</v>
      </c>
      <c r="AF74" s="186">
        <f>'A renseigner'!L81</f>
        <v>0</v>
      </c>
      <c r="AG74" s="186">
        <f>'A renseigner'!M81</f>
        <v>0</v>
      </c>
      <c r="AH74" s="186">
        <f>'A renseigner'!N81</f>
        <v>0</v>
      </c>
      <c r="AI74" s="186">
        <f>'A renseigner'!O81</f>
        <v>0</v>
      </c>
      <c r="AJ74" s="186">
        <f>'A renseigner'!P81</f>
        <v>0</v>
      </c>
      <c r="AK74" s="186">
        <f>'A renseigner'!Q81</f>
        <v>0</v>
      </c>
      <c r="AL74" s="186">
        <f>'A renseigner'!R81</f>
        <v>0</v>
      </c>
      <c r="AM74" s="172">
        <f>'A renseigner'!S81</f>
        <v>1</v>
      </c>
      <c r="AN74" s="547"/>
      <c r="AP74" s="49" t="s">
        <v>500</v>
      </c>
    </row>
    <row r="75" spans="2:42" x14ac:dyDescent="0.3">
      <c r="C75" s="180"/>
      <c r="D75" s="181"/>
      <c r="E75" s="182"/>
      <c r="F75" s="182"/>
      <c r="G75" s="182"/>
      <c r="H75" s="182"/>
      <c r="I75" s="182"/>
      <c r="J75" s="182"/>
      <c r="K75" s="182"/>
      <c r="L75" s="182"/>
      <c r="M75" s="182"/>
      <c r="N75" s="182"/>
      <c r="O75" s="182"/>
      <c r="P75" s="182"/>
      <c r="Q75" s="182"/>
      <c r="R75" s="182"/>
      <c r="S75" s="183"/>
      <c r="U75" s="547"/>
      <c r="V75" s="180"/>
      <c r="W75" s="180"/>
      <c r="X75" s="181"/>
      <c r="Y75" s="184">
        <f>'A renseigner'!E82</f>
        <v>0</v>
      </c>
      <c r="Z75" s="184">
        <f>'A renseigner'!F82</f>
        <v>0</v>
      </c>
      <c r="AA75" s="184">
        <f>'A renseigner'!G82</f>
        <v>0</v>
      </c>
      <c r="AB75" s="184">
        <f>'A renseigner'!H82</f>
        <v>0</v>
      </c>
      <c r="AC75" s="184">
        <f>'A renseigner'!I82</f>
        <v>0</v>
      </c>
      <c r="AD75" s="184">
        <f>'A renseigner'!J82</f>
        <v>0</v>
      </c>
      <c r="AE75" s="184">
        <f>'A renseigner'!K82</f>
        <v>0</v>
      </c>
      <c r="AF75" s="184">
        <f>'A renseigner'!L82</f>
        <v>0</v>
      </c>
      <c r="AG75" s="184">
        <f>'A renseigner'!M82</f>
        <v>0</v>
      </c>
      <c r="AH75" s="184">
        <f>'A renseigner'!N82</f>
        <v>0</v>
      </c>
      <c r="AI75" s="184">
        <f>'A renseigner'!O82</f>
        <v>0</v>
      </c>
      <c r="AJ75" s="184">
        <f>'A renseigner'!P82</f>
        <v>0</v>
      </c>
      <c r="AK75" s="184">
        <f>'A renseigner'!Q82</f>
        <v>0</v>
      </c>
      <c r="AL75" s="184">
        <f>'A renseigner'!R82</f>
        <v>0</v>
      </c>
      <c r="AM75" s="185">
        <f>'A renseigner'!S82</f>
        <v>0</v>
      </c>
      <c r="AN75" s="547"/>
      <c r="AP75" s="49"/>
    </row>
    <row r="76" spans="2:42" x14ac:dyDescent="0.3">
      <c r="B76" s="175">
        <v>2019</v>
      </c>
      <c r="C76" s="175" t="s">
        <v>463</v>
      </c>
      <c r="D76" s="176" t="s">
        <v>497</v>
      </c>
      <c r="E76" s="177">
        <v>3.5000000000000003E-2</v>
      </c>
      <c r="F76" s="177"/>
      <c r="G76" s="177">
        <v>0.02</v>
      </c>
      <c r="H76" s="177">
        <v>0.191</v>
      </c>
      <c r="I76" s="177">
        <v>2.9000000000000001E-2</v>
      </c>
      <c r="J76" s="177">
        <v>0</v>
      </c>
      <c r="K76" s="177">
        <v>0</v>
      </c>
      <c r="L76" s="177">
        <v>0</v>
      </c>
      <c r="M76" s="177"/>
      <c r="N76" s="177">
        <v>0</v>
      </c>
      <c r="O76" s="177">
        <v>0.72499999999999998</v>
      </c>
      <c r="P76" s="177">
        <v>0</v>
      </c>
      <c r="Q76" s="177">
        <v>0</v>
      </c>
      <c r="R76" s="177">
        <v>0</v>
      </c>
      <c r="S76" s="178">
        <v>1</v>
      </c>
      <c r="U76" s="547"/>
      <c r="V76" s="175" t="s">
        <v>463</v>
      </c>
      <c r="W76" s="175">
        <v>2021</v>
      </c>
      <c r="X76" s="176" t="s">
        <v>497</v>
      </c>
      <c r="Y76" s="186">
        <f>'A renseigner'!E83</f>
        <v>3.5000000000000003E-2</v>
      </c>
      <c r="Z76" s="186">
        <f>'A renseigner'!F83</f>
        <v>0</v>
      </c>
      <c r="AA76" s="186">
        <f>'A renseigner'!G83</f>
        <v>0.02</v>
      </c>
      <c r="AB76" s="186">
        <f>'A renseigner'!H83</f>
        <v>0.22</v>
      </c>
      <c r="AC76" s="186">
        <f>'A renseigner'!I83</f>
        <v>0</v>
      </c>
      <c r="AD76" s="186">
        <f>'A renseigner'!J83</f>
        <v>0</v>
      </c>
      <c r="AE76" s="186">
        <f>'A renseigner'!K83</f>
        <v>0</v>
      </c>
      <c r="AF76" s="186">
        <f>'A renseigner'!L83</f>
        <v>0</v>
      </c>
      <c r="AG76" s="186">
        <f>'A renseigner'!M83</f>
        <v>0</v>
      </c>
      <c r="AH76" s="186">
        <f>'A renseigner'!N83</f>
        <v>0</v>
      </c>
      <c r="AI76" s="186">
        <f>'A renseigner'!O83</f>
        <v>0.72499999999999998</v>
      </c>
      <c r="AJ76" s="186">
        <f>'A renseigner'!P83</f>
        <v>0</v>
      </c>
      <c r="AK76" s="186">
        <f>'A renseigner'!Q83</f>
        <v>0</v>
      </c>
      <c r="AL76" s="186">
        <f>'A renseigner'!R83</f>
        <v>0</v>
      </c>
      <c r="AM76" s="172">
        <f>'A renseigner'!S83</f>
        <v>1</v>
      </c>
      <c r="AN76" s="547"/>
      <c r="AP76" s="49" t="s">
        <v>501</v>
      </c>
    </row>
    <row r="77" spans="2:42" x14ac:dyDescent="0.3">
      <c r="B77" s="175">
        <v>2030</v>
      </c>
      <c r="C77" s="175" t="s">
        <v>463</v>
      </c>
      <c r="D77" s="176" t="s">
        <v>497</v>
      </c>
      <c r="E77" s="177">
        <v>0.02</v>
      </c>
      <c r="F77" s="177"/>
      <c r="G77" s="177">
        <v>0.02</v>
      </c>
      <c r="H77" s="177">
        <v>0.18</v>
      </c>
      <c r="I77" s="177">
        <v>0.03</v>
      </c>
      <c r="J77" s="177">
        <v>0</v>
      </c>
      <c r="K77" s="177">
        <v>0</v>
      </c>
      <c r="L77" s="177">
        <v>0</v>
      </c>
      <c r="M77" s="177">
        <v>0</v>
      </c>
      <c r="N77" s="177">
        <v>0</v>
      </c>
      <c r="O77" s="177">
        <v>0.75</v>
      </c>
      <c r="P77" s="177">
        <v>0</v>
      </c>
      <c r="Q77" s="177">
        <v>0</v>
      </c>
      <c r="R77" s="177">
        <v>0</v>
      </c>
      <c r="S77" s="178">
        <v>1</v>
      </c>
      <c r="U77" s="547"/>
      <c r="V77" s="175" t="s">
        <v>463</v>
      </c>
      <c r="W77" s="175">
        <v>2030</v>
      </c>
      <c r="X77" s="176" t="s">
        <v>497</v>
      </c>
      <c r="Y77" s="186">
        <f>'A renseigner'!E84</f>
        <v>0.02</v>
      </c>
      <c r="Z77" s="186">
        <f>'A renseigner'!F84</f>
        <v>0</v>
      </c>
      <c r="AA77" s="186">
        <f>'A renseigner'!G84</f>
        <v>0.02</v>
      </c>
      <c r="AB77" s="186">
        <f>'A renseigner'!H84</f>
        <v>0.2</v>
      </c>
      <c r="AC77" s="186">
        <f>'A renseigner'!I84</f>
        <v>0.01</v>
      </c>
      <c r="AD77" s="186">
        <f>'A renseigner'!J84</f>
        <v>0</v>
      </c>
      <c r="AE77" s="186">
        <f>'A renseigner'!K84</f>
        <v>0</v>
      </c>
      <c r="AF77" s="186">
        <f>'A renseigner'!L84</f>
        <v>0</v>
      </c>
      <c r="AG77" s="186">
        <f>'A renseigner'!M84</f>
        <v>0</v>
      </c>
      <c r="AH77" s="186">
        <f>'A renseigner'!N84</f>
        <v>0</v>
      </c>
      <c r="AI77" s="186">
        <f>'A renseigner'!O84</f>
        <v>0.75</v>
      </c>
      <c r="AJ77" s="186">
        <f>'A renseigner'!P84</f>
        <v>0</v>
      </c>
      <c r="AK77" s="186">
        <f>'A renseigner'!Q84</f>
        <v>0</v>
      </c>
      <c r="AL77" s="186">
        <f>'A renseigner'!R84</f>
        <v>0</v>
      </c>
      <c r="AM77" s="172">
        <f>'A renseigner'!S84</f>
        <v>1</v>
      </c>
      <c r="AN77" s="547"/>
      <c r="AP77" s="49"/>
    </row>
    <row r="78" spans="2:42" x14ac:dyDescent="0.3">
      <c r="B78" s="175">
        <v>2050</v>
      </c>
      <c r="C78" s="175" t="s">
        <v>463</v>
      </c>
      <c r="D78" s="176" t="s">
        <v>497</v>
      </c>
      <c r="E78" s="177">
        <v>1.0514067876993801E-2</v>
      </c>
      <c r="F78" s="177"/>
      <c r="G78" s="177">
        <v>1.60951739582194E-2</v>
      </c>
      <c r="H78" s="177">
        <v>0.14413969617456701</v>
      </c>
      <c r="I78" s="177">
        <v>2.19855996537811E-2</v>
      </c>
      <c r="J78" s="177">
        <v>0</v>
      </c>
      <c r="K78" s="177">
        <v>0</v>
      </c>
      <c r="L78" s="177">
        <v>0</v>
      </c>
      <c r="M78" s="177">
        <v>0</v>
      </c>
      <c r="N78" s="177">
        <v>0</v>
      </c>
      <c r="O78" s="177">
        <v>0.80726546233643903</v>
      </c>
      <c r="P78" s="177">
        <v>0</v>
      </c>
      <c r="Q78" s="177">
        <v>0</v>
      </c>
      <c r="R78" s="177">
        <v>0</v>
      </c>
      <c r="S78" s="178">
        <v>1</v>
      </c>
      <c r="U78" s="547"/>
      <c r="V78" s="175" t="s">
        <v>463</v>
      </c>
      <c r="W78" s="175">
        <v>2050</v>
      </c>
      <c r="X78" s="176" t="s">
        <v>497</v>
      </c>
      <c r="Y78" s="186">
        <f>'A renseigner'!E85</f>
        <v>1.0514067876993801E-2</v>
      </c>
      <c r="Z78" s="186">
        <f>'A renseigner'!F85</f>
        <v>0</v>
      </c>
      <c r="AA78" s="186">
        <f>'A renseigner'!G85</f>
        <v>1.60951739582194E-2</v>
      </c>
      <c r="AB78" s="186">
        <f>'A renseigner'!H85</f>
        <v>0.14413969617456701</v>
      </c>
      <c r="AC78" s="186">
        <f>'A renseigner'!I85</f>
        <v>2.19855996537811E-2</v>
      </c>
      <c r="AD78" s="186">
        <f>'A renseigner'!J85</f>
        <v>0</v>
      </c>
      <c r="AE78" s="186">
        <f>'A renseigner'!K85</f>
        <v>0</v>
      </c>
      <c r="AF78" s="186">
        <f>'A renseigner'!L85</f>
        <v>0</v>
      </c>
      <c r="AG78" s="186">
        <f>'A renseigner'!M85</f>
        <v>0</v>
      </c>
      <c r="AH78" s="186">
        <f>'A renseigner'!N85</f>
        <v>0</v>
      </c>
      <c r="AI78" s="186">
        <f>'A renseigner'!O85</f>
        <v>0.80726546233643903</v>
      </c>
      <c r="AJ78" s="186">
        <f>'A renseigner'!P85</f>
        <v>0</v>
      </c>
      <c r="AK78" s="186">
        <f>'A renseigner'!Q85</f>
        <v>0</v>
      </c>
      <c r="AL78" s="186">
        <f>'A renseigner'!R85</f>
        <v>0</v>
      </c>
      <c r="AM78" s="172">
        <f>'A renseigner'!S85</f>
        <v>1.0000000000000004</v>
      </c>
      <c r="AN78" s="547"/>
      <c r="AP78" s="49"/>
    </row>
    <row r="79" spans="2:42" x14ac:dyDescent="0.3">
      <c r="C79" s="180"/>
      <c r="D79" s="181"/>
      <c r="E79" s="182"/>
      <c r="F79" s="182"/>
      <c r="G79" s="182"/>
      <c r="H79" s="182"/>
      <c r="I79" s="182"/>
      <c r="J79" s="182"/>
      <c r="K79" s="182"/>
      <c r="L79" s="182"/>
      <c r="M79" s="182"/>
      <c r="N79" s="182"/>
      <c r="O79" s="182"/>
      <c r="P79" s="182"/>
      <c r="Q79" s="182"/>
      <c r="R79" s="182"/>
      <c r="S79" s="183"/>
      <c r="U79" s="547"/>
      <c r="V79" s="180"/>
      <c r="W79" s="180"/>
      <c r="X79" s="181"/>
      <c r="Y79" s="184">
        <f>'A renseigner'!E86</f>
        <v>0</v>
      </c>
      <c r="Z79" s="184">
        <f>'A renseigner'!F86</f>
        <v>0</v>
      </c>
      <c r="AA79" s="184">
        <f>'A renseigner'!G86</f>
        <v>0</v>
      </c>
      <c r="AB79" s="184">
        <f>'A renseigner'!H86</f>
        <v>0</v>
      </c>
      <c r="AC79" s="184">
        <f>'A renseigner'!I86</f>
        <v>0</v>
      </c>
      <c r="AD79" s="184">
        <f>'A renseigner'!J86</f>
        <v>0</v>
      </c>
      <c r="AE79" s="184">
        <f>'A renseigner'!K86</f>
        <v>0</v>
      </c>
      <c r="AF79" s="184">
        <f>'A renseigner'!L86</f>
        <v>0</v>
      </c>
      <c r="AG79" s="184">
        <f>'A renseigner'!M86</f>
        <v>0</v>
      </c>
      <c r="AH79" s="184">
        <f>'A renseigner'!N86</f>
        <v>0</v>
      </c>
      <c r="AI79" s="184">
        <f>'A renseigner'!O86</f>
        <v>0</v>
      </c>
      <c r="AJ79" s="184">
        <f>'A renseigner'!P86</f>
        <v>0</v>
      </c>
      <c r="AK79" s="184">
        <f>'A renseigner'!Q86</f>
        <v>0</v>
      </c>
      <c r="AL79" s="184">
        <f>'A renseigner'!R86</f>
        <v>0</v>
      </c>
      <c r="AM79" s="185">
        <f>'A renseigner'!S86</f>
        <v>0</v>
      </c>
      <c r="AN79" s="547"/>
      <c r="AP79" s="49"/>
    </row>
    <row r="80" spans="2:42" x14ac:dyDescent="0.3">
      <c r="B80" s="175">
        <v>2019</v>
      </c>
      <c r="C80" s="175" t="s">
        <v>465</v>
      </c>
      <c r="D80" s="176" t="s">
        <v>497</v>
      </c>
      <c r="E80" s="177">
        <v>0</v>
      </c>
      <c r="F80" s="177"/>
      <c r="G80" s="177">
        <v>0</v>
      </c>
      <c r="H80" s="177">
        <v>0.15207756232687</v>
      </c>
      <c r="I80" s="177">
        <v>0</v>
      </c>
      <c r="J80" s="177">
        <v>0</v>
      </c>
      <c r="K80" s="177">
        <v>0</v>
      </c>
      <c r="L80" s="177">
        <v>0</v>
      </c>
      <c r="M80" s="177">
        <v>0</v>
      </c>
      <c r="N80" s="177">
        <v>0</v>
      </c>
      <c r="O80" s="177">
        <v>0.13767313019390601</v>
      </c>
      <c r="P80" s="177">
        <v>0</v>
      </c>
      <c r="Q80" s="177">
        <v>0</v>
      </c>
      <c r="R80" s="177">
        <v>0.71024930747922399</v>
      </c>
      <c r="S80" s="178">
        <v>1</v>
      </c>
      <c r="U80" s="547"/>
      <c r="V80" s="175" t="s">
        <v>465</v>
      </c>
      <c r="W80" s="175">
        <v>2021</v>
      </c>
      <c r="X80" s="176" t="s">
        <v>497</v>
      </c>
      <c r="Y80" s="186">
        <f>'A renseigner'!E87</f>
        <v>0</v>
      </c>
      <c r="Z80" s="186">
        <f>'A renseigner'!F87</f>
        <v>0</v>
      </c>
      <c r="AA80" s="186">
        <f>'A renseigner'!G87</f>
        <v>0</v>
      </c>
      <c r="AB80" s="186">
        <f>'A renseigner'!H87</f>
        <v>0.84803256445047492</v>
      </c>
      <c r="AC80" s="186">
        <f>'A renseigner'!I87</f>
        <v>0</v>
      </c>
      <c r="AD80" s="186">
        <f>'A renseigner'!J87</f>
        <v>0</v>
      </c>
      <c r="AE80" s="186">
        <f>'A renseigner'!K87</f>
        <v>0</v>
      </c>
      <c r="AF80" s="186">
        <f>'A renseigner'!L87</f>
        <v>0</v>
      </c>
      <c r="AG80" s="186">
        <f>'A renseigner'!M87</f>
        <v>0</v>
      </c>
      <c r="AH80" s="186">
        <f>'A renseigner'!N87</f>
        <v>0</v>
      </c>
      <c r="AI80" s="186">
        <f>'A renseigner'!O87</f>
        <v>0.1519674355495251</v>
      </c>
      <c r="AJ80" s="186">
        <f>'A renseigner'!P87</f>
        <v>0</v>
      </c>
      <c r="AK80" s="186">
        <f>'A renseigner'!Q87</f>
        <v>0</v>
      </c>
      <c r="AL80" s="186">
        <f>'A renseigner'!R87</f>
        <v>0</v>
      </c>
      <c r="AM80" s="172">
        <f>'A renseigner'!S87</f>
        <v>1</v>
      </c>
      <c r="AN80" s="547"/>
      <c r="AP80" s="49" t="s">
        <v>502</v>
      </c>
    </row>
    <row r="81" spans="2:42" x14ac:dyDescent="0.3">
      <c r="B81" s="175">
        <v>2030</v>
      </c>
      <c r="C81" s="175" t="s">
        <v>465</v>
      </c>
      <c r="D81" s="176" t="s">
        <v>497</v>
      </c>
      <c r="E81" s="177">
        <v>0</v>
      </c>
      <c r="F81" s="177"/>
      <c r="G81" s="177">
        <v>0</v>
      </c>
      <c r="H81" s="177">
        <v>0</v>
      </c>
      <c r="I81" s="177">
        <v>0</v>
      </c>
      <c r="J81" s="177">
        <v>0</v>
      </c>
      <c r="K81" s="177">
        <v>0</v>
      </c>
      <c r="L81" s="177">
        <v>0</v>
      </c>
      <c r="M81" s="177">
        <v>0</v>
      </c>
      <c r="N81" s="177">
        <v>0</v>
      </c>
      <c r="O81" s="177">
        <v>0</v>
      </c>
      <c r="P81" s="177">
        <v>0</v>
      </c>
      <c r="Q81" s="177">
        <v>0</v>
      </c>
      <c r="R81" s="177">
        <v>0</v>
      </c>
      <c r="S81" s="178">
        <v>0</v>
      </c>
      <c r="U81" s="547"/>
      <c r="V81" s="175" t="s">
        <v>465</v>
      </c>
      <c r="W81" s="175">
        <v>2030</v>
      </c>
      <c r="X81" s="176" t="s">
        <v>497</v>
      </c>
      <c r="Y81" s="186">
        <f>'A renseigner'!E88</f>
        <v>0</v>
      </c>
      <c r="Z81" s="186">
        <f>'A renseigner'!F88</f>
        <v>0</v>
      </c>
      <c r="AA81" s="186">
        <f>'A renseigner'!G88</f>
        <v>0</v>
      </c>
      <c r="AB81" s="186">
        <f>'A renseigner'!H88</f>
        <v>0.54803256445047488</v>
      </c>
      <c r="AC81" s="186">
        <f>'A renseigner'!I88</f>
        <v>0</v>
      </c>
      <c r="AD81" s="186">
        <f>'A renseigner'!J88</f>
        <v>0</v>
      </c>
      <c r="AE81" s="186">
        <f>'A renseigner'!K88</f>
        <v>0</v>
      </c>
      <c r="AF81" s="186">
        <f>'A renseigner'!L88</f>
        <v>0</v>
      </c>
      <c r="AG81" s="186">
        <f>'A renseigner'!M88</f>
        <v>0</v>
      </c>
      <c r="AH81" s="186">
        <f>'A renseigner'!N88</f>
        <v>0</v>
      </c>
      <c r="AI81" s="186">
        <f>'A renseigner'!O88</f>
        <v>0.1519674355495251</v>
      </c>
      <c r="AJ81" s="186">
        <f>'A renseigner'!P88</f>
        <v>0</v>
      </c>
      <c r="AK81" s="186">
        <f>'A renseigner'!Q88</f>
        <v>0</v>
      </c>
      <c r="AL81" s="186">
        <f>'A renseigner'!R88</f>
        <v>0.3</v>
      </c>
      <c r="AM81" s="172">
        <f>'A renseigner'!S88</f>
        <v>1</v>
      </c>
      <c r="AN81" s="547"/>
      <c r="AP81" s="49"/>
    </row>
    <row r="82" spans="2:42" x14ac:dyDescent="0.3">
      <c r="B82" s="175">
        <v>2050</v>
      </c>
      <c r="C82" s="175" t="s">
        <v>465</v>
      </c>
      <c r="D82" s="176" t="s">
        <v>497</v>
      </c>
      <c r="E82" s="177">
        <v>0</v>
      </c>
      <c r="F82" s="177"/>
      <c r="G82" s="177">
        <v>0</v>
      </c>
      <c r="H82" s="177">
        <v>0.15207756232687</v>
      </c>
      <c r="I82" s="177">
        <v>0</v>
      </c>
      <c r="J82" s="177">
        <v>0</v>
      </c>
      <c r="K82" s="177">
        <v>0</v>
      </c>
      <c r="L82" s="177">
        <v>0</v>
      </c>
      <c r="M82" s="177">
        <v>0</v>
      </c>
      <c r="N82" s="177">
        <v>0</v>
      </c>
      <c r="O82" s="177">
        <v>0.13767313019390601</v>
      </c>
      <c r="P82" s="177">
        <v>0</v>
      </c>
      <c r="Q82" s="177">
        <v>0</v>
      </c>
      <c r="R82" s="177">
        <v>0.71024930747922399</v>
      </c>
      <c r="S82" s="178">
        <v>1</v>
      </c>
      <c r="U82" s="547"/>
      <c r="V82" s="175" t="s">
        <v>465</v>
      </c>
      <c r="W82" s="175">
        <v>2050</v>
      </c>
      <c r="X82" s="176" t="s">
        <v>497</v>
      </c>
      <c r="Y82" s="186">
        <f>'A renseigner'!E89</f>
        <v>0</v>
      </c>
      <c r="Z82" s="186">
        <f>'A renseigner'!F89</f>
        <v>0</v>
      </c>
      <c r="AA82" s="186">
        <f>'A renseigner'!G89</f>
        <v>0</v>
      </c>
      <c r="AB82" s="186">
        <f>'A renseigner'!H89</f>
        <v>0.15207756232687</v>
      </c>
      <c r="AC82" s="186">
        <f>'A renseigner'!I89</f>
        <v>0</v>
      </c>
      <c r="AD82" s="186">
        <f>'A renseigner'!J89</f>
        <v>0</v>
      </c>
      <c r="AE82" s="186">
        <f>'A renseigner'!K89</f>
        <v>0</v>
      </c>
      <c r="AF82" s="186">
        <f>'A renseigner'!L89</f>
        <v>0</v>
      </c>
      <c r="AG82" s="186">
        <f>'A renseigner'!M89</f>
        <v>0</v>
      </c>
      <c r="AH82" s="186">
        <f>'A renseigner'!N89</f>
        <v>0</v>
      </c>
      <c r="AI82" s="186">
        <f>'A renseigner'!O89</f>
        <v>0.13767313019390601</v>
      </c>
      <c r="AJ82" s="186">
        <f>'A renseigner'!P89</f>
        <v>0</v>
      </c>
      <c r="AK82" s="186">
        <f>'A renseigner'!Q89</f>
        <v>0</v>
      </c>
      <c r="AL82" s="186">
        <f>'A renseigner'!R89</f>
        <v>0.71024930747922399</v>
      </c>
      <c r="AM82" s="172">
        <f>'A renseigner'!S89</f>
        <v>1</v>
      </c>
      <c r="AN82" s="547"/>
      <c r="AP82" s="49"/>
    </row>
    <row r="83" spans="2:42" x14ac:dyDescent="0.3">
      <c r="C83" s="180"/>
      <c r="D83" s="181"/>
      <c r="E83" s="182"/>
      <c r="F83" s="182"/>
      <c r="G83" s="182"/>
      <c r="H83" s="182"/>
      <c r="I83" s="182"/>
      <c r="J83" s="182"/>
      <c r="K83" s="182"/>
      <c r="L83" s="182"/>
      <c r="M83" s="182"/>
      <c r="N83" s="182"/>
      <c r="O83" s="182"/>
      <c r="P83" s="182"/>
      <c r="Q83" s="182"/>
      <c r="R83" s="182"/>
      <c r="S83" s="183"/>
      <c r="U83" s="547"/>
      <c r="V83" s="180"/>
      <c r="W83" s="180"/>
      <c r="X83" s="181"/>
      <c r="Y83" s="184">
        <f>'A renseigner'!E90</f>
        <v>0</v>
      </c>
      <c r="Z83" s="184">
        <f>'A renseigner'!F90</f>
        <v>0</v>
      </c>
      <c r="AA83" s="184">
        <f>'A renseigner'!G90</f>
        <v>0</v>
      </c>
      <c r="AB83" s="184">
        <f>'A renseigner'!H90</f>
        <v>0</v>
      </c>
      <c r="AC83" s="184">
        <f>'A renseigner'!I90</f>
        <v>0</v>
      </c>
      <c r="AD83" s="184">
        <f>'A renseigner'!J90</f>
        <v>0</v>
      </c>
      <c r="AE83" s="184">
        <f>'A renseigner'!K90</f>
        <v>0</v>
      </c>
      <c r="AF83" s="184">
        <f>'A renseigner'!L90</f>
        <v>0</v>
      </c>
      <c r="AG83" s="184">
        <f>'A renseigner'!M90</f>
        <v>0</v>
      </c>
      <c r="AH83" s="184">
        <f>'A renseigner'!N90</f>
        <v>0</v>
      </c>
      <c r="AI83" s="184">
        <f>'A renseigner'!O90</f>
        <v>0</v>
      </c>
      <c r="AJ83" s="184">
        <f>'A renseigner'!P90</f>
        <v>0</v>
      </c>
      <c r="AK83" s="184">
        <f>'A renseigner'!Q90</f>
        <v>0</v>
      </c>
      <c r="AL83" s="184">
        <f>'A renseigner'!R90</f>
        <v>0</v>
      </c>
      <c r="AM83" s="185">
        <f>'A renseigner'!S90</f>
        <v>0</v>
      </c>
      <c r="AN83" s="547"/>
      <c r="AP83" s="49"/>
    </row>
    <row r="84" spans="2:42" x14ac:dyDescent="0.3">
      <c r="B84" s="175">
        <v>2019</v>
      </c>
      <c r="C84" s="175" t="s">
        <v>503</v>
      </c>
      <c r="D84" s="176"/>
      <c r="E84" s="177"/>
      <c r="F84" s="177"/>
      <c r="G84" s="177"/>
      <c r="H84" s="177"/>
      <c r="I84" s="177"/>
      <c r="J84" s="177"/>
      <c r="K84" s="177"/>
      <c r="L84" s="177"/>
      <c r="M84" s="177"/>
      <c r="N84" s="177"/>
      <c r="O84" s="177"/>
      <c r="P84" s="177"/>
      <c r="Q84" s="177"/>
      <c r="R84" s="177"/>
      <c r="S84" s="178"/>
      <c r="U84" s="547"/>
      <c r="V84" s="175" t="s">
        <v>466</v>
      </c>
      <c r="W84" s="175">
        <v>2021</v>
      </c>
      <c r="X84" s="176"/>
      <c r="Y84" s="186">
        <f>'A renseigner'!E91</f>
        <v>5.1378862867308035E-2</v>
      </c>
      <c r="Z84" s="186">
        <f>'A renseigner'!F91</f>
        <v>2.8814188170211804E-2</v>
      </c>
      <c r="AA84" s="186">
        <f>'A renseigner'!G91</f>
        <v>8.4139055839584937E-3</v>
      </c>
      <c r="AB84" s="186">
        <f>'A renseigner'!H91</f>
        <v>0.43763063576671102</v>
      </c>
      <c r="AC84" s="186">
        <f>'A renseigner'!I91</f>
        <v>0</v>
      </c>
      <c r="AD84" s="186">
        <f>'A renseigner'!J91</f>
        <v>0</v>
      </c>
      <c r="AE84" s="186">
        <f>'A renseigner'!K91</f>
        <v>0</v>
      </c>
      <c r="AF84" s="186">
        <f>'A renseigner'!L91</f>
        <v>0</v>
      </c>
      <c r="AG84" s="186">
        <f>'A renseigner'!M91</f>
        <v>0</v>
      </c>
      <c r="AH84" s="186">
        <f>'A renseigner'!N91</f>
        <v>0</v>
      </c>
      <c r="AI84" s="186">
        <f>'A renseigner'!O91</f>
        <v>0.46695970689366384</v>
      </c>
      <c r="AJ84" s="186">
        <f>'A renseigner'!P91</f>
        <v>0</v>
      </c>
      <c r="AK84" s="186">
        <f>'A renseigner'!Q91</f>
        <v>6.8027007181468303E-3</v>
      </c>
      <c r="AL84" s="186">
        <f>'A renseigner'!R91</f>
        <v>0</v>
      </c>
      <c r="AM84" s="172">
        <f>'A renseigner'!S91</f>
        <v>1</v>
      </c>
      <c r="AN84" s="547"/>
      <c r="AP84" s="49" t="s">
        <v>504</v>
      </c>
    </row>
    <row r="85" spans="2:42" x14ac:dyDescent="0.3">
      <c r="B85" s="175">
        <v>2030</v>
      </c>
      <c r="C85" s="175" t="s">
        <v>503</v>
      </c>
      <c r="D85" s="176"/>
      <c r="E85" s="177"/>
      <c r="F85" s="177"/>
      <c r="G85" s="177"/>
      <c r="H85" s="177"/>
      <c r="I85" s="177"/>
      <c r="J85" s="177"/>
      <c r="K85" s="177"/>
      <c r="L85" s="177"/>
      <c r="M85" s="177"/>
      <c r="N85" s="177"/>
      <c r="O85" s="177"/>
      <c r="P85" s="177"/>
      <c r="Q85" s="177"/>
      <c r="R85" s="177"/>
      <c r="S85" s="178"/>
      <c r="U85" s="547"/>
      <c r="V85" s="175" t="s">
        <v>466</v>
      </c>
      <c r="W85" s="175">
        <v>2030</v>
      </c>
      <c r="X85" s="176"/>
      <c r="Y85" s="186">
        <f>'A renseigner'!E92</f>
        <v>0.04</v>
      </c>
      <c r="Z85" s="186">
        <f>'A renseigner'!F92</f>
        <v>0</v>
      </c>
      <c r="AA85" s="186">
        <f>'A renseigner'!G92</f>
        <v>0.01</v>
      </c>
      <c r="AB85" s="186">
        <f>'A renseigner'!H92</f>
        <v>0.31</v>
      </c>
      <c r="AC85" s="186">
        <f>'A renseigner'!I92</f>
        <v>0.03</v>
      </c>
      <c r="AD85" s="186">
        <f>'A renseigner'!J92</f>
        <v>0</v>
      </c>
      <c r="AE85" s="186">
        <f>'A renseigner'!K92</f>
        <v>0</v>
      </c>
      <c r="AF85" s="186">
        <f>'A renseigner'!L92</f>
        <v>0</v>
      </c>
      <c r="AG85" s="186">
        <f>'A renseigner'!M92</f>
        <v>0</v>
      </c>
      <c r="AH85" s="186">
        <f>'A renseigner'!N92</f>
        <v>0</v>
      </c>
      <c r="AI85" s="186">
        <f>'A renseigner'!O92</f>
        <v>0.6</v>
      </c>
      <c r="AJ85" s="186">
        <f>'A renseigner'!P92</f>
        <v>0</v>
      </c>
      <c r="AK85" s="186">
        <f>'A renseigner'!Q92</f>
        <v>0.01</v>
      </c>
      <c r="AL85" s="186">
        <f>'A renseigner'!R92</f>
        <v>0</v>
      </c>
      <c r="AM85" s="172">
        <f>'A renseigner'!S92</f>
        <v>1</v>
      </c>
      <c r="AN85" s="547"/>
      <c r="AO85" s="179"/>
      <c r="AP85" s="49" t="s">
        <v>499</v>
      </c>
    </row>
    <row r="86" spans="2:42" x14ac:dyDescent="0.3">
      <c r="B86" s="175">
        <v>2050</v>
      </c>
      <c r="C86" s="175" t="s">
        <v>503</v>
      </c>
      <c r="D86" s="176"/>
      <c r="E86" s="177"/>
      <c r="F86" s="177"/>
      <c r="G86" s="177"/>
      <c r="H86" s="177"/>
      <c r="I86" s="177"/>
      <c r="J86" s="177"/>
      <c r="K86" s="177"/>
      <c r="L86" s="177"/>
      <c r="M86" s="177"/>
      <c r="N86" s="177"/>
      <c r="O86" s="177"/>
      <c r="P86" s="177"/>
      <c r="Q86" s="177"/>
      <c r="R86" s="177"/>
      <c r="S86" s="178"/>
      <c r="U86" s="547"/>
      <c r="V86" s="175" t="s">
        <v>466</v>
      </c>
      <c r="W86" s="175">
        <v>2050</v>
      </c>
      <c r="X86" s="176"/>
      <c r="Y86" s="186">
        <f>'A renseigner'!E93</f>
        <v>0.03</v>
      </c>
      <c r="Z86" s="186">
        <f>'A renseigner'!F93</f>
        <v>0</v>
      </c>
      <c r="AA86" s="186">
        <f>'A renseigner'!G93</f>
        <v>0.01</v>
      </c>
      <c r="AB86" s="186">
        <f>'A renseigner'!H93</f>
        <v>0.20000000000000007</v>
      </c>
      <c r="AC86" s="186">
        <f>'A renseigner'!I93</f>
        <v>0.05</v>
      </c>
      <c r="AD86" s="186">
        <f>'A renseigner'!J93</f>
        <v>0</v>
      </c>
      <c r="AE86" s="186">
        <f>'A renseigner'!K93</f>
        <v>0</v>
      </c>
      <c r="AF86" s="186">
        <f>'A renseigner'!L93</f>
        <v>0</v>
      </c>
      <c r="AG86" s="186">
        <f>'A renseigner'!M93</f>
        <v>0</v>
      </c>
      <c r="AH86" s="186">
        <f>'A renseigner'!N93</f>
        <v>0</v>
      </c>
      <c r="AI86" s="186">
        <f>'A renseigner'!O93</f>
        <v>0.7</v>
      </c>
      <c r="AJ86" s="186">
        <f>'A renseigner'!P93</f>
        <v>0</v>
      </c>
      <c r="AK86" s="186">
        <f>'A renseigner'!Q93</f>
        <v>0.01</v>
      </c>
      <c r="AL86" s="186">
        <f>'A renseigner'!R93</f>
        <v>0</v>
      </c>
      <c r="AM86" s="172">
        <f>'A renseigner'!S93</f>
        <v>1</v>
      </c>
      <c r="AN86" s="547"/>
      <c r="AP86" s="49"/>
    </row>
    <row r="87" spans="2:42" x14ac:dyDescent="0.3">
      <c r="C87" s="180"/>
      <c r="D87" s="181"/>
      <c r="E87" s="182"/>
      <c r="F87" s="182"/>
      <c r="G87" s="182"/>
      <c r="H87" s="182"/>
      <c r="I87" s="182"/>
      <c r="J87" s="182"/>
      <c r="K87" s="182"/>
      <c r="L87" s="182"/>
      <c r="M87" s="182"/>
      <c r="N87" s="182"/>
      <c r="O87" s="182"/>
      <c r="P87" s="182"/>
      <c r="Q87" s="182"/>
      <c r="R87" s="182"/>
      <c r="S87" s="183"/>
      <c r="U87" s="547"/>
      <c r="V87" s="180"/>
      <c r="W87" s="180"/>
      <c r="X87" s="181"/>
      <c r="Y87" s="184">
        <f>'A renseigner'!E94</f>
        <v>0</v>
      </c>
      <c r="Z87" s="184">
        <f>'A renseigner'!F94</f>
        <v>0</v>
      </c>
      <c r="AA87" s="184">
        <f>'A renseigner'!G94</f>
        <v>0</v>
      </c>
      <c r="AB87" s="184">
        <f>'A renseigner'!H94</f>
        <v>0</v>
      </c>
      <c r="AC87" s="184">
        <f>'A renseigner'!I94</f>
        <v>0</v>
      </c>
      <c r="AD87" s="184">
        <f>'A renseigner'!J94</f>
        <v>0</v>
      </c>
      <c r="AE87" s="184">
        <f>'A renseigner'!K94</f>
        <v>0</v>
      </c>
      <c r="AF87" s="184">
        <f>'A renseigner'!L94</f>
        <v>0</v>
      </c>
      <c r="AG87" s="184">
        <f>'A renseigner'!M94</f>
        <v>0</v>
      </c>
      <c r="AH87" s="184">
        <f>'A renseigner'!N94</f>
        <v>0</v>
      </c>
      <c r="AI87" s="184">
        <f>'A renseigner'!O94</f>
        <v>0</v>
      </c>
      <c r="AJ87" s="184">
        <f>'A renseigner'!P94</f>
        <v>0</v>
      </c>
      <c r="AK87" s="184">
        <f>'A renseigner'!Q94</f>
        <v>0</v>
      </c>
      <c r="AL87" s="184">
        <f>'A renseigner'!R94</f>
        <v>0</v>
      </c>
      <c r="AM87" s="185">
        <f>'A renseigner'!S94</f>
        <v>0</v>
      </c>
      <c r="AN87" s="547"/>
      <c r="AP87" s="49"/>
    </row>
    <row r="88" spans="2:42" x14ac:dyDescent="0.3">
      <c r="B88" s="175">
        <v>2019</v>
      </c>
      <c r="C88" s="175" t="s">
        <v>468</v>
      </c>
      <c r="D88" s="176" t="s">
        <v>497</v>
      </c>
      <c r="E88" s="177">
        <v>4.0000000000000001E-3</v>
      </c>
      <c r="F88" s="177"/>
      <c r="G88" s="177">
        <v>2.8000000000000001E-2</v>
      </c>
      <c r="H88" s="177">
        <v>0.25</v>
      </c>
      <c r="I88" s="177">
        <v>0</v>
      </c>
      <c r="J88" s="177">
        <v>0</v>
      </c>
      <c r="K88" s="177">
        <v>0</v>
      </c>
      <c r="L88" s="177">
        <v>0</v>
      </c>
      <c r="M88" s="177"/>
      <c r="N88" s="177">
        <v>0</v>
      </c>
      <c r="O88" s="177">
        <v>0.71</v>
      </c>
      <c r="P88" s="177">
        <v>0</v>
      </c>
      <c r="Q88" s="177">
        <v>8.0000000000000002E-3</v>
      </c>
      <c r="R88" s="177">
        <v>0</v>
      </c>
      <c r="S88" s="178">
        <v>1</v>
      </c>
      <c r="U88" s="547"/>
      <c r="V88" s="175" t="s">
        <v>468</v>
      </c>
      <c r="W88" s="175">
        <v>2021</v>
      </c>
      <c r="X88" s="176" t="s">
        <v>497</v>
      </c>
      <c r="Y88" s="186">
        <f>'A renseigner'!E95</f>
        <v>0</v>
      </c>
      <c r="Z88" s="186">
        <f>'A renseigner'!F95</f>
        <v>0</v>
      </c>
      <c r="AA88" s="186">
        <f>'A renseigner'!G95</f>
        <v>2.8112449799196786E-2</v>
      </c>
      <c r="AB88" s="186">
        <f>'A renseigner'!H95</f>
        <v>0.25100401606425704</v>
      </c>
      <c r="AC88" s="186">
        <f>'A renseigner'!I95</f>
        <v>0</v>
      </c>
      <c r="AD88" s="186">
        <f>'A renseigner'!J95</f>
        <v>0</v>
      </c>
      <c r="AE88" s="186">
        <f>'A renseigner'!K95</f>
        <v>0</v>
      </c>
      <c r="AF88" s="186">
        <f>'A renseigner'!L95</f>
        <v>0</v>
      </c>
      <c r="AG88" s="186">
        <f>'A renseigner'!M95</f>
        <v>0</v>
      </c>
      <c r="AH88" s="186">
        <f>'A renseigner'!N95</f>
        <v>0</v>
      </c>
      <c r="AI88" s="186">
        <f>'A renseigner'!O95</f>
        <v>0.71285140562248994</v>
      </c>
      <c r="AJ88" s="186">
        <f>'A renseigner'!P95</f>
        <v>0</v>
      </c>
      <c r="AK88" s="186">
        <f>'A renseigner'!Q95</f>
        <v>8.0321285140562242E-3</v>
      </c>
      <c r="AL88" s="186">
        <f>'A renseigner'!R95</f>
        <v>0</v>
      </c>
      <c r="AM88" s="172">
        <f>'A renseigner'!S95</f>
        <v>1</v>
      </c>
      <c r="AN88" s="547"/>
      <c r="AP88" s="49" t="s">
        <v>505</v>
      </c>
    </row>
    <row r="89" spans="2:42" x14ac:dyDescent="0.3">
      <c r="B89" s="175">
        <v>2030</v>
      </c>
      <c r="C89" s="175" t="s">
        <v>468</v>
      </c>
      <c r="D89" s="176" t="s">
        <v>497</v>
      </c>
      <c r="E89" s="177">
        <v>0</v>
      </c>
      <c r="F89" s="177"/>
      <c r="G89" s="177">
        <v>0.01</v>
      </c>
      <c r="H89" s="177">
        <v>0.19</v>
      </c>
      <c r="I89" s="177">
        <v>0</v>
      </c>
      <c r="J89" s="177">
        <v>0</v>
      </c>
      <c r="K89" s="177">
        <v>0</v>
      </c>
      <c r="L89" s="177">
        <v>0</v>
      </c>
      <c r="M89" s="177">
        <v>0</v>
      </c>
      <c r="N89" s="177">
        <v>0</v>
      </c>
      <c r="O89" s="177">
        <v>0.79</v>
      </c>
      <c r="P89" s="177">
        <v>0</v>
      </c>
      <c r="Q89" s="177">
        <v>0.01</v>
      </c>
      <c r="R89" s="177">
        <v>0</v>
      </c>
      <c r="S89" s="178">
        <v>1</v>
      </c>
      <c r="U89" s="547"/>
      <c r="V89" s="175" t="s">
        <v>468</v>
      </c>
      <c r="W89" s="175">
        <v>2030</v>
      </c>
      <c r="X89" s="176" t="s">
        <v>497</v>
      </c>
      <c r="Y89" s="186">
        <f>'A renseigner'!E96</f>
        <v>0</v>
      </c>
      <c r="Z89" s="186">
        <f>'A renseigner'!F96</f>
        <v>0</v>
      </c>
      <c r="AA89" s="189">
        <f>'A renseigner'!G96</f>
        <v>0</v>
      </c>
      <c r="AB89" s="189">
        <f>'A renseigner'!H96</f>
        <v>0.15000000000000002</v>
      </c>
      <c r="AC89" s="186">
        <f>'A renseigner'!I96</f>
        <v>0</v>
      </c>
      <c r="AD89" s="186">
        <f>'A renseigner'!J96</f>
        <v>0</v>
      </c>
      <c r="AE89" s="186">
        <f>'A renseigner'!K96</f>
        <v>0</v>
      </c>
      <c r="AF89" s="189">
        <f>'A renseigner'!L96</f>
        <v>0</v>
      </c>
      <c r="AG89" s="186">
        <f>'A renseigner'!M96</f>
        <v>0</v>
      </c>
      <c r="AH89" s="186">
        <f>'A renseigner'!N96</f>
        <v>0</v>
      </c>
      <c r="AI89" s="189">
        <f>'A renseigner'!O96</f>
        <v>0.85</v>
      </c>
      <c r="AJ89" s="186">
        <f>'A renseigner'!P96</f>
        <v>0</v>
      </c>
      <c r="AK89" s="189">
        <f>'A renseigner'!Q96</f>
        <v>0</v>
      </c>
      <c r="AL89" s="186">
        <f>'A renseigner'!R96</f>
        <v>0</v>
      </c>
      <c r="AM89" s="172">
        <f>'A renseigner'!S96</f>
        <v>1</v>
      </c>
      <c r="AN89" s="548" t="s">
        <v>868</v>
      </c>
      <c r="AP89" s="49"/>
    </row>
    <row r="90" spans="2:42" x14ac:dyDescent="0.3">
      <c r="B90" s="175">
        <v>2050</v>
      </c>
      <c r="C90" s="175" t="s">
        <v>468</v>
      </c>
      <c r="D90" s="176" t="s">
        <v>497</v>
      </c>
      <c r="E90" s="177">
        <v>0</v>
      </c>
      <c r="F90" s="177"/>
      <c r="G90" s="177">
        <v>0</v>
      </c>
      <c r="H90" s="177">
        <v>0.120723236864815</v>
      </c>
      <c r="I90" s="177">
        <v>0</v>
      </c>
      <c r="J90" s="177">
        <v>0</v>
      </c>
      <c r="K90" s="177">
        <v>0</v>
      </c>
      <c r="L90" s="177">
        <v>0</v>
      </c>
      <c r="M90" s="177">
        <v>0</v>
      </c>
      <c r="N90" s="177">
        <v>0</v>
      </c>
      <c r="O90" s="177">
        <v>0.87111370424531198</v>
      </c>
      <c r="P90" s="177">
        <v>0</v>
      </c>
      <c r="Q90" s="177">
        <v>0.01</v>
      </c>
      <c r="R90" s="177">
        <v>0</v>
      </c>
      <c r="S90" s="178">
        <v>1.0018369410811301</v>
      </c>
      <c r="U90" s="547"/>
      <c r="V90" s="175" t="s">
        <v>468</v>
      </c>
      <c r="W90" s="175">
        <v>2050</v>
      </c>
      <c r="X90" s="176" t="s">
        <v>497</v>
      </c>
      <c r="Y90" s="186">
        <f>'A renseigner'!E97</f>
        <v>0</v>
      </c>
      <c r="Z90" s="186">
        <f>'A renseigner'!F97</f>
        <v>0</v>
      </c>
      <c r="AA90" s="186">
        <f>'A renseigner'!G97</f>
        <v>0</v>
      </c>
      <c r="AB90" s="189">
        <f>'A renseigner'!H97</f>
        <v>0.11</v>
      </c>
      <c r="AC90" s="186">
        <f>'A renseigner'!I97</f>
        <v>0</v>
      </c>
      <c r="AD90" s="186">
        <f>'A renseigner'!J97</f>
        <v>0</v>
      </c>
      <c r="AE90" s="186">
        <f>'A renseigner'!K97</f>
        <v>0</v>
      </c>
      <c r="AF90" s="189">
        <f>'A renseigner'!L97</f>
        <v>0</v>
      </c>
      <c r="AG90" s="186">
        <f>'A renseigner'!M97</f>
        <v>0</v>
      </c>
      <c r="AH90" s="186">
        <f>'A renseigner'!N97</f>
        <v>0</v>
      </c>
      <c r="AI90" s="189">
        <f>'A renseigner'!O97</f>
        <v>0.87</v>
      </c>
      <c r="AJ90" s="186">
        <f>'A renseigner'!P97</f>
        <v>0</v>
      </c>
      <c r="AK90" s="189">
        <f>'A renseigner'!Q97</f>
        <v>0</v>
      </c>
      <c r="AL90" s="189">
        <f>'A renseigner'!R97</f>
        <v>0.02</v>
      </c>
      <c r="AM90" s="172">
        <f>'A renseigner'!S97</f>
        <v>1</v>
      </c>
      <c r="AN90" s="547"/>
      <c r="AP90" s="49"/>
    </row>
    <row r="91" spans="2:42" x14ac:dyDescent="0.3">
      <c r="C91" s="180"/>
      <c r="D91" s="181"/>
      <c r="E91" s="182"/>
      <c r="F91" s="182"/>
      <c r="G91" s="182"/>
      <c r="H91" s="182"/>
      <c r="I91" s="182"/>
      <c r="J91" s="182"/>
      <c r="K91" s="182"/>
      <c r="L91" s="182"/>
      <c r="M91" s="182"/>
      <c r="N91" s="182"/>
      <c r="O91" s="182"/>
      <c r="P91" s="182"/>
      <c r="Q91" s="182"/>
      <c r="R91" s="182"/>
      <c r="S91" s="183"/>
      <c r="U91" s="547"/>
      <c r="V91" s="180"/>
      <c r="W91" s="180"/>
      <c r="X91" s="181"/>
      <c r="Y91" s="184">
        <f>'A renseigner'!E98</f>
        <v>0</v>
      </c>
      <c r="Z91" s="184">
        <f>'A renseigner'!F98</f>
        <v>0</v>
      </c>
      <c r="AA91" s="184">
        <f>'A renseigner'!G98</f>
        <v>0</v>
      </c>
      <c r="AB91" s="184">
        <f>'A renseigner'!H98</f>
        <v>0</v>
      </c>
      <c r="AC91" s="184">
        <f>'A renseigner'!I98</f>
        <v>0</v>
      </c>
      <c r="AD91" s="184">
        <f>'A renseigner'!J98</f>
        <v>0</v>
      </c>
      <c r="AE91" s="184">
        <f>'A renseigner'!K98</f>
        <v>0</v>
      </c>
      <c r="AF91" s="184">
        <f>'A renseigner'!L98</f>
        <v>0</v>
      </c>
      <c r="AG91" s="184">
        <f>'A renseigner'!M98</f>
        <v>0</v>
      </c>
      <c r="AH91" s="184">
        <f>'A renseigner'!N98</f>
        <v>0</v>
      </c>
      <c r="AI91" s="184">
        <f>'A renseigner'!O98</f>
        <v>0</v>
      </c>
      <c r="AJ91" s="184">
        <f>'A renseigner'!P98</f>
        <v>0</v>
      </c>
      <c r="AK91" s="184">
        <f>'A renseigner'!Q98</f>
        <v>0</v>
      </c>
      <c r="AL91" s="184">
        <f>'A renseigner'!R98</f>
        <v>0</v>
      </c>
      <c r="AM91" s="185">
        <f>'A renseigner'!S98</f>
        <v>0</v>
      </c>
      <c r="AN91" s="547"/>
      <c r="AP91" s="49"/>
    </row>
    <row r="92" spans="2:42" x14ac:dyDescent="0.3">
      <c r="B92" s="175">
        <v>2019</v>
      </c>
      <c r="C92" s="175" t="s">
        <v>470</v>
      </c>
      <c r="D92" s="176" t="s">
        <v>497</v>
      </c>
      <c r="E92" s="177">
        <v>0</v>
      </c>
      <c r="F92" s="177"/>
      <c r="G92" s="177">
        <v>0</v>
      </c>
      <c r="H92" s="187">
        <v>0.9</v>
      </c>
      <c r="I92" s="177">
        <v>0</v>
      </c>
      <c r="J92" s="177">
        <v>0</v>
      </c>
      <c r="K92" s="177">
        <v>0</v>
      </c>
      <c r="L92" s="177">
        <v>0</v>
      </c>
      <c r="M92" s="177"/>
      <c r="N92" s="177">
        <v>0</v>
      </c>
      <c r="O92" s="187">
        <v>0.1</v>
      </c>
      <c r="P92" s="177">
        <v>0</v>
      </c>
      <c r="Q92" s="177">
        <v>0</v>
      </c>
      <c r="R92" s="177">
        <v>0</v>
      </c>
      <c r="S92" s="178">
        <v>1</v>
      </c>
      <c r="U92" s="547"/>
      <c r="V92" s="175" t="s">
        <v>470</v>
      </c>
      <c r="W92" s="175">
        <v>2021</v>
      </c>
      <c r="X92" s="176" t="s">
        <v>497</v>
      </c>
      <c r="Y92" s="186">
        <f>'A renseigner'!E99</f>
        <v>0</v>
      </c>
      <c r="Z92" s="186">
        <f>'A renseigner'!F99</f>
        <v>0</v>
      </c>
      <c r="AA92" s="186">
        <f>'A renseigner'!G99</f>
        <v>2.4619339529365233E-2</v>
      </c>
      <c r="AB92" s="186">
        <f>'A renseigner'!H99</f>
        <v>0.63990508206446506</v>
      </c>
      <c r="AC92" s="186">
        <f>'A renseigner'!I99</f>
        <v>0</v>
      </c>
      <c r="AD92" s="186">
        <f>'A renseigner'!J99</f>
        <v>0</v>
      </c>
      <c r="AE92" s="186">
        <f>'A renseigner'!K99</f>
        <v>0</v>
      </c>
      <c r="AF92" s="186">
        <f>'A renseigner'!L99</f>
        <v>0</v>
      </c>
      <c r="AG92" s="186">
        <f>'A renseigner'!M99</f>
        <v>0</v>
      </c>
      <c r="AH92" s="186">
        <f>'A renseigner'!N99</f>
        <v>0</v>
      </c>
      <c r="AI92" s="186">
        <f>'A renseigner'!O99</f>
        <v>0.33547557840616965</v>
      </c>
      <c r="AJ92" s="186">
        <f>'A renseigner'!P99</f>
        <v>0</v>
      </c>
      <c r="AK92" s="186">
        <f>'A renseigner'!Q99</f>
        <v>0</v>
      </c>
      <c r="AL92" s="186">
        <f>'A renseigner'!R99</f>
        <v>0</v>
      </c>
      <c r="AM92" s="172">
        <f>'A renseigner'!S99</f>
        <v>1</v>
      </c>
      <c r="AN92" s="547"/>
      <c r="AP92" s="49" t="s">
        <v>506</v>
      </c>
    </row>
    <row r="93" spans="2:42" x14ac:dyDescent="0.3">
      <c r="B93" s="175">
        <v>2030</v>
      </c>
      <c r="C93" s="175" t="s">
        <v>470</v>
      </c>
      <c r="D93" s="176" t="s">
        <v>497</v>
      </c>
      <c r="E93" s="177">
        <v>0</v>
      </c>
      <c r="F93" s="177"/>
      <c r="G93" s="177">
        <v>0</v>
      </c>
      <c r="H93" s="177">
        <v>0.82784299151006202</v>
      </c>
      <c r="I93" s="177">
        <v>0</v>
      </c>
      <c r="J93" s="177">
        <v>0</v>
      </c>
      <c r="K93" s="177">
        <v>0</v>
      </c>
      <c r="L93" s="177">
        <v>0</v>
      </c>
      <c r="M93" s="177">
        <v>0</v>
      </c>
      <c r="N93" s="177">
        <v>0</v>
      </c>
      <c r="O93" s="177">
        <v>0.17215700848993801</v>
      </c>
      <c r="P93" s="177">
        <v>0</v>
      </c>
      <c r="Q93" s="177">
        <v>0</v>
      </c>
      <c r="R93" s="177">
        <v>0</v>
      </c>
      <c r="S93" s="178">
        <v>1</v>
      </c>
      <c r="U93" s="547"/>
      <c r="V93" s="175" t="s">
        <v>470</v>
      </c>
      <c r="W93" s="175">
        <v>2030</v>
      </c>
      <c r="X93" s="176" t="s">
        <v>497</v>
      </c>
      <c r="Y93" s="186">
        <f>'A renseigner'!E100</f>
        <v>0</v>
      </c>
      <c r="Z93" s="186">
        <f>'A renseigner'!F100</f>
        <v>0</v>
      </c>
      <c r="AA93" s="186">
        <f>'A renseigner'!G100</f>
        <v>0</v>
      </c>
      <c r="AB93" s="189">
        <f>'A renseigner'!H100</f>
        <v>0.55000000000000004</v>
      </c>
      <c r="AC93" s="186">
        <f>'A renseigner'!I100</f>
        <v>0</v>
      </c>
      <c r="AD93" s="186">
        <f>'A renseigner'!J100</f>
        <v>0</v>
      </c>
      <c r="AE93" s="186">
        <f>'A renseigner'!K100</f>
        <v>0</v>
      </c>
      <c r="AF93" s="186">
        <f>'A renseigner'!L100</f>
        <v>0</v>
      </c>
      <c r="AG93" s="186">
        <f>'A renseigner'!M100</f>
        <v>0</v>
      </c>
      <c r="AH93" s="186">
        <f>'A renseigner'!N100</f>
        <v>0</v>
      </c>
      <c r="AI93" s="189">
        <f>'A renseigner'!O100</f>
        <v>0.45</v>
      </c>
      <c r="AJ93" s="186">
        <f>'A renseigner'!P100</f>
        <v>0</v>
      </c>
      <c r="AK93" s="186">
        <f>'A renseigner'!Q100</f>
        <v>0</v>
      </c>
      <c r="AL93" s="186">
        <f>'A renseigner'!R100</f>
        <v>0</v>
      </c>
      <c r="AM93" s="172">
        <f>'A renseigner'!S100</f>
        <v>1</v>
      </c>
      <c r="AN93" s="548" t="s">
        <v>868</v>
      </c>
      <c r="AP93" s="49" t="s">
        <v>507</v>
      </c>
    </row>
    <row r="94" spans="2:42" x14ac:dyDescent="0.3">
      <c r="B94" s="175">
        <v>2050</v>
      </c>
      <c r="C94" s="175" t="s">
        <v>470</v>
      </c>
      <c r="D94" s="176" t="s">
        <v>497</v>
      </c>
      <c r="E94" s="177">
        <v>0</v>
      </c>
      <c r="F94" s="177"/>
      <c r="G94" s="177">
        <v>0</v>
      </c>
      <c r="H94" s="177">
        <v>0.75856622834587695</v>
      </c>
      <c r="I94" s="177">
        <v>0</v>
      </c>
      <c r="J94" s="177">
        <v>0</v>
      </c>
      <c r="K94" s="177">
        <v>0</v>
      </c>
      <c r="L94" s="177">
        <v>0</v>
      </c>
      <c r="M94" s="177">
        <v>0</v>
      </c>
      <c r="N94" s="177">
        <v>0</v>
      </c>
      <c r="O94" s="177">
        <v>0.241433771654123</v>
      </c>
      <c r="P94" s="177">
        <v>0</v>
      </c>
      <c r="Q94" s="177">
        <v>0</v>
      </c>
      <c r="R94" s="177">
        <v>0</v>
      </c>
      <c r="S94" s="178">
        <v>1</v>
      </c>
      <c r="U94" s="547"/>
      <c r="V94" s="175" t="s">
        <v>470</v>
      </c>
      <c r="W94" s="175">
        <v>2050</v>
      </c>
      <c r="X94" s="176" t="s">
        <v>497</v>
      </c>
      <c r="Y94" s="186">
        <f>'A renseigner'!E101</f>
        <v>0</v>
      </c>
      <c r="Z94" s="186">
        <f>'A renseigner'!F101</f>
        <v>0</v>
      </c>
      <c r="AA94" s="186">
        <f>'A renseigner'!G101</f>
        <v>0</v>
      </c>
      <c r="AB94" s="189">
        <f>'A renseigner'!H101</f>
        <v>0.2</v>
      </c>
      <c r="AC94" s="186">
        <f>'A renseigner'!I101</f>
        <v>0</v>
      </c>
      <c r="AD94" s="186">
        <f>'A renseigner'!J101</f>
        <v>0</v>
      </c>
      <c r="AE94" s="186">
        <f>'A renseigner'!K101</f>
        <v>0</v>
      </c>
      <c r="AF94" s="186">
        <f>'A renseigner'!L101</f>
        <v>0</v>
      </c>
      <c r="AG94" s="186">
        <f>'A renseigner'!M101</f>
        <v>0</v>
      </c>
      <c r="AH94" s="186">
        <f>'A renseigner'!N101</f>
        <v>0</v>
      </c>
      <c r="AI94" s="189">
        <f>'A renseigner'!O101</f>
        <v>0.8</v>
      </c>
      <c r="AJ94" s="186">
        <f>'A renseigner'!P101</f>
        <v>0</v>
      </c>
      <c r="AK94" s="186">
        <f>'A renseigner'!Q101</f>
        <v>0</v>
      </c>
      <c r="AL94" s="186">
        <f>'A renseigner'!R101</f>
        <v>0</v>
      </c>
      <c r="AM94" s="172">
        <f>'A renseigner'!S101</f>
        <v>1</v>
      </c>
      <c r="AN94" s="547"/>
      <c r="AP94" s="49"/>
    </row>
    <row r="95" spans="2:42" x14ac:dyDescent="0.3">
      <c r="C95" s="180"/>
      <c r="D95" s="181"/>
      <c r="E95" s="182"/>
      <c r="F95" s="182"/>
      <c r="G95" s="182"/>
      <c r="H95" s="182"/>
      <c r="I95" s="182"/>
      <c r="J95" s="182"/>
      <c r="K95" s="182"/>
      <c r="L95" s="182"/>
      <c r="M95" s="182"/>
      <c r="N95" s="182"/>
      <c r="O95" s="182"/>
      <c r="P95" s="182"/>
      <c r="Q95" s="182"/>
      <c r="R95" s="182"/>
      <c r="S95" s="183"/>
      <c r="U95" s="547"/>
      <c r="V95" s="180"/>
      <c r="W95" s="180"/>
      <c r="X95" s="181"/>
      <c r="Y95" s="184">
        <f>'A renseigner'!E102</f>
        <v>0</v>
      </c>
      <c r="Z95" s="184">
        <f>'A renseigner'!F102</f>
        <v>0</v>
      </c>
      <c r="AA95" s="184">
        <f>'A renseigner'!G102</f>
        <v>0</v>
      </c>
      <c r="AB95" s="184">
        <f>'A renseigner'!H102</f>
        <v>0</v>
      </c>
      <c r="AC95" s="184">
        <f>'A renseigner'!I102</f>
        <v>0</v>
      </c>
      <c r="AD95" s="184">
        <f>'A renseigner'!J102</f>
        <v>0</v>
      </c>
      <c r="AE95" s="184">
        <f>'A renseigner'!K102</f>
        <v>0</v>
      </c>
      <c r="AF95" s="184">
        <f>'A renseigner'!L102</f>
        <v>0</v>
      </c>
      <c r="AG95" s="184">
        <f>'A renseigner'!M102</f>
        <v>0</v>
      </c>
      <c r="AH95" s="184">
        <f>'A renseigner'!N102</f>
        <v>0</v>
      </c>
      <c r="AI95" s="184">
        <f>'A renseigner'!O102</f>
        <v>0</v>
      </c>
      <c r="AJ95" s="184">
        <f>'A renseigner'!P102</f>
        <v>0</v>
      </c>
      <c r="AK95" s="184">
        <f>'A renseigner'!Q102</f>
        <v>0</v>
      </c>
      <c r="AL95" s="184">
        <f>'A renseigner'!R102</f>
        <v>0</v>
      </c>
      <c r="AM95" s="185">
        <f>'A renseigner'!S102</f>
        <v>0</v>
      </c>
      <c r="AN95" s="547"/>
      <c r="AP95" s="49"/>
    </row>
    <row r="96" spans="2:42" x14ac:dyDescent="0.3">
      <c r="B96" s="175">
        <v>2019</v>
      </c>
      <c r="C96" s="175" t="s">
        <v>472</v>
      </c>
      <c r="D96" s="176" t="s">
        <v>497</v>
      </c>
      <c r="E96" s="177">
        <v>2.2038991391149301E-4</v>
      </c>
      <c r="F96" s="177"/>
      <c r="G96" s="177">
        <v>0.166864456962417</v>
      </c>
      <c r="H96" s="177">
        <v>0.15712852885131401</v>
      </c>
      <c r="I96" s="177">
        <v>2.2038991391149301E-4</v>
      </c>
      <c r="J96" s="177">
        <v>0</v>
      </c>
      <c r="K96" s="177">
        <v>0</v>
      </c>
      <c r="L96" s="177">
        <v>0</v>
      </c>
      <c r="M96" s="177"/>
      <c r="N96" s="177">
        <v>0</v>
      </c>
      <c r="O96" s="177">
        <v>0.675599380753927</v>
      </c>
      <c r="P96" s="177">
        <v>0</v>
      </c>
      <c r="Q96" s="177">
        <v>0</v>
      </c>
      <c r="R96" s="177">
        <v>0</v>
      </c>
      <c r="S96" s="178">
        <v>1.0000041463954801</v>
      </c>
      <c r="U96" s="547"/>
      <c r="V96" s="175" t="s">
        <v>472</v>
      </c>
      <c r="W96" s="175">
        <v>2021</v>
      </c>
      <c r="X96" s="176" t="s">
        <v>497</v>
      </c>
      <c r="Y96" s="186">
        <f>'A renseigner'!E103</f>
        <v>0</v>
      </c>
      <c r="Z96" s="186">
        <f>'A renseigner'!F103</f>
        <v>0</v>
      </c>
      <c r="AA96" s="186">
        <f>'A renseigner'!G103</f>
        <v>0</v>
      </c>
      <c r="AB96" s="186">
        <f>'A renseigner'!H103</f>
        <v>0.28501215223037196</v>
      </c>
      <c r="AC96" s="186">
        <f>'A renseigner'!I103</f>
        <v>2.5709965882248736E-3</v>
      </c>
      <c r="AD96" s="186">
        <f>'A renseigner'!J103</f>
        <v>0</v>
      </c>
      <c r="AE96" s="186">
        <f>'A renseigner'!K103</f>
        <v>0</v>
      </c>
      <c r="AF96" s="186">
        <f>'A renseigner'!L103</f>
        <v>0</v>
      </c>
      <c r="AG96" s="186">
        <f>'A renseigner'!M103</f>
        <v>0</v>
      </c>
      <c r="AH96" s="186">
        <f>'A renseigner'!N103</f>
        <v>0</v>
      </c>
      <c r="AI96" s="186">
        <f>'A renseigner'!O103</f>
        <v>0.67273231319747828</v>
      </c>
      <c r="AJ96" s="186">
        <f>'A renseigner'!P103</f>
        <v>0</v>
      </c>
      <c r="AK96" s="186">
        <f>'A renseigner'!Q103</f>
        <v>3.9684537983924878E-2</v>
      </c>
      <c r="AL96" s="186">
        <f>'A renseigner'!R103</f>
        <v>0</v>
      </c>
      <c r="AM96" s="172">
        <f>'A renseigner'!S103</f>
        <v>1</v>
      </c>
      <c r="AN96" s="547"/>
      <c r="AO96" s="1">
        <f>INDEX(Z$40:Z$64,MATCH($V96,$V$40:$V$64,0))</f>
        <v>-79.836038867522049</v>
      </c>
      <c r="AP96" s="49" t="s">
        <v>508</v>
      </c>
    </row>
    <row r="97" spans="2:44" x14ac:dyDescent="0.3">
      <c r="B97" s="175">
        <v>2030</v>
      </c>
      <c r="C97" s="175" t="s">
        <v>472</v>
      </c>
      <c r="D97" s="176" t="s">
        <v>497</v>
      </c>
      <c r="E97" s="177">
        <v>0</v>
      </c>
      <c r="F97" s="177"/>
      <c r="G97" s="177">
        <v>0.08</v>
      </c>
      <c r="H97" s="177">
        <v>0.1</v>
      </c>
      <c r="I97" s="177">
        <v>0</v>
      </c>
      <c r="J97" s="177">
        <v>0</v>
      </c>
      <c r="K97" s="177">
        <v>0</v>
      </c>
      <c r="L97" s="177">
        <v>0</v>
      </c>
      <c r="M97" s="177">
        <v>0</v>
      </c>
      <c r="N97" s="177">
        <v>0</v>
      </c>
      <c r="O97" s="177">
        <v>0.69</v>
      </c>
      <c r="P97" s="177">
        <v>0</v>
      </c>
      <c r="Q97" s="177">
        <v>0</v>
      </c>
      <c r="R97" s="177">
        <v>0.13</v>
      </c>
      <c r="S97" s="178">
        <v>1</v>
      </c>
      <c r="U97" s="547"/>
      <c r="V97" s="175" t="s">
        <v>472</v>
      </c>
      <c r="W97" s="175">
        <v>2030</v>
      </c>
      <c r="X97" s="176" t="s">
        <v>497</v>
      </c>
      <c r="Y97" s="186">
        <f>'A renseigner'!E104</f>
        <v>0</v>
      </c>
      <c r="Z97" s="186">
        <f>'A renseigner'!F104</f>
        <v>0</v>
      </c>
      <c r="AA97" s="186">
        <f>'A renseigner'!G104</f>
        <v>0</v>
      </c>
      <c r="AB97" s="186">
        <f>'A renseigner'!H104</f>
        <v>0.20888383042858899</v>
      </c>
      <c r="AC97" s="186">
        <f>'A renseigner'!I104</f>
        <v>0.03</v>
      </c>
      <c r="AD97" s="186">
        <f>'A renseigner'!J104</f>
        <v>0</v>
      </c>
      <c r="AE97" s="186">
        <f>'A renseigner'!K104</f>
        <v>0</v>
      </c>
      <c r="AF97" s="186">
        <f>'A renseigner'!L104</f>
        <v>0</v>
      </c>
      <c r="AG97" s="186">
        <f>'A renseigner'!M104</f>
        <v>0</v>
      </c>
      <c r="AH97" s="186">
        <f>'A renseigner'!N104</f>
        <v>0</v>
      </c>
      <c r="AI97" s="186">
        <f>'A renseigner'!O104</f>
        <v>0.7011161695714111</v>
      </c>
      <c r="AJ97" s="186">
        <f>'A renseigner'!P104</f>
        <v>0</v>
      </c>
      <c r="AK97" s="186">
        <f>'A renseigner'!Q104</f>
        <v>0.03</v>
      </c>
      <c r="AL97" s="186">
        <f>'A renseigner'!R104</f>
        <v>0.03</v>
      </c>
      <c r="AM97" s="172">
        <f>'A renseigner'!S104</f>
        <v>1</v>
      </c>
      <c r="AN97" s="547"/>
      <c r="AO97" s="179"/>
      <c r="AP97" s="49" t="s">
        <v>499</v>
      </c>
    </row>
    <row r="98" spans="2:44" x14ac:dyDescent="0.3">
      <c r="B98" s="175">
        <v>2050</v>
      </c>
      <c r="C98" s="175" t="s">
        <v>472</v>
      </c>
      <c r="D98" s="176" t="s">
        <v>497</v>
      </c>
      <c r="E98" s="177">
        <v>0</v>
      </c>
      <c r="F98" s="177"/>
      <c r="G98" s="177">
        <v>0</v>
      </c>
      <c r="H98" s="177">
        <v>0.05</v>
      </c>
      <c r="I98" s="177">
        <v>0.02</v>
      </c>
      <c r="J98" s="177">
        <v>0</v>
      </c>
      <c r="K98" s="177">
        <v>0</v>
      </c>
      <c r="L98" s="177">
        <v>0</v>
      </c>
      <c r="M98" s="177">
        <v>0</v>
      </c>
      <c r="N98" s="177">
        <v>0</v>
      </c>
      <c r="O98" s="177">
        <v>0.67509256676624396</v>
      </c>
      <c r="P98" s="177">
        <v>0</v>
      </c>
      <c r="Q98" s="177">
        <v>0</v>
      </c>
      <c r="R98" s="177">
        <v>0.25490743323375598</v>
      </c>
      <c r="S98" s="178">
        <v>1</v>
      </c>
      <c r="U98" s="547"/>
      <c r="V98" s="175" t="s">
        <v>472</v>
      </c>
      <c r="W98" s="175">
        <v>2050</v>
      </c>
      <c r="X98" s="176" t="s">
        <v>497</v>
      </c>
      <c r="Y98" s="186">
        <f>'A renseigner'!E105</f>
        <v>0</v>
      </c>
      <c r="Z98" s="186">
        <f>'A renseigner'!F105</f>
        <v>0</v>
      </c>
      <c r="AA98" s="186">
        <f>'A renseigner'!G105</f>
        <v>0</v>
      </c>
      <c r="AB98" s="186">
        <f>'A renseigner'!H105</f>
        <v>0.08</v>
      </c>
      <c r="AC98" s="186">
        <f>'A renseigner'!I105</f>
        <v>0.05</v>
      </c>
      <c r="AD98" s="186">
        <f>'A renseigner'!J105</f>
        <v>0</v>
      </c>
      <c r="AE98" s="186">
        <f>'A renseigner'!K105</f>
        <v>0</v>
      </c>
      <c r="AF98" s="186">
        <f>'A renseigner'!L105</f>
        <v>0</v>
      </c>
      <c r="AG98" s="186">
        <f>'A renseigner'!M105</f>
        <v>0</v>
      </c>
      <c r="AH98" s="186">
        <f>'A renseigner'!N105</f>
        <v>0</v>
      </c>
      <c r="AI98" s="186">
        <f>'A renseigner'!O105</f>
        <v>0.79</v>
      </c>
      <c r="AJ98" s="186">
        <f>'A renseigner'!P105</f>
        <v>0</v>
      </c>
      <c r="AK98" s="186">
        <f>'A renseigner'!Q105</f>
        <v>0</v>
      </c>
      <c r="AL98" s="186">
        <f>'A renseigner'!R105</f>
        <v>0.08</v>
      </c>
      <c r="AM98" s="172">
        <f>'A renseigner'!S105</f>
        <v>1</v>
      </c>
      <c r="AN98" s="547"/>
      <c r="AP98" s="49"/>
    </row>
    <row r="99" spans="2:44" x14ac:dyDescent="0.3">
      <c r="C99" s="180"/>
      <c r="D99" s="181"/>
      <c r="E99" s="182"/>
      <c r="F99" s="182"/>
      <c r="G99" s="182"/>
      <c r="H99" s="182"/>
      <c r="I99" s="182"/>
      <c r="J99" s="182"/>
      <c r="K99" s="182"/>
      <c r="L99" s="182"/>
      <c r="M99" s="182"/>
      <c r="N99" s="182"/>
      <c r="O99" s="182"/>
      <c r="P99" s="182"/>
      <c r="Q99" s="182"/>
      <c r="R99" s="182"/>
      <c r="S99" s="183"/>
      <c r="U99" s="547"/>
      <c r="V99" s="180"/>
      <c r="W99" s="180"/>
      <c r="X99" s="181"/>
      <c r="Y99" s="184">
        <f>'A renseigner'!E106</f>
        <v>0</v>
      </c>
      <c r="Z99" s="184">
        <f>'A renseigner'!F106</f>
        <v>0</v>
      </c>
      <c r="AA99" s="184">
        <f>'A renseigner'!G106</f>
        <v>0</v>
      </c>
      <c r="AB99" s="184">
        <f>'A renseigner'!H106</f>
        <v>0</v>
      </c>
      <c r="AC99" s="184">
        <f>'A renseigner'!I106</f>
        <v>0</v>
      </c>
      <c r="AD99" s="184">
        <f>'A renseigner'!J106</f>
        <v>0</v>
      </c>
      <c r="AE99" s="184">
        <f>'A renseigner'!K106</f>
        <v>0</v>
      </c>
      <c r="AF99" s="184">
        <f>'A renseigner'!L106</f>
        <v>0</v>
      </c>
      <c r="AG99" s="184">
        <f>'A renseigner'!M106</f>
        <v>0</v>
      </c>
      <c r="AH99" s="184">
        <f>'A renseigner'!N106</f>
        <v>0</v>
      </c>
      <c r="AI99" s="184">
        <f>'A renseigner'!O106</f>
        <v>0</v>
      </c>
      <c r="AJ99" s="184">
        <f>'A renseigner'!P106</f>
        <v>0</v>
      </c>
      <c r="AK99" s="184">
        <f>'A renseigner'!Q106</f>
        <v>0</v>
      </c>
      <c r="AL99" s="184">
        <f>'A renseigner'!R106</f>
        <v>0</v>
      </c>
      <c r="AM99" s="185">
        <f>'A renseigner'!S106</f>
        <v>0</v>
      </c>
      <c r="AN99" s="547"/>
      <c r="AP99" s="49"/>
    </row>
    <row r="100" spans="2:44" x14ac:dyDescent="0.3">
      <c r="C100" s="170" t="s">
        <v>25</v>
      </c>
      <c r="D100" s="170"/>
      <c r="E100" s="188"/>
      <c r="F100" s="188"/>
      <c r="G100" s="188"/>
      <c r="H100" s="188"/>
      <c r="I100" s="188"/>
      <c r="J100" s="188"/>
      <c r="K100" s="188"/>
      <c r="L100" s="188"/>
      <c r="M100" s="188"/>
      <c r="N100" s="188"/>
      <c r="O100" s="188"/>
      <c r="P100" s="188"/>
      <c r="Q100" s="188"/>
      <c r="R100" s="188"/>
      <c r="S100" s="178"/>
      <c r="U100" s="547"/>
      <c r="V100" s="634" t="s">
        <v>25</v>
      </c>
      <c r="W100" s="634"/>
      <c r="X100" s="634"/>
      <c r="Y100" s="171" t="str">
        <f>'A renseigner'!E107</f>
        <v>Charbon</v>
      </c>
      <c r="Z100" s="171" t="str">
        <f>'A renseigner'!F107</f>
        <v>Coke</v>
      </c>
      <c r="AA100" s="171" t="str">
        <f>'A renseigner'!G107</f>
        <v>Produits pétroliers raffinés</v>
      </c>
      <c r="AB100" s="171" t="str">
        <f>'A renseigner'!H107</f>
        <v>Gaz naturel</v>
      </c>
      <c r="AC100" s="171" t="str">
        <f>'A renseigner'!I107</f>
        <v>Biomasse solide</v>
      </c>
      <c r="AD100" s="171" t="str">
        <f>'A renseigner'!J107</f>
        <v>Déchets</v>
      </c>
      <c r="AE100" s="171" t="str">
        <f>'A renseigner'!K107</f>
        <v>Biocarburants</v>
      </c>
      <c r="AF100" s="171" t="str">
        <f>'A renseigner'!L107</f>
        <v>Gaz renouvelable</v>
      </c>
      <c r="AG100" s="171" t="str">
        <f>'A renseigner'!M107</f>
        <v>Chaleur de l'environnement</v>
      </c>
      <c r="AH100" s="171" t="str">
        <f>'A renseigner'!N107</f>
        <v>Solaire thermique et géothermie</v>
      </c>
      <c r="AI100" s="171" t="str">
        <f>'A renseigner'!O107</f>
        <v xml:space="preserve">Électricité </v>
      </c>
      <c r="AJ100" s="171" t="str">
        <f>'A renseigner'!P107</f>
        <v>Electricité PAC</v>
      </c>
      <c r="AK100" s="171" t="str">
        <f>'A renseigner'!Q107</f>
        <v>Chaleur vendue</v>
      </c>
      <c r="AL100" s="171" t="str">
        <f>'A renseigner'!R107</f>
        <v>Hydrogène</v>
      </c>
      <c r="AM100" s="172">
        <f>'A renseigner'!S107</f>
        <v>0</v>
      </c>
      <c r="AN100" s="547"/>
      <c r="AP100" s="49"/>
    </row>
    <row r="101" spans="2:44" x14ac:dyDescent="0.3">
      <c r="B101" s="175">
        <v>2019</v>
      </c>
      <c r="C101" s="175" t="s">
        <v>474</v>
      </c>
      <c r="D101" s="176" t="s">
        <v>497</v>
      </c>
      <c r="E101" s="177">
        <v>0</v>
      </c>
      <c r="F101" s="177"/>
      <c r="G101" s="177">
        <v>5.0000000000000001E-3</v>
      </c>
      <c r="H101" s="177">
        <v>0.93</v>
      </c>
      <c r="I101" s="177">
        <v>5.0000000000000001E-3</v>
      </c>
      <c r="J101" s="177">
        <v>0</v>
      </c>
      <c r="K101" s="177">
        <v>0</v>
      </c>
      <c r="L101" s="177">
        <v>0</v>
      </c>
      <c r="M101" s="177"/>
      <c r="N101" s="177">
        <v>0</v>
      </c>
      <c r="O101" s="177">
        <v>0.06</v>
      </c>
      <c r="P101" s="177">
        <v>0</v>
      </c>
      <c r="Q101" s="177">
        <v>0</v>
      </c>
      <c r="R101" s="177">
        <v>0</v>
      </c>
      <c r="S101" s="178">
        <v>1</v>
      </c>
      <c r="U101" s="547"/>
      <c r="V101" s="175" t="s">
        <v>870</v>
      </c>
      <c r="W101" s="175">
        <v>2021</v>
      </c>
      <c r="X101" s="176" t="s">
        <v>497</v>
      </c>
      <c r="Y101" s="186">
        <f>'A renseigner'!E108</f>
        <v>0</v>
      </c>
      <c r="Z101" s="186">
        <f>'A renseigner'!F108</f>
        <v>0</v>
      </c>
      <c r="AA101" s="394">
        <f>'A renseigner'!G108</f>
        <v>4.9999999999999992E-3</v>
      </c>
      <c r="AB101" s="394">
        <f>'A renseigner'!H108</f>
        <v>0.92999999999999994</v>
      </c>
      <c r="AC101" s="394">
        <f>'A renseigner'!I108</f>
        <v>4.9999999999999992E-3</v>
      </c>
      <c r="AD101" s="186">
        <f>'A renseigner'!J108</f>
        <v>0</v>
      </c>
      <c r="AE101" s="186">
        <f>'A renseigner'!K108</f>
        <v>0</v>
      </c>
      <c r="AF101" s="186">
        <f>'A renseigner'!L108</f>
        <v>0</v>
      </c>
      <c r="AG101" s="186">
        <f>'A renseigner'!M108</f>
        <v>0</v>
      </c>
      <c r="AH101" s="186">
        <f>'A renseigner'!N108</f>
        <v>0</v>
      </c>
      <c r="AI101" s="394">
        <f>'A renseigner'!O108</f>
        <v>5.9999999999999984E-2</v>
      </c>
      <c r="AJ101" s="186">
        <f>'A renseigner'!P108</f>
        <v>0</v>
      </c>
      <c r="AK101" s="186">
        <f>'A renseigner'!Q108</f>
        <v>0</v>
      </c>
      <c r="AL101" s="394">
        <f>'A renseigner'!R108</f>
        <v>0</v>
      </c>
      <c r="AM101" s="172">
        <f>'A renseigner'!S108</f>
        <v>0.99999999999999989</v>
      </c>
      <c r="AN101" s="547"/>
      <c r="AP101" s="49" t="s">
        <v>509</v>
      </c>
    </row>
    <row r="102" spans="2:44" x14ac:dyDescent="0.3">
      <c r="B102" s="175">
        <v>2030</v>
      </c>
      <c r="C102" s="175" t="s">
        <v>474</v>
      </c>
      <c r="D102" s="176" t="s">
        <v>497</v>
      </c>
      <c r="E102" s="177">
        <v>0</v>
      </c>
      <c r="F102" s="177"/>
      <c r="G102" s="177">
        <v>0</v>
      </c>
      <c r="H102" s="177">
        <v>0.21</v>
      </c>
      <c r="I102" s="177">
        <v>0</v>
      </c>
      <c r="J102" s="177">
        <v>0</v>
      </c>
      <c r="K102" s="177">
        <v>0</v>
      </c>
      <c r="L102" s="177">
        <v>0</v>
      </c>
      <c r="M102" s="177">
        <v>0</v>
      </c>
      <c r="N102" s="177">
        <v>0</v>
      </c>
      <c r="O102" s="177">
        <v>0.79</v>
      </c>
      <c r="P102" s="177">
        <v>0</v>
      </c>
      <c r="Q102" s="177">
        <v>0</v>
      </c>
      <c r="R102" s="177">
        <v>0</v>
      </c>
      <c r="S102" s="178">
        <v>1</v>
      </c>
      <c r="U102" s="547"/>
      <c r="V102" s="175" t="s">
        <v>870</v>
      </c>
      <c r="W102" s="175">
        <v>2030</v>
      </c>
      <c r="X102" s="176" t="s">
        <v>497</v>
      </c>
      <c r="Y102" s="186">
        <f>'A renseigner'!E109</f>
        <v>0</v>
      </c>
      <c r="Z102" s="186">
        <f>'A renseigner'!F109</f>
        <v>0</v>
      </c>
      <c r="AA102" s="394">
        <f>'A renseigner'!G109</f>
        <v>4.9999999999999992E-3</v>
      </c>
      <c r="AB102" s="394">
        <f>'A renseigner'!H109</f>
        <v>0.92999999999999994</v>
      </c>
      <c r="AC102" s="394">
        <f>'A renseigner'!I109</f>
        <v>4.9999999999999992E-3</v>
      </c>
      <c r="AD102" s="186">
        <f>'A renseigner'!J109</f>
        <v>0</v>
      </c>
      <c r="AE102" s="186">
        <f>'A renseigner'!K109</f>
        <v>0</v>
      </c>
      <c r="AF102" s="186">
        <f>'A renseigner'!L109</f>
        <v>0</v>
      </c>
      <c r="AG102" s="186">
        <f>'A renseigner'!M109</f>
        <v>0</v>
      </c>
      <c r="AH102" s="186">
        <f>'A renseigner'!N109</f>
        <v>0</v>
      </c>
      <c r="AI102" s="394">
        <f>'A renseigner'!O109</f>
        <v>0.06</v>
      </c>
      <c r="AJ102" s="186">
        <f>'A renseigner'!P109</f>
        <v>0</v>
      </c>
      <c r="AK102" s="186">
        <f>'A renseigner'!Q109</f>
        <v>0</v>
      </c>
      <c r="AL102" s="394">
        <f>'A renseigner'!R109</f>
        <v>0</v>
      </c>
      <c r="AM102" s="172">
        <f>'A renseigner'!S109</f>
        <v>1</v>
      </c>
      <c r="AN102" s="548" t="s">
        <v>868</v>
      </c>
      <c r="AP102" s="49"/>
    </row>
    <row r="103" spans="2:44" x14ac:dyDescent="0.3">
      <c r="B103" s="175">
        <v>2050</v>
      </c>
      <c r="C103" s="175" t="s">
        <v>474</v>
      </c>
      <c r="D103" s="176" t="s">
        <v>497</v>
      </c>
      <c r="E103" s="177">
        <v>0</v>
      </c>
      <c r="F103" s="177"/>
      <c r="G103" s="177">
        <v>0</v>
      </c>
      <c r="H103" s="177">
        <v>0.18437964446392999</v>
      </c>
      <c r="I103" s="177">
        <v>0</v>
      </c>
      <c r="J103" s="177">
        <v>0</v>
      </c>
      <c r="K103" s="177">
        <v>0</v>
      </c>
      <c r="L103" s="177">
        <v>0</v>
      </c>
      <c r="M103" s="177">
        <v>0</v>
      </c>
      <c r="N103" s="177">
        <v>0</v>
      </c>
      <c r="O103" s="177">
        <v>0.81562064553607005</v>
      </c>
      <c r="P103" s="177">
        <v>0</v>
      </c>
      <c r="Q103" s="177">
        <v>0</v>
      </c>
      <c r="R103" s="177">
        <v>0</v>
      </c>
      <c r="S103" s="178">
        <v>1</v>
      </c>
      <c r="U103" s="547"/>
      <c r="V103" s="175" t="s">
        <v>870</v>
      </c>
      <c r="W103" s="175">
        <v>2050</v>
      </c>
      <c r="X103" s="176" t="s">
        <v>497</v>
      </c>
      <c r="Y103" s="186">
        <f>'A renseigner'!E110</f>
        <v>0</v>
      </c>
      <c r="Z103" s="186">
        <f>'A renseigner'!F110</f>
        <v>0</v>
      </c>
      <c r="AA103" s="394">
        <f>'A renseigner'!G110</f>
        <v>4.9999999999999992E-3</v>
      </c>
      <c r="AB103" s="394">
        <f>'A renseigner'!H110</f>
        <v>0.92999999999999994</v>
      </c>
      <c r="AC103" s="394">
        <f>'A renseigner'!I110</f>
        <v>4.9999999999999992E-3</v>
      </c>
      <c r="AD103" s="186">
        <f>'A renseigner'!J110</f>
        <v>0</v>
      </c>
      <c r="AE103" s="186">
        <f>'A renseigner'!K110</f>
        <v>0</v>
      </c>
      <c r="AF103" s="186">
        <f>'A renseigner'!L110</f>
        <v>0</v>
      </c>
      <c r="AG103" s="186">
        <f>'A renseigner'!M110</f>
        <v>0</v>
      </c>
      <c r="AH103" s="186">
        <f>'A renseigner'!N110</f>
        <v>0</v>
      </c>
      <c r="AI103" s="394">
        <f>'A renseigner'!O110</f>
        <v>0.06</v>
      </c>
      <c r="AJ103" s="186">
        <f>'A renseigner'!P110</f>
        <v>0</v>
      </c>
      <c r="AK103" s="186">
        <f>'A renseigner'!Q110</f>
        <v>0</v>
      </c>
      <c r="AL103" s="394">
        <f>'A renseigner'!R110</f>
        <v>0</v>
      </c>
      <c r="AM103" s="172">
        <f>'A renseigner'!S110</f>
        <v>1</v>
      </c>
      <c r="AN103" s="549" t="s">
        <v>872</v>
      </c>
      <c r="AP103" s="49"/>
    </row>
    <row r="104" spans="2:44" x14ac:dyDescent="0.3">
      <c r="C104" s="180"/>
      <c r="D104" s="181"/>
      <c r="E104" s="182"/>
      <c r="F104" s="182"/>
      <c r="G104" s="182"/>
      <c r="H104" s="182"/>
      <c r="I104" s="182"/>
      <c r="J104" s="182"/>
      <c r="K104" s="182"/>
      <c r="L104" s="182"/>
      <c r="M104" s="182"/>
      <c r="N104" s="182"/>
      <c r="O104" s="182"/>
      <c r="P104" s="182"/>
      <c r="Q104" s="182"/>
      <c r="R104" s="182"/>
      <c r="S104" s="183"/>
      <c r="U104" s="547"/>
      <c r="V104" s="180"/>
      <c r="W104" s="180"/>
      <c r="X104" s="181"/>
      <c r="Y104" s="184">
        <f>'A renseigner'!E111</f>
        <v>0</v>
      </c>
      <c r="Z104" s="184">
        <f>'A renseigner'!F111</f>
        <v>0</v>
      </c>
      <c r="AA104" s="184">
        <f>'A renseigner'!G111</f>
        <v>0</v>
      </c>
      <c r="AB104" s="184">
        <f>'A renseigner'!H111</f>
        <v>0</v>
      </c>
      <c r="AC104" s="184">
        <f>'A renseigner'!I111</f>
        <v>0</v>
      </c>
      <c r="AD104" s="184">
        <f>'A renseigner'!J111</f>
        <v>0</v>
      </c>
      <c r="AE104" s="184">
        <f>'A renseigner'!K111</f>
        <v>0</v>
      </c>
      <c r="AF104" s="184">
        <f>'A renseigner'!L111</f>
        <v>0</v>
      </c>
      <c r="AG104" s="184">
        <f>'A renseigner'!M111</f>
        <v>0</v>
      </c>
      <c r="AH104" s="184">
        <f>'A renseigner'!N111</f>
        <v>0</v>
      </c>
      <c r="AI104" s="184">
        <f>'A renseigner'!O111</f>
        <v>0</v>
      </c>
      <c r="AJ104" s="184">
        <f>'A renseigner'!P111</f>
        <v>0</v>
      </c>
      <c r="AK104" s="184">
        <f>'A renseigner'!Q111</f>
        <v>0</v>
      </c>
      <c r="AL104" s="184">
        <f>'A renseigner'!R111</f>
        <v>0</v>
      </c>
      <c r="AM104" s="185">
        <f>'A renseigner'!S111</f>
        <v>0</v>
      </c>
      <c r="AN104" s="547"/>
      <c r="AP104" s="49"/>
    </row>
    <row r="105" spans="2:44" x14ac:dyDescent="0.3">
      <c r="B105" s="175">
        <v>2019</v>
      </c>
      <c r="C105" s="175" t="s">
        <v>475</v>
      </c>
      <c r="D105" s="176" t="s">
        <v>497</v>
      </c>
      <c r="E105" s="177">
        <v>0</v>
      </c>
      <c r="F105" s="177"/>
      <c r="G105" s="177">
        <v>6.8403293431177806E-2</v>
      </c>
      <c r="H105" s="177">
        <v>0.494979970656034</v>
      </c>
      <c r="I105" s="177">
        <v>3.0411115934223999E-2</v>
      </c>
      <c r="J105" s="177">
        <v>0</v>
      </c>
      <c r="K105" s="177">
        <v>0</v>
      </c>
      <c r="L105" s="177">
        <v>0</v>
      </c>
      <c r="M105" s="177"/>
      <c r="N105" s="177">
        <v>0</v>
      </c>
      <c r="O105" s="177">
        <v>0.22808336950668001</v>
      </c>
      <c r="P105" s="177">
        <v>0</v>
      </c>
      <c r="Q105" s="177">
        <v>0.17812225047188401</v>
      </c>
      <c r="R105" s="177">
        <v>0</v>
      </c>
      <c r="S105" s="178">
        <v>1</v>
      </c>
      <c r="U105" s="547"/>
      <c r="V105" s="175" t="s">
        <v>475</v>
      </c>
      <c r="W105" s="175">
        <v>2021</v>
      </c>
      <c r="X105" s="176" t="s">
        <v>497</v>
      </c>
      <c r="Y105" s="186">
        <f>'A renseigner'!E112</f>
        <v>0</v>
      </c>
      <c r="Z105" s="186">
        <f>'A renseigner'!F112</f>
        <v>0</v>
      </c>
      <c r="AA105" s="186">
        <f>'A renseigner'!G112</f>
        <v>2.2797872030274474E-2</v>
      </c>
      <c r="AB105" s="186">
        <f>'A renseigner'!H112</f>
        <v>0.64404566692837173</v>
      </c>
      <c r="AC105" s="186">
        <f>'A renseigner'!I112</f>
        <v>1.4462768081301218E-2</v>
      </c>
      <c r="AD105" s="186">
        <f>'A renseigner'!J112</f>
        <v>0</v>
      </c>
      <c r="AE105" s="186">
        <f>'A renseigner'!K112</f>
        <v>0</v>
      </c>
      <c r="AF105" s="186">
        <f>'A renseigner'!L112</f>
        <v>0</v>
      </c>
      <c r="AG105" s="186">
        <f>'A renseigner'!M112</f>
        <v>0</v>
      </c>
      <c r="AH105" s="186">
        <f>'A renseigner'!N112</f>
        <v>0</v>
      </c>
      <c r="AI105" s="186">
        <f>'A renseigner'!O112</f>
        <v>0.17466629843776149</v>
      </c>
      <c r="AJ105" s="186">
        <f>'A renseigner'!P112</f>
        <v>0</v>
      </c>
      <c r="AK105" s="186">
        <f>'A renseigner'!Q112</f>
        <v>0.14402739452229107</v>
      </c>
      <c r="AL105" s="186">
        <f>'A renseigner'!R112</f>
        <v>0</v>
      </c>
      <c r="AM105" s="172">
        <f>'A renseigner'!S112</f>
        <v>1</v>
      </c>
      <c r="AN105" s="547"/>
      <c r="AP105" s="49" t="s">
        <v>510</v>
      </c>
    </row>
    <row r="106" spans="2:44" x14ac:dyDescent="0.3">
      <c r="B106" s="175">
        <v>2030</v>
      </c>
      <c r="C106" s="175" t="s">
        <v>475</v>
      </c>
      <c r="D106" s="176" t="s">
        <v>497</v>
      </c>
      <c r="E106" s="177">
        <v>0</v>
      </c>
      <c r="F106" s="177"/>
      <c r="G106" s="177">
        <v>0.05</v>
      </c>
      <c r="H106" s="177">
        <v>0.38773860579796099</v>
      </c>
      <c r="I106" s="177">
        <v>3.0411115934223999E-2</v>
      </c>
      <c r="J106" s="177">
        <v>0</v>
      </c>
      <c r="K106" s="177">
        <v>0</v>
      </c>
      <c r="L106" s="177">
        <v>0</v>
      </c>
      <c r="M106" s="177">
        <v>0</v>
      </c>
      <c r="N106" s="177">
        <v>0</v>
      </c>
      <c r="O106" s="177">
        <v>0.64185027826781504</v>
      </c>
      <c r="P106" s="177">
        <v>0</v>
      </c>
      <c r="Q106" s="177">
        <v>0.18</v>
      </c>
      <c r="R106" s="177">
        <v>0</v>
      </c>
      <c r="S106" s="178">
        <v>1</v>
      </c>
      <c r="U106" s="547"/>
      <c r="V106" s="175" t="s">
        <v>475</v>
      </c>
      <c r="W106" s="175">
        <v>2030</v>
      </c>
      <c r="X106" s="176" t="s">
        <v>497</v>
      </c>
      <c r="Y106" s="186">
        <f>'A renseigner'!E113</f>
        <v>0</v>
      </c>
      <c r="Z106" s="186">
        <f>'A renseigner'!F113</f>
        <v>0</v>
      </c>
      <c r="AA106" s="189">
        <f>'A renseigner'!G113</f>
        <v>0.02</v>
      </c>
      <c r="AB106" s="189">
        <f>'A renseigner'!H113</f>
        <v>0.35</v>
      </c>
      <c r="AC106" s="189">
        <f>'A renseigner'!I113</f>
        <v>1.4E-2</v>
      </c>
      <c r="AD106" s="186">
        <f>'A renseigner'!J113</f>
        <v>0</v>
      </c>
      <c r="AE106" s="186">
        <f>'A renseigner'!K113</f>
        <v>0</v>
      </c>
      <c r="AF106" s="186">
        <f>'A renseigner'!L113</f>
        <v>0</v>
      </c>
      <c r="AG106" s="186">
        <f>'A renseigner'!M113</f>
        <v>0</v>
      </c>
      <c r="AH106" s="186">
        <f>'A renseigner'!N113</f>
        <v>0</v>
      </c>
      <c r="AI106" s="189">
        <f>'A renseigner'!O113</f>
        <v>0.47599999999999998</v>
      </c>
      <c r="AJ106" s="186">
        <f>'A renseigner'!P113</f>
        <v>0</v>
      </c>
      <c r="AK106" s="189">
        <f>'A renseigner'!Q113</f>
        <v>0.14000000000000001</v>
      </c>
      <c r="AL106" s="186">
        <f>'A renseigner'!R113</f>
        <v>0</v>
      </c>
      <c r="AM106" s="172">
        <f>'A renseigner'!S113</f>
        <v>1</v>
      </c>
      <c r="AN106" s="548" t="s">
        <v>868</v>
      </c>
      <c r="AP106" s="49" t="s">
        <v>499</v>
      </c>
      <c r="AR106" s="179"/>
    </row>
    <row r="107" spans="2:44" x14ac:dyDescent="0.3">
      <c r="B107" s="175">
        <v>2050</v>
      </c>
      <c r="C107" s="175" t="s">
        <v>475</v>
      </c>
      <c r="D107" s="176" t="s">
        <v>497</v>
      </c>
      <c r="E107" s="177">
        <v>0</v>
      </c>
      <c r="F107" s="177"/>
      <c r="G107" s="177">
        <v>0</v>
      </c>
      <c r="H107" s="177">
        <v>0.30017784015294602</v>
      </c>
      <c r="I107" s="177">
        <v>3.0411115934223999E-2</v>
      </c>
      <c r="J107" s="177">
        <v>0</v>
      </c>
      <c r="K107" s="177">
        <v>0</v>
      </c>
      <c r="L107" s="177">
        <v>0</v>
      </c>
      <c r="M107" s="177">
        <v>0</v>
      </c>
      <c r="N107" s="177">
        <v>0</v>
      </c>
      <c r="O107" s="177">
        <v>0.491288793440946</v>
      </c>
      <c r="P107" s="177">
        <v>0</v>
      </c>
      <c r="Q107" s="177">
        <v>0.17812225047188401</v>
      </c>
      <c r="R107" s="177">
        <v>0</v>
      </c>
      <c r="S107" s="178">
        <v>1</v>
      </c>
      <c r="U107" s="547"/>
      <c r="V107" s="175" t="s">
        <v>475</v>
      </c>
      <c r="W107" s="175">
        <v>2050</v>
      </c>
      <c r="X107" s="176" t="s">
        <v>497</v>
      </c>
      <c r="Y107" s="186">
        <f>'A renseigner'!E114</f>
        <v>0</v>
      </c>
      <c r="Z107" s="186">
        <f>'A renseigner'!F114</f>
        <v>0</v>
      </c>
      <c r="AA107" s="189">
        <f>'A renseigner'!G114</f>
        <v>1.7000000000000001E-2</v>
      </c>
      <c r="AB107" s="189">
        <f>'A renseigner'!H114</f>
        <v>0.1</v>
      </c>
      <c r="AC107" s="189">
        <f>'A renseigner'!I114</f>
        <v>1.4999999999999999E-2</v>
      </c>
      <c r="AD107" s="186">
        <f>'A renseigner'!J114</f>
        <v>0</v>
      </c>
      <c r="AE107" s="186">
        <f>'A renseigner'!K114</f>
        <v>0</v>
      </c>
      <c r="AF107" s="186">
        <f>'A renseigner'!L114</f>
        <v>0</v>
      </c>
      <c r="AG107" s="186">
        <f>'A renseigner'!M114</f>
        <v>0</v>
      </c>
      <c r="AH107" s="186">
        <f>'A renseigner'!N114</f>
        <v>0</v>
      </c>
      <c r="AI107" s="189">
        <f>'A renseigner'!O114</f>
        <v>0.71799999999999997</v>
      </c>
      <c r="AJ107" s="186">
        <f>'A renseigner'!P114</f>
        <v>0</v>
      </c>
      <c r="AK107" s="189">
        <f>'A renseigner'!Q114</f>
        <v>0.15</v>
      </c>
      <c r="AL107" s="186">
        <f>'A renseigner'!R114</f>
        <v>0</v>
      </c>
      <c r="AM107" s="172">
        <f>'A renseigner'!S114</f>
        <v>1</v>
      </c>
      <c r="AN107" s="547"/>
      <c r="AP107" s="49"/>
    </row>
    <row r="108" spans="2:44" x14ac:dyDescent="0.3">
      <c r="C108" s="180"/>
      <c r="D108" s="181"/>
      <c r="E108" s="182"/>
      <c r="F108" s="182"/>
      <c r="G108" s="182"/>
      <c r="H108" s="182"/>
      <c r="I108" s="182"/>
      <c r="J108" s="182"/>
      <c r="K108" s="182"/>
      <c r="L108" s="182"/>
      <c r="M108" s="182"/>
      <c r="N108" s="182"/>
      <c r="O108" s="182"/>
      <c r="P108" s="182"/>
      <c r="Q108" s="182"/>
      <c r="R108" s="182"/>
      <c r="S108" s="183"/>
      <c r="U108" s="547"/>
      <c r="V108" s="180"/>
      <c r="W108" s="180"/>
      <c r="X108" s="181"/>
      <c r="Y108" s="184">
        <f>'A renseigner'!E115</f>
        <v>0</v>
      </c>
      <c r="Z108" s="184">
        <f>'A renseigner'!F115</f>
        <v>0</v>
      </c>
      <c r="AA108" s="184">
        <f>'A renseigner'!G115</f>
        <v>0</v>
      </c>
      <c r="AB108" s="184">
        <f>'A renseigner'!H115</f>
        <v>0</v>
      </c>
      <c r="AC108" s="184">
        <f>'A renseigner'!I115</f>
        <v>0</v>
      </c>
      <c r="AD108" s="184">
        <f>'A renseigner'!J115</f>
        <v>0</v>
      </c>
      <c r="AE108" s="184">
        <f>'A renseigner'!K115</f>
        <v>0</v>
      </c>
      <c r="AF108" s="184">
        <f>'A renseigner'!L115</f>
        <v>0</v>
      </c>
      <c r="AG108" s="184">
        <f>'A renseigner'!M115</f>
        <v>0</v>
      </c>
      <c r="AH108" s="184">
        <f>'A renseigner'!N115</f>
        <v>0</v>
      </c>
      <c r="AI108" s="184">
        <f>'A renseigner'!O115</f>
        <v>0</v>
      </c>
      <c r="AJ108" s="184">
        <f>'A renseigner'!P115</f>
        <v>0</v>
      </c>
      <c r="AK108" s="184">
        <f>'A renseigner'!Q115</f>
        <v>0</v>
      </c>
      <c r="AL108" s="184">
        <f>'A renseigner'!R115</f>
        <v>0</v>
      </c>
      <c r="AM108" s="185">
        <f>'A renseigner'!S115</f>
        <v>0</v>
      </c>
      <c r="AN108" s="547"/>
      <c r="AP108" s="49"/>
    </row>
    <row r="109" spans="2:44" x14ac:dyDescent="0.3">
      <c r="B109" s="175">
        <v>2019</v>
      </c>
      <c r="C109" s="175" t="s">
        <v>478</v>
      </c>
      <c r="D109" s="176" t="s">
        <v>497</v>
      </c>
      <c r="E109" s="177">
        <v>8.1790103158823804E-2</v>
      </c>
      <c r="F109" s="177"/>
      <c r="G109" s="177">
        <v>5.8595894299541498E-2</v>
      </c>
      <c r="H109" s="177">
        <v>0.40213172017946802</v>
      </c>
      <c r="I109" s="177">
        <v>6.4971647823342804E-3</v>
      </c>
      <c r="J109" s="177">
        <v>0</v>
      </c>
      <c r="K109" s="177">
        <v>0</v>
      </c>
      <c r="L109" s="177">
        <v>0</v>
      </c>
      <c r="M109" s="177"/>
      <c r="N109" s="177">
        <v>0</v>
      </c>
      <c r="O109" s="177">
        <v>0.299028640919066</v>
      </c>
      <c r="P109" s="177">
        <v>0</v>
      </c>
      <c r="Q109" s="177">
        <v>0.15194510837917699</v>
      </c>
      <c r="R109" s="177">
        <v>0</v>
      </c>
      <c r="S109" s="178">
        <v>0.999988341718411</v>
      </c>
      <c r="U109" s="547" t="s">
        <v>511</v>
      </c>
      <c r="V109" s="175" t="s">
        <v>478</v>
      </c>
      <c r="W109" s="175">
        <v>2021</v>
      </c>
      <c r="X109" s="176" t="s">
        <v>497</v>
      </c>
      <c r="Y109" s="186">
        <f>'A renseigner'!E116</f>
        <v>0.170315869678687</v>
      </c>
      <c r="Z109" s="186">
        <f>'A renseigner'!F116</f>
        <v>0</v>
      </c>
      <c r="AA109" s="186">
        <f>'A renseigner'!G116</f>
        <v>0</v>
      </c>
      <c r="AB109" s="186">
        <f>'A renseigner'!H116</f>
        <v>-2.9233733835709483E-5</v>
      </c>
      <c r="AC109" s="186">
        <f>'A renseigner'!I116</f>
        <v>3.6413531053419303E-2</v>
      </c>
      <c r="AD109" s="186">
        <f>'A renseigner'!J116</f>
        <v>0</v>
      </c>
      <c r="AE109" s="186">
        <f>'A renseigner'!K116</f>
        <v>0</v>
      </c>
      <c r="AF109" s="186">
        <f>'A renseigner'!L116</f>
        <v>0</v>
      </c>
      <c r="AG109" s="186">
        <f>'A renseigner'!M116</f>
        <v>0</v>
      </c>
      <c r="AH109" s="186">
        <f>'A renseigner'!N116</f>
        <v>0</v>
      </c>
      <c r="AI109" s="186">
        <f>'A renseigner'!O116</f>
        <v>0.57581314710275977</v>
      </c>
      <c r="AJ109" s="186">
        <f>'A renseigner'!P116</f>
        <v>0</v>
      </c>
      <c r="AK109" s="186">
        <f>'A renseigner'!Q116</f>
        <v>0.21748668589896974</v>
      </c>
      <c r="AL109" s="186">
        <f>'A renseigner'!R116</f>
        <v>0</v>
      </c>
      <c r="AM109" s="172">
        <f>'A renseigner'!S116</f>
        <v>1</v>
      </c>
      <c r="AN109" s="550"/>
      <c r="AP109" s="49" t="s">
        <v>512</v>
      </c>
    </row>
    <row r="110" spans="2:44" x14ac:dyDescent="0.3">
      <c r="B110" s="175">
        <v>2030</v>
      </c>
      <c r="C110" s="175" t="s">
        <v>478</v>
      </c>
      <c r="D110" s="176" t="s">
        <v>497</v>
      </c>
      <c r="E110" s="177">
        <v>0</v>
      </c>
      <c r="F110" s="177"/>
      <c r="G110" s="177">
        <v>0.02</v>
      </c>
      <c r="H110" s="177">
        <v>0.38017303490005899</v>
      </c>
      <c r="I110" s="177">
        <v>0.01</v>
      </c>
      <c r="J110" s="177">
        <v>0</v>
      </c>
      <c r="K110" s="177">
        <v>0</v>
      </c>
      <c r="L110" s="177">
        <v>0</v>
      </c>
      <c r="M110" s="177">
        <v>0</v>
      </c>
      <c r="N110" s="177">
        <v>0</v>
      </c>
      <c r="O110" s="177">
        <v>0.64</v>
      </c>
      <c r="P110" s="177">
        <v>0</v>
      </c>
      <c r="Q110" s="177">
        <v>0.239826965099941</v>
      </c>
      <c r="R110" s="177">
        <v>0</v>
      </c>
      <c r="S110" s="178">
        <v>1</v>
      </c>
      <c r="U110" s="547"/>
      <c r="V110" s="175" t="s">
        <v>478</v>
      </c>
      <c r="W110" s="175">
        <v>2030</v>
      </c>
      <c r="X110" s="176" t="s">
        <v>497</v>
      </c>
      <c r="Y110" s="186">
        <f>'A renseigner'!E117</f>
        <v>0</v>
      </c>
      <c r="Z110" s="186">
        <f>'A renseigner'!F117</f>
        <v>0</v>
      </c>
      <c r="AA110" s="186">
        <f>'A renseigner'!G117</f>
        <v>0.06</v>
      </c>
      <c r="AB110" s="186">
        <f>'A renseigner'!H117</f>
        <v>0.04</v>
      </c>
      <c r="AC110" s="186">
        <f>'A renseigner'!I117</f>
        <v>0.04</v>
      </c>
      <c r="AD110" s="186">
        <f>'A renseigner'!J117</f>
        <v>0</v>
      </c>
      <c r="AE110" s="186">
        <f>'A renseigner'!K117</f>
        <v>0</v>
      </c>
      <c r="AF110" s="186">
        <f>'A renseigner'!L117</f>
        <v>0</v>
      </c>
      <c r="AG110" s="186">
        <f>'A renseigner'!M117</f>
        <v>0.04</v>
      </c>
      <c r="AH110" s="186">
        <f>'A renseigner'!N117</f>
        <v>0</v>
      </c>
      <c r="AI110" s="186">
        <f>'A renseigner'!O117</f>
        <v>0.56999999999999995</v>
      </c>
      <c r="AJ110" s="186">
        <f>'A renseigner'!P117</f>
        <v>0.02</v>
      </c>
      <c r="AK110" s="186">
        <f>'A renseigner'!Q117</f>
        <v>0.23</v>
      </c>
      <c r="AL110" s="186">
        <f>'A renseigner'!R117</f>
        <v>0</v>
      </c>
      <c r="AM110" s="172">
        <f>'A renseigner'!S117</f>
        <v>1</v>
      </c>
      <c r="AN110" s="547"/>
      <c r="AO110" s="179"/>
      <c r="AP110" s="49" t="s">
        <v>513</v>
      </c>
    </row>
    <row r="111" spans="2:44" x14ac:dyDescent="0.3">
      <c r="B111" s="175">
        <v>2050</v>
      </c>
      <c r="C111" s="175" t="s">
        <v>478</v>
      </c>
      <c r="D111" s="176" t="s">
        <v>497</v>
      </c>
      <c r="E111" s="177">
        <v>0</v>
      </c>
      <c r="F111" s="177"/>
      <c r="G111" s="177">
        <v>0</v>
      </c>
      <c r="H111" s="177">
        <v>0.2</v>
      </c>
      <c r="I111" s="177">
        <v>0.01</v>
      </c>
      <c r="J111" s="177">
        <v>0</v>
      </c>
      <c r="K111" s="177">
        <v>0</v>
      </c>
      <c r="L111" s="177">
        <v>0</v>
      </c>
      <c r="M111" s="177">
        <v>0</v>
      </c>
      <c r="N111" s="177">
        <v>0</v>
      </c>
      <c r="O111" s="177">
        <v>0.38453372446484801</v>
      </c>
      <c r="P111" s="177">
        <v>0</v>
      </c>
      <c r="Q111" s="177">
        <v>0.40546627556415199</v>
      </c>
      <c r="R111" s="177">
        <v>0</v>
      </c>
      <c r="S111" s="178">
        <v>1</v>
      </c>
      <c r="U111" s="547"/>
      <c r="V111" s="175" t="s">
        <v>478</v>
      </c>
      <c r="W111" s="175">
        <v>2050</v>
      </c>
      <c r="X111" s="176" t="s">
        <v>497</v>
      </c>
      <c r="Y111" s="186">
        <f>'A renseigner'!E118</f>
        <v>0</v>
      </c>
      <c r="Z111" s="186">
        <f>'A renseigner'!F118</f>
        <v>0</v>
      </c>
      <c r="AA111" s="186">
        <f>'A renseigner'!G118</f>
        <v>0</v>
      </c>
      <c r="AB111" s="186">
        <f>'A renseigner'!H118</f>
        <v>0.02</v>
      </c>
      <c r="AC111" s="186">
        <f>'A renseigner'!I118</f>
        <v>0.05</v>
      </c>
      <c r="AD111" s="186">
        <f>'A renseigner'!J118</f>
        <v>0</v>
      </c>
      <c r="AE111" s="186">
        <f>'A renseigner'!K118</f>
        <v>0</v>
      </c>
      <c r="AF111" s="186">
        <f>'A renseigner'!L118</f>
        <v>0</v>
      </c>
      <c r="AG111" s="186">
        <f>'A renseigner'!M118</f>
        <v>0.1</v>
      </c>
      <c r="AH111" s="186">
        <f>'A renseigner'!N118</f>
        <v>0.01</v>
      </c>
      <c r="AI111" s="186">
        <f>'A renseigner'!O118</f>
        <v>0.56999999999999995</v>
      </c>
      <c r="AJ111" s="186">
        <f>'A renseigner'!P118</f>
        <v>0</v>
      </c>
      <c r="AK111" s="186">
        <f>'A renseigner'!Q118</f>
        <v>0.25</v>
      </c>
      <c r="AL111" s="186">
        <f>'A renseigner'!R118</f>
        <v>0</v>
      </c>
      <c r="AM111" s="172">
        <f>'A renseigner'!S118</f>
        <v>1</v>
      </c>
      <c r="AN111" s="547"/>
      <c r="AP111" s="49"/>
    </row>
    <row r="112" spans="2:44" x14ac:dyDescent="0.3">
      <c r="C112" s="180"/>
      <c r="D112" s="181"/>
      <c r="E112" s="182"/>
      <c r="F112" s="182"/>
      <c r="G112" s="182"/>
      <c r="H112" s="182"/>
      <c r="I112" s="182"/>
      <c r="J112" s="182"/>
      <c r="K112" s="182"/>
      <c r="L112" s="182"/>
      <c r="M112" s="182"/>
      <c r="N112" s="182"/>
      <c r="O112" s="182"/>
      <c r="P112" s="182"/>
      <c r="Q112" s="182"/>
      <c r="R112" s="182"/>
      <c r="S112" s="183"/>
      <c r="U112" s="547"/>
      <c r="V112" s="180"/>
      <c r="W112" s="180"/>
      <c r="X112" s="181"/>
      <c r="Y112" s="184">
        <f>'A renseigner'!E119</f>
        <v>0</v>
      </c>
      <c r="Z112" s="184">
        <f>'A renseigner'!F119</f>
        <v>0</v>
      </c>
      <c r="AA112" s="184">
        <f>'A renseigner'!G119</f>
        <v>0</v>
      </c>
      <c r="AB112" s="184">
        <f>'A renseigner'!H119</f>
        <v>0</v>
      </c>
      <c r="AC112" s="184">
        <f>'A renseigner'!I119</f>
        <v>0</v>
      </c>
      <c r="AD112" s="184">
        <f>'A renseigner'!J119</f>
        <v>0</v>
      </c>
      <c r="AE112" s="184">
        <f>'A renseigner'!K119</f>
        <v>0</v>
      </c>
      <c r="AF112" s="184">
        <f>'A renseigner'!L119</f>
        <v>0</v>
      </c>
      <c r="AG112" s="184">
        <f>'A renseigner'!M119</f>
        <v>0</v>
      </c>
      <c r="AH112" s="184">
        <f>'A renseigner'!N119</f>
        <v>0</v>
      </c>
      <c r="AI112" s="184">
        <f>'A renseigner'!O119</f>
        <v>0</v>
      </c>
      <c r="AJ112" s="184">
        <f>'A renseigner'!P119</f>
        <v>0</v>
      </c>
      <c r="AK112" s="184">
        <f>'A renseigner'!Q119</f>
        <v>0</v>
      </c>
      <c r="AL112" s="184">
        <f>'A renseigner'!R119</f>
        <v>0</v>
      </c>
      <c r="AM112" s="185">
        <f>'A renseigner'!S119</f>
        <v>0</v>
      </c>
      <c r="AN112" s="547"/>
      <c r="AP112" s="49"/>
    </row>
    <row r="113" spans="2:42" x14ac:dyDescent="0.3">
      <c r="C113" s="170" t="s">
        <v>479</v>
      </c>
      <c r="D113" s="170"/>
      <c r="E113" s="188"/>
      <c r="F113" s="188"/>
      <c r="G113" s="188"/>
      <c r="H113" s="188"/>
      <c r="I113" s="188"/>
      <c r="J113" s="188"/>
      <c r="K113" s="188"/>
      <c r="L113" s="188"/>
      <c r="M113" s="188"/>
      <c r="N113" s="188"/>
      <c r="O113" s="188"/>
      <c r="P113" s="188"/>
      <c r="Q113" s="188"/>
      <c r="R113" s="188"/>
      <c r="S113" s="178"/>
      <c r="U113" s="547"/>
      <c r="V113" s="634" t="s">
        <v>479</v>
      </c>
      <c r="W113" s="634"/>
      <c r="X113" s="634"/>
      <c r="Y113" s="171" t="str">
        <f>'A renseigner'!E120</f>
        <v>Charbon</v>
      </c>
      <c r="Z113" s="171" t="str">
        <f>'A renseigner'!F120</f>
        <v>Coke</v>
      </c>
      <c r="AA113" s="171" t="str">
        <f>'A renseigner'!G120</f>
        <v>Produits pétroliers raffinés</v>
      </c>
      <c r="AB113" s="171" t="str">
        <f>'A renseigner'!H120</f>
        <v>Gaz naturel</v>
      </c>
      <c r="AC113" s="171" t="str">
        <f>'A renseigner'!I120</f>
        <v>Biomasse solide</v>
      </c>
      <c r="AD113" s="171" t="str">
        <f>'A renseigner'!J120</f>
        <v>Déchets</v>
      </c>
      <c r="AE113" s="171" t="str">
        <f>'A renseigner'!K120</f>
        <v>Biocarburants</v>
      </c>
      <c r="AF113" s="171" t="str">
        <f>'A renseigner'!L120</f>
        <v>Gaz renouvelable</v>
      </c>
      <c r="AG113" s="171" t="str">
        <f>'A renseigner'!M120</f>
        <v>Chaleur de l'environnement</v>
      </c>
      <c r="AH113" s="171" t="str">
        <f>'A renseigner'!N120</f>
        <v>Solaire thermique et géothermie</v>
      </c>
      <c r="AI113" s="171" t="str">
        <f>'A renseigner'!O120</f>
        <v xml:space="preserve">Électricité </v>
      </c>
      <c r="AJ113" s="171" t="str">
        <f>'A renseigner'!P120</f>
        <v>Electricité PAC</v>
      </c>
      <c r="AK113" s="171" t="str">
        <f>'A renseigner'!Q120</f>
        <v>Chaleur vendue</v>
      </c>
      <c r="AL113" s="171" t="str">
        <f>'A renseigner'!R120</f>
        <v>Hydrogène</v>
      </c>
      <c r="AM113" s="172">
        <f>'A renseigner'!S120</f>
        <v>0</v>
      </c>
      <c r="AN113" s="547"/>
      <c r="AP113" s="49" t="s">
        <v>514</v>
      </c>
    </row>
    <row r="114" spans="2:42" x14ac:dyDescent="0.3">
      <c r="B114" s="175">
        <v>2019</v>
      </c>
      <c r="C114" s="175" t="s">
        <v>480</v>
      </c>
      <c r="D114" s="176" t="s">
        <v>497</v>
      </c>
      <c r="E114" s="177">
        <v>0.14000000000000001</v>
      </c>
      <c r="F114" s="177"/>
      <c r="G114" s="177">
        <v>0.38500000000000001</v>
      </c>
      <c r="H114" s="177">
        <v>0.02</v>
      </c>
      <c r="I114" s="177">
        <v>0.42499999999999999</v>
      </c>
      <c r="J114" s="177">
        <v>0</v>
      </c>
      <c r="K114" s="177">
        <v>0</v>
      </c>
      <c r="L114" s="177">
        <v>0</v>
      </c>
      <c r="M114" s="177"/>
      <c r="N114" s="177">
        <v>0</v>
      </c>
      <c r="O114" s="177">
        <v>0.03</v>
      </c>
      <c r="P114" s="177">
        <v>0</v>
      </c>
      <c r="Q114" s="177">
        <v>0</v>
      </c>
      <c r="R114" s="177">
        <v>0</v>
      </c>
      <c r="S114" s="178">
        <v>1</v>
      </c>
      <c r="U114" s="547"/>
      <c r="V114" s="175" t="s">
        <v>480</v>
      </c>
      <c r="W114" s="175">
        <v>2021</v>
      </c>
      <c r="X114" s="176" t="s">
        <v>497</v>
      </c>
      <c r="Y114" s="186">
        <f>'A renseigner'!E121</f>
        <v>0.14000000000000001</v>
      </c>
      <c r="Z114" s="186">
        <f>'A renseigner'!F121</f>
        <v>0</v>
      </c>
      <c r="AA114" s="186">
        <f>'A renseigner'!G121</f>
        <v>0.38499999999999995</v>
      </c>
      <c r="AB114" s="186">
        <f>'A renseigner'!H121</f>
        <v>1.9999999999999997E-2</v>
      </c>
      <c r="AC114" s="186">
        <f>'A renseigner'!I121</f>
        <v>0.16999999999999998</v>
      </c>
      <c r="AD114" s="186">
        <f>'A renseigner'!J121</f>
        <v>0.25499999999999995</v>
      </c>
      <c r="AE114" s="186">
        <f>'A renseigner'!K121</f>
        <v>0</v>
      </c>
      <c r="AF114" s="186">
        <f>'A renseigner'!L121</f>
        <v>0</v>
      </c>
      <c r="AG114" s="186">
        <f>'A renseigner'!M121</f>
        <v>0</v>
      </c>
      <c r="AH114" s="186">
        <f>'A renseigner'!N121</f>
        <v>0</v>
      </c>
      <c r="AI114" s="186">
        <f>'A renseigner'!O121</f>
        <v>2.9999999999999995E-2</v>
      </c>
      <c r="AJ114" s="186">
        <f>'A renseigner'!P121</f>
        <v>0</v>
      </c>
      <c r="AK114" s="186">
        <f>'A renseigner'!Q121</f>
        <v>0</v>
      </c>
      <c r="AL114" s="186">
        <f>'A renseigner'!R121</f>
        <v>0</v>
      </c>
      <c r="AM114" s="172">
        <f>'A renseigner'!S121</f>
        <v>0.99999999999999978</v>
      </c>
      <c r="AN114" s="547"/>
      <c r="AO114" s="166"/>
      <c r="AP114" s="49"/>
    </row>
    <row r="115" spans="2:42" x14ac:dyDescent="0.3">
      <c r="B115" s="175">
        <v>2030</v>
      </c>
      <c r="C115" s="175" t="s">
        <v>480</v>
      </c>
      <c r="D115" s="176" t="s">
        <v>497</v>
      </c>
      <c r="E115" s="177">
        <v>0</v>
      </c>
      <c r="F115" s="177"/>
      <c r="G115" s="177">
        <v>0.23</v>
      </c>
      <c r="H115" s="177">
        <v>0.02</v>
      </c>
      <c r="I115" s="177">
        <v>0.6</v>
      </c>
      <c r="J115" s="177">
        <v>0</v>
      </c>
      <c r="K115" s="177">
        <v>0</v>
      </c>
      <c r="L115" s="177">
        <v>0</v>
      </c>
      <c r="M115" s="177">
        <v>0</v>
      </c>
      <c r="N115" s="177">
        <v>0</v>
      </c>
      <c r="O115" s="177">
        <v>0.15</v>
      </c>
      <c r="P115" s="177">
        <v>0</v>
      </c>
      <c r="Q115" s="177">
        <v>0</v>
      </c>
      <c r="R115" s="177">
        <v>0</v>
      </c>
      <c r="S115" s="178">
        <v>1</v>
      </c>
      <c r="U115" s="547"/>
      <c r="V115" s="175" t="s">
        <v>480</v>
      </c>
      <c r="W115" s="175">
        <v>2030</v>
      </c>
      <c r="X115" s="176" t="s">
        <v>497</v>
      </c>
      <c r="Y115" s="186">
        <f>'A renseigner'!E122</f>
        <v>0.03</v>
      </c>
      <c r="Z115" s="186">
        <f>'A renseigner'!F122</f>
        <v>0</v>
      </c>
      <c r="AA115" s="186">
        <f>'A renseigner'!G122</f>
        <v>0.13</v>
      </c>
      <c r="AB115" s="186">
        <f>'A renseigner'!H122</f>
        <v>0.01</v>
      </c>
      <c r="AC115" s="186">
        <f>'A renseigner'!I122</f>
        <v>0.23</v>
      </c>
      <c r="AD115" s="186">
        <f>'A renseigner'!J122</f>
        <v>0.46</v>
      </c>
      <c r="AE115" s="186">
        <f>'A renseigner'!K122</f>
        <v>0</v>
      </c>
      <c r="AF115" s="186">
        <f>'A renseigner'!L122</f>
        <v>0</v>
      </c>
      <c r="AG115" s="186">
        <f>'A renseigner'!M122</f>
        <v>0</v>
      </c>
      <c r="AH115" s="186">
        <f>'A renseigner'!N122</f>
        <v>0</v>
      </c>
      <c r="AI115" s="186">
        <f>'A renseigner'!O122</f>
        <v>0.13</v>
      </c>
      <c r="AJ115" s="186">
        <f>'A renseigner'!P122</f>
        <v>0</v>
      </c>
      <c r="AK115" s="186">
        <f>'A renseigner'!Q122</f>
        <v>0.01</v>
      </c>
      <c r="AL115" s="186">
        <f>'A renseigner'!R122</f>
        <v>0</v>
      </c>
      <c r="AM115" s="172">
        <f>'A renseigner'!S122</f>
        <v>1</v>
      </c>
      <c r="AN115" s="547"/>
      <c r="AO115" s="166"/>
      <c r="AP115" s="49"/>
    </row>
    <row r="116" spans="2:42" x14ac:dyDescent="0.3">
      <c r="B116" s="175">
        <v>2050</v>
      </c>
      <c r="C116" s="175" t="s">
        <v>480</v>
      </c>
      <c r="D116" s="176" t="s">
        <v>497</v>
      </c>
      <c r="E116" s="177">
        <v>0</v>
      </c>
      <c r="F116" s="177"/>
      <c r="G116" s="177">
        <v>0</v>
      </c>
      <c r="H116" s="177">
        <v>0.02</v>
      </c>
      <c r="I116" s="177">
        <v>0.77376433898308705</v>
      </c>
      <c r="J116" s="177">
        <v>0</v>
      </c>
      <c r="K116" s="177">
        <v>0</v>
      </c>
      <c r="L116" s="177">
        <v>0</v>
      </c>
      <c r="M116" s="177">
        <v>0</v>
      </c>
      <c r="N116" s="177">
        <v>0</v>
      </c>
      <c r="O116" s="177">
        <v>0.2</v>
      </c>
      <c r="P116" s="177">
        <v>0</v>
      </c>
      <c r="Q116" s="177">
        <v>6.2646610169164799E-3</v>
      </c>
      <c r="R116" s="177">
        <v>0</v>
      </c>
      <c r="S116" s="178">
        <v>1</v>
      </c>
      <c r="U116" s="547"/>
      <c r="V116" s="175" t="s">
        <v>480</v>
      </c>
      <c r="W116" s="175">
        <v>2050</v>
      </c>
      <c r="X116" s="176" t="s">
        <v>497</v>
      </c>
      <c r="Y116" s="186">
        <f>'A renseigner'!E123</f>
        <v>0</v>
      </c>
      <c r="Z116" s="186">
        <f>'A renseigner'!F123</f>
        <v>0</v>
      </c>
      <c r="AA116" s="186">
        <f>'A renseigner'!G123</f>
        <v>7.0000000000000007E-2</v>
      </c>
      <c r="AB116" s="186">
        <f>'A renseigner'!H123</f>
        <v>0.01</v>
      </c>
      <c r="AC116" s="186">
        <f>'A renseigner'!I123</f>
        <v>0.28999999999999998</v>
      </c>
      <c r="AD116" s="186">
        <f>'A renseigner'!J123</f>
        <v>0.48</v>
      </c>
      <c r="AE116" s="186">
        <f>'A renseigner'!K123</f>
        <v>0</v>
      </c>
      <c r="AF116" s="186">
        <f>'A renseigner'!L123</f>
        <v>0</v>
      </c>
      <c r="AG116" s="186">
        <f>'A renseigner'!M123</f>
        <v>0</v>
      </c>
      <c r="AH116" s="186">
        <f>'A renseigner'!N123</f>
        <v>0</v>
      </c>
      <c r="AI116" s="186">
        <f>'A renseigner'!O123</f>
        <v>0.13</v>
      </c>
      <c r="AJ116" s="186">
        <f>'A renseigner'!P123</f>
        <v>0</v>
      </c>
      <c r="AK116" s="186">
        <f>'A renseigner'!Q123</f>
        <v>0.02</v>
      </c>
      <c r="AL116" s="186">
        <f>'A renseigner'!R123</f>
        <v>0</v>
      </c>
      <c r="AM116" s="172">
        <f>'A renseigner'!S123</f>
        <v>1</v>
      </c>
      <c r="AN116" s="547"/>
      <c r="AO116" s="166"/>
      <c r="AP116" s="49"/>
    </row>
    <row r="117" spans="2:42" x14ac:dyDescent="0.3">
      <c r="C117" s="180"/>
      <c r="D117" s="181"/>
      <c r="E117" s="182"/>
      <c r="F117" s="182"/>
      <c r="G117" s="182"/>
      <c r="H117" s="182"/>
      <c r="I117" s="182"/>
      <c r="J117" s="182"/>
      <c r="K117" s="182"/>
      <c r="L117" s="182"/>
      <c r="M117" s="182"/>
      <c r="N117" s="182"/>
      <c r="O117" s="182"/>
      <c r="P117" s="182"/>
      <c r="Q117" s="182"/>
      <c r="R117" s="182"/>
      <c r="S117" s="183"/>
      <c r="U117" s="547"/>
      <c r="V117" s="180"/>
      <c r="W117" s="180"/>
      <c r="X117" s="181"/>
      <c r="Y117" s="184">
        <f>'A renseigner'!E124</f>
        <v>0</v>
      </c>
      <c r="Z117" s="184">
        <f>'A renseigner'!F124</f>
        <v>0</v>
      </c>
      <c r="AA117" s="184">
        <f>'A renseigner'!G124</f>
        <v>0</v>
      </c>
      <c r="AB117" s="184">
        <f>'A renseigner'!H124</f>
        <v>0</v>
      </c>
      <c r="AC117" s="184">
        <f>'A renseigner'!I124</f>
        <v>0</v>
      </c>
      <c r="AD117" s="184">
        <f>'A renseigner'!J124</f>
        <v>0</v>
      </c>
      <c r="AE117" s="184">
        <f>'A renseigner'!K124</f>
        <v>0</v>
      </c>
      <c r="AF117" s="184">
        <f>'A renseigner'!L124</f>
        <v>0</v>
      </c>
      <c r="AG117" s="184">
        <f>'A renseigner'!M124</f>
        <v>0</v>
      </c>
      <c r="AH117" s="184">
        <f>'A renseigner'!N124</f>
        <v>0</v>
      </c>
      <c r="AI117" s="184">
        <f>'A renseigner'!O124</f>
        <v>0</v>
      </c>
      <c r="AJ117" s="184">
        <f>'A renseigner'!P124</f>
        <v>0</v>
      </c>
      <c r="AK117" s="184">
        <f>'A renseigner'!Q124</f>
        <v>0</v>
      </c>
      <c r="AL117" s="184">
        <f>'A renseigner'!R124</f>
        <v>0</v>
      </c>
      <c r="AM117" s="185">
        <f>'A renseigner'!S124</f>
        <v>0</v>
      </c>
      <c r="AN117" s="547"/>
      <c r="AP117" s="49"/>
    </row>
    <row r="118" spans="2:42" x14ac:dyDescent="0.3">
      <c r="B118" s="175">
        <v>2019</v>
      </c>
      <c r="C118" s="175" t="s">
        <v>481</v>
      </c>
      <c r="D118" s="176" t="s">
        <v>497</v>
      </c>
      <c r="E118" s="177">
        <v>0</v>
      </c>
      <c r="F118" s="177"/>
      <c r="G118" s="177">
        <v>0.09</v>
      </c>
      <c r="H118" s="177">
        <v>0.67</v>
      </c>
      <c r="I118" s="177">
        <v>0</v>
      </c>
      <c r="J118" s="177">
        <v>0</v>
      </c>
      <c r="K118" s="177">
        <v>0</v>
      </c>
      <c r="L118" s="177">
        <v>0</v>
      </c>
      <c r="M118" s="177"/>
      <c r="N118" s="177">
        <v>0</v>
      </c>
      <c r="O118" s="177">
        <v>0.24</v>
      </c>
      <c r="P118" s="177">
        <v>0</v>
      </c>
      <c r="Q118" s="177">
        <v>0</v>
      </c>
      <c r="R118" s="177">
        <v>0</v>
      </c>
      <c r="S118" s="178">
        <v>1</v>
      </c>
      <c r="U118" s="547"/>
      <c r="V118" s="175" t="s">
        <v>481</v>
      </c>
      <c r="W118" s="175">
        <v>2021</v>
      </c>
      <c r="X118" s="176" t="s">
        <v>497</v>
      </c>
      <c r="Y118" s="186">
        <f>'A renseigner'!E125</f>
        <v>0</v>
      </c>
      <c r="Z118" s="186">
        <f>'A renseigner'!F125</f>
        <v>0</v>
      </c>
      <c r="AA118" s="186">
        <f>'A renseigner'!G125</f>
        <v>0.09</v>
      </c>
      <c r="AB118" s="186">
        <f>'A renseigner'!H125</f>
        <v>0.67</v>
      </c>
      <c r="AC118" s="186">
        <f>'A renseigner'!I125</f>
        <v>0</v>
      </c>
      <c r="AD118" s="186">
        <f>'A renseigner'!J125</f>
        <v>0</v>
      </c>
      <c r="AE118" s="186">
        <f>'A renseigner'!K125</f>
        <v>0</v>
      </c>
      <c r="AF118" s="186">
        <f>'A renseigner'!L125</f>
        <v>0</v>
      </c>
      <c r="AG118" s="186">
        <f>'A renseigner'!M125</f>
        <v>0</v>
      </c>
      <c r="AH118" s="186">
        <f>'A renseigner'!N125</f>
        <v>0</v>
      </c>
      <c r="AI118" s="186">
        <f>'A renseigner'!O125</f>
        <v>0.24</v>
      </c>
      <c r="AJ118" s="186">
        <f>'A renseigner'!P125</f>
        <v>0</v>
      </c>
      <c r="AK118" s="186">
        <f>'A renseigner'!Q125</f>
        <v>0</v>
      </c>
      <c r="AL118" s="186">
        <f>'A renseigner'!R125</f>
        <v>0</v>
      </c>
      <c r="AM118" s="172">
        <f>'A renseigner'!S125</f>
        <v>1</v>
      </c>
      <c r="AN118" s="547"/>
      <c r="AP118" s="49" t="s">
        <v>505</v>
      </c>
    </row>
    <row r="119" spans="2:42" x14ac:dyDescent="0.3">
      <c r="B119" s="175">
        <v>2030</v>
      </c>
      <c r="C119" s="175" t="s">
        <v>481</v>
      </c>
      <c r="D119" s="176" t="s">
        <v>497</v>
      </c>
      <c r="E119" s="177">
        <v>0</v>
      </c>
      <c r="F119" s="177"/>
      <c r="G119" s="177">
        <v>0.03</v>
      </c>
      <c r="H119" s="177">
        <v>0.50119397890568995</v>
      </c>
      <c r="I119" s="177">
        <v>0</v>
      </c>
      <c r="J119" s="177">
        <v>0</v>
      </c>
      <c r="K119" s="177">
        <v>0</v>
      </c>
      <c r="L119" s="177">
        <v>0</v>
      </c>
      <c r="M119" s="177">
        <v>0</v>
      </c>
      <c r="N119" s="177">
        <v>0</v>
      </c>
      <c r="O119" s="177">
        <v>0.46880602109431002</v>
      </c>
      <c r="P119" s="177">
        <v>0</v>
      </c>
      <c r="Q119" s="177">
        <v>0</v>
      </c>
      <c r="R119" s="177">
        <v>0</v>
      </c>
      <c r="S119" s="178">
        <v>1</v>
      </c>
      <c r="U119" s="547"/>
      <c r="V119" s="175" t="s">
        <v>481</v>
      </c>
      <c r="W119" s="175">
        <v>2030</v>
      </c>
      <c r="X119" s="176" t="s">
        <v>497</v>
      </c>
      <c r="Y119" s="186">
        <f>'A renseigner'!E126</f>
        <v>0</v>
      </c>
      <c r="Z119" s="186">
        <f>'A renseigner'!F126</f>
        <v>0</v>
      </c>
      <c r="AA119" s="189">
        <f>'A renseigner'!G126</f>
        <v>0</v>
      </c>
      <c r="AB119" s="189">
        <f>'A renseigner'!H126</f>
        <v>0.54</v>
      </c>
      <c r="AC119" s="186">
        <f>'A renseigner'!I126</f>
        <v>0</v>
      </c>
      <c r="AD119" s="186">
        <f>'A renseigner'!J126</f>
        <v>0</v>
      </c>
      <c r="AE119" s="186">
        <f>'A renseigner'!K126</f>
        <v>0</v>
      </c>
      <c r="AF119" s="189">
        <f>'A renseigner'!L126</f>
        <v>0</v>
      </c>
      <c r="AG119" s="186">
        <f>'A renseigner'!M126</f>
        <v>0</v>
      </c>
      <c r="AH119" s="186">
        <f>'A renseigner'!N126</f>
        <v>0</v>
      </c>
      <c r="AI119" s="189">
        <f>'A renseigner'!O126</f>
        <v>0.45</v>
      </c>
      <c r="AJ119" s="186">
        <f>'A renseigner'!P126</f>
        <v>0</v>
      </c>
      <c r="AK119" s="186">
        <f>'A renseigner'!Q126</f>
        <v>0</v>
      </c>
      <c r="AL119" s="189">
        <f>'A renseigner'!R126</f>
        <v>0.01</v>
      </c>
      <c r="AM119" s="172">
        <f>'A renseigner'!S126</f>
        <v>1</v>
      </c>
      <c r="AN119" s="548" t="s">
        <v>868</v>
      </c>
      <c r="AP119" s="49"/>
    </row>
    <row r="120" spans="2:42" x14ac:dyDescent="0.3">
      <c r="B120" s="175">
        <v>2050</v>
      </c>
      <c r="C120" s="175" t="s">
        <v>481</v>
      </c>
      <c r="D120" s="176" t="s">
        <v>497</v>
      </c>
      <c r="E120" s="177">
        <v>0</v>
      </c>
      <c r="F120" s="177"/>
      <c r="G120" s="177">
        <v>0</v>
      </c>
      <c r="H120" s="177">
        <v>0.15407598863227701</v>
      </c>
      <c r="I120" s="177">
        <v>0</v>
      </c>
      <c r="J120" s="177">
        <v>0</v>
      </c>
      <c r="K120" s="177">
        <v>0</v>
      </c>
      <c r="L120" s="177">
        <v>0</v>
      </c>
      <c r="M120" s="177">
        <v>0</v>
      </c>
      <c r="N120" s="177">
        <v>0</v>
      </c>
      <c r="O120" s="177">
        <v>0.84592401136772299</v>
      </c>
      <c r="P120" s="177">
        <v>0</v>
      </c>
      <c r="Q120" s="177">
        <v>0</v>
      </c>
      <c r="R120" s="177">
        <v>0</v>
      </c>
      <c r="S120" s="178">
        <v>1</v>
      </c>
      <c r="U120" s="547"/>
      <c r="V120" s="175" t="s">
        <v>481</v>
      </c>
      <c r="W120" s="175">
        <v>2050</v>
      </c>
      <c r="X120" s="176" t="s">
        <v>497</v>
      </c>
      <c r="Y120" s="186">
        <f>'A renseigner'!E127</f>
        <v>0</v>
      </c>
      <c r="Z120" s="186">
        <f>'A renseigner'!F127</f>
        <v>0</v>
      </c>
      <c r="AA120" s="189">
        <f>'A renseigner'!G127</f>
        <v>0</v>
      </c>
      <c r="AB120" s="189">
        <f>'A renseigner'!H127</f>
        <v>0.2</v>
      </c>
      <c r="AC120" s="186">
        <f>'A renseigner'!I127</f>
        <v>0</v>
      </c>
      <c r="AD120" s="186">
        <f>'A renseigner'!J127</f>
        <v>0</v>
      </c>
      <c r="AE120" s="186">
        <f>'A renseigner'!K127</f>
        <v>0</v>
      </c>
      <c r="AF120" s="189">
        <f>'A renseigner'!L127</f>
        <v>0</v>
      </c>
      <c r="AG120" s="186">
        <f>'A renseigner'!M127</f>
        <v>0</v>
      </c>
      <c r="AH120" s="186">
        <f>'A renseigner'!N127</f>
        <v>0</v>
      </c>
      <c r="AI120" s="189">
        <f>'A renseigner'!O127</f>
        <v>0.65</v>
      </c>
      <c r="AJ120" s="186">
        <f>'A renseigner'!P127</f>
        <v>0</v>
      </c>
      <c r="AK120" s="186">
        <f>'A renseigner'!Q127</f>
        <v>0</v>
      </c>
      <c r="AL120" s="189">
        <f>'A renseigner'!R127</f>
        <v>0.15</v>
      </c>
      <c r="AM120" s="172">
        <f>'A renseigner'!S127</f>
        <v>1</v>
      </c>
      <c r="AN120" s="547"/>
      <c r="AP120" s="49"/>
    </row>
    <row r="121" spans="2:42" x14ac:dyDescent="0.3">
      <c r="C121" s="180"/>
      <c r="D121" s="181"/>
      <c r="E121" s="182"/>
      <c r="F121" s="182"/>
      <c r="G121" s="182"/>
      <c r="H121" s="182"/>
      <c r="I121" s="182"/>
      <c r="J121" s="182"/>
      <c r="K121" s="182"/>
      <c r="L121" s="182"/>
      <c r="M121" s="182"/>
      <c r="N121" s="182"/>
      <c r="O121" s="182"/>
      <c r="P121" s="182"/>
      <c r="Q121" s="182"/>
      <c r="R121" s="182"/>
      <c r="S121" s="183"/>
      <c r="U121" s="547"/>
      <c r="V121" s="180"/>
      <c r="W121" s="180"/>
      <c r="X121" s="181"/>
      <c r="Y121" s="184">
        <f>'A renseigner'!E128</f>
        <v>0</v>
      </c>
      <c r="Z121" s="184">
        <f>'A renseigner'!F128</f>
        <v>0</v>
      </c>
      <c r="AA121" s="184">
        <f>'A renseigner'!G128</f>
        <v>0</v>
      </c>
      <c r="AB121" s="184">
        <f>'A renseigner'!H128</f>
        <v>0</v>
      </c>
      <c r="AC121" s="184">
        <f>'A renseigner'!I128</f>
        <v>0</v>
      </c>
      <c r="AD121" s="184">
        <f>'A renseigner'!J128</f>
        <v>0</v>
      </c>
      <c r="AE121" s="184">
        <f>'A renseigner'!K128</f>
        <v>0</v>
      </c>
      <c r="AF121" s="184">
        <f>'A renseigner'!L128</f>
        <v>0</v>
      </c>
      <c r="AG121" s="184">
        <f>'A renseigner'!M128</f>
        <v>0</v>
      </c>
      <c r="AH121" s="184">
        <f>'A renseigner'!N128</f>
        <v>0</v>
      </c>
      <c r="AI121" s="184">
        <f>'A renseigner'!O128</f>
        <v>0</v>
      </c>
      <c r="AJ121" s="184">
        <f>'A renseigner'!P128</f>
        <v>0</v>
      </c>
      <c r="AK121" s="184">
        <f>'A renseigner'!Q128</f>
        <v>0</v>
      </c>
      <c r="AL121" s="184">
        <f>'A renseigner'!R128</f>
        <v>0</v>
      </c>
      <c r="AM121" s="185">
        <f>'A renseigner'!S128</f>
        <v>0</v>
      </c>
      <c r="AN121" s="547"/>
      <c r="AP121" s="49"/>
    </row>
    <row r="122" spans="2:42" x14ac:dyDescent="0.3">
      <c r="B122" s="175">
        <v>2019</v>
      </c>
      <c r="C122" s="175" t="s">
        <v>482</v>
      </c>
      <c r="D122" s="176" t="s">
        <v>497</v>
      </c>
      <c r="E122" s="177">
        <v>7.2272284052321403E-2</v>
      </c>
      <c r="F122" s="177"/>
      <c r="G122" s="177">
        <v>2.01689588256188E-2</v>
      </c>
      <c r="H122" s="177">
        <v>0.59944091663669197</v>
      </c>
      <c r="I122" s="177">
        <v>1.9519577919500101E-2</v>
      </c>
      <c r="J122" s="177">
        <v>0</v>
      </c>
      <c r="K122" s="177">
        <v>0</v>
      </c>
      <c r="L122" s="177">
        <v>0</v>
      </c>
      <c r="M122" s="177"/>
      <c r="N122" s="177">
        <v>0</v>
      </c>
      <c r="O122" s="177">
        <v>0.28856456772665201</v>
      </c>
      <c r="P122" s="177">
        <v>0</v>
      </c>
      <c r="Q122" s="177">
        <v>0</v>
      </c>
      <c r="R122" s="177">
        <v>0</v>
      </c>
      <c r="S122" s="178">
        <v>0.999966305160784</v>
      </c>
      <c r="U122" s="547"/>
      <c r="V122" s="175" t="s">
        <v>482</v>
      </c>
      <c r="W122" s="175">
        <v>2021</v>
      </c>
      <c r="X122" s="176" t="s">
        <v>497</v>
      </c>
      <c r="Y122" s="186">
        <f>'A renseigner'!E129</f>
        <v>5.8824428211733226E-2</v>
      </c>
      <c r="Z122" s="186">
        <f>'A renseigner'!F129</f>
        <v>2.3692803972379425E-2</v>
      </c>
      <c r="AA122" s="186">
        <f>'A renseigner'!G129</f>
        <v>0.12818758280126549</v>
      </c>
      <c r="AB122" s="186">
        <f>'A renseigner'!H129</f>
        <v>0.3694993728006245</v>
      </c>
      <c r="AC122" s="186">
        <f>'A renseigner'!I129</f>
        <v>0.18685925692665384</v>
      </c>
      <c r="AD122" s="186">
        <f>'A renseigner'!J129</f>
        <v>0</v>
      </c>
      <c r="AE122" s="186">
        <f>'A renseigner'!K129</f>
        <v>0</v>
      </c>
      <c r="AF122" s="186">
        <f>'A renseigner'!L129</f>
        <v>0</v>
      </c>
      <c r="AG122" s="186">
        <f>'A renseigner'!M129</f>
        <v>0</v>
      </c>
      <c r="AH122" s="186">
        <f>'A renseigner'!N129</f>
        <v>0</v>
      </c>
      <c r="AI122" s="186">
        <f>'A renseigner'!O129</f>
        <v>0.2229644852361167</v>
      </c>
      <c r="AJ122" s="186">
        <f>'A renseigner'!P129</f>
        <v>0</v>
      </c>
      <c r="AK122" s="186">
        <f>'A renseigner'!Q129</f>
        <v>9.9720700512267117E-3</v>
      </c>
      <c r="AL122" s="186">
        <f>'A renseigner'!R129</f>
        <v>0</v>
      </c>
      <c r="AM122" s="172">
        <f>'A renseigner'!S129</f>
        <v>0.99999999999999989</v>
      </c>
      <c r="AN122" s="547"/>
      <c r="AP122" s="49" t="s">
        <v>515</v>
      </c>
    </row>
    <row r="123" spans="2:42" x14ac:dyDescent="0.3">
      <c r="B123" s="175">
        <v>2030</v>
      </c>
      <c r="C123" s="175" t="s">
        <v>482</v>
      </c>
      <c r="D123" s="176" t="s">
        <v>497</v>
      </c>
      <c r="E123" s="177">
        <v>0</v>
      </c>
      <c r="F123" s="177"/>
      <c r="G123" s="177">
        <v>0.01</v>
      </c>
      <c r="H123" s="177">
        <v>0.55000000000000004</v>
      </c>
      <c r="I123" s="177">
        <v>1.9519577919500101E-2</v>
      </c>
      <c r="J123" s="177">
        <v>0</v>
      </c>
      <c r="K123" s="177">
        <v>0</v>
      </c>
      <c r="L123" s="177">
        <v>0</v>
      </c>
      <c r="M123" s="177">
        <v>0</v>
      </c>
      <c r="N123" s="177">
        <v>0</v>
      </c>
      <c r="O123" s="177">
        <v>0.42048042208050002</v>
      </c>
      <c r="P123" s="177">
        <v>0</v>
      </c>
      <c r="Q123" s="177">
        <v>0</v>
      </c>
      <c r="R123" s="177">
        <v>0</v>
      </c>
      <c r="S123" s="178">
        <v>1</v>
      </c>
      <c r="U123" s="547"/>
      <c r="V123" s="175" t="s">
        <v>482</v>
      </c>
      <c r="W123" s="175">
        <v>2030</v>
      </c>
      <c r="X123" s="176" t="s">
        <v>497</v>
      </c>
      <c r="Y123" s="186">
        <f>'A renseigner'!E130</f>
        <v>0</v>
      </c>
      <c r="Z123" s="186">
        <f>'A renseigner'!F130</f>
        <v>0</v>
      </c>
      <c r="AA123" s="186">
        <f>'A renseigner'!G130</f>
        <v>0.01</v>
      </c>
      <c r="AB123" s="186">
        <f>'A renseigner'!H130</f>
        <v>0.51</v>
      </c>
      <c r="AC123" s="186">
        <f>'A renseigner'!I130</f>
        <v>0.04</v>
      </c>
      <c r="AD123" s="186">
        <f>'A renseigner'!J130</f>
        <v>0</v>
      </c>
      <c r="AE123" s="186">
        <f>'A renseigner'!K130</f>
        <v>0</v>
      </c>
      <c r="AF123" s="186">
        <f>'A renseigner'!L130</f>
        <v>0</v>
      </c>
      <c r="AG123" s="186">
        <f>'A renseigner'!M130</f>
        <v>0</v>
      </c>
      <c r="AH123" s="186">
        <f>'A renseigner'!N130</f>
        <v>0</v>
      </c>
      <c r="AI123" s="186">
        <f>'A renseigner'!O130</f>
        <v>0.44</v>
      </c>
      <c r="AJ123" s="186">
        <f>'A renseigner'!P130</f>
        <v>0</v>
      </c>
      <c r="AK123" s="186">
        <f>'A renseigner'!Q130</f>
        <v>0</v>
      </c>
      <c r="AL123" s="186">
        <f>'A renseigner'!R130</f>
        <v>0</v>
      </c>
      <c r="AM123" s="172">
        <f>'A renseigner'!S130</f>
        <v>1</v>
      </c>
      <c r="AN123" s="547"/>
      <c r="AO123" s="179"/>
      <c r="AP123" s="49" t="s">
        <v>516</v>
      </c>
    </row>
    <row r="124" spans="2:42" x14ac:dyDescent="0.3">
      <c r="B124" s="175">
        <v>2050</v>
      </c>
      <c r="C124" s="175" t="s">
        <v>482</v>
      </c>
      <c r="D124" s="176" t="s">
        <v>497</v>
      </c>
      <c r="E124" s="177">
        <v>0</v>
      </c>
      <c r="F124" s="177"/>
      <c r="G124" s="177">
        <v>0</v>
      </c>
      <c r="H124" s="177">
        <v>0.42</v>
      </c>
      <c r="I124" s="177">
        <v>1.9519577919500101E-2</v>
      </c>
      <c r="J124" s="177">
        <v>0</v>
      </c>
      <c r="K124" s="177">
        <v>0</v>
      </c>
      <c r="L124" s="177">
        <v>0</v>
      </c>
      <c r="M124" s="177">
        <v>0</v>
      </c>
      <c r="N124" s="177">
        <v>0</v>
      </c>
      <c r="O124" s="177">
        <v>0.56048042208049997</v>
      </c>
      <c r="P124" s="177">
        <v>0</v>
      </c>
      <c r="Q124" s="177">
        <v>0</v>
      </c>
      <c r="R124" s="177">
        <v>0</v>
      </c>
      <c r="S124" s="178">
        <v>1</v>
      </c>
      <c r="U124" s="547"/>
      <c r="V124" s="175" t="s">
        <v>482</v>
      </c>
      <c r="W124" s="175">
        <v>2050</v>
      </c>
      <c r="X124" s="176" t="s">
        <v>497</v>
      </c>
      <c r="Y124" s="186">
        <f>'A renseigner'!E131</f>
        <v>0</v>
      </c>
      <c r="Z124" s="186">
        <f>'A renseigner'!F131</f>
        <v>0</v>
      </c>
      <c r="AA124" s="186">
        <f>'A renseigner'!G131</f>
        <v>0</v>
      </c>
      <c r="AB124" s="186">
        <f>'A renseigner'!H131</f>
        <v>0.38951957791949998</v>
      </c>
      <c r="AC124" s="186">
        <f>'A renseigner'!I131</f>
        <v>0.05</v>
      </c>
      <c r="AD124" s="186">
        <f>'A renseigner'!J131</f>
        <v>0</v>
      </c>
      <c r="AE124" s="186">
        <f>'A renseigner'!K131</f>
        <v>0</v>
      </c>
      <c r="AF124" s="186">
        <f>'A renseigner'!L131</f>
        <v>0</v>
      </c>
      <c r="AG124" s="186">
        <f>'A renseigner'!M131</f>
        <v>0</v>
      </c>
      <c r="AH124" s="186">
        <f>'A renseigner'!N131</f>
        <v>0</v>
      </c>
      <c r="AI124" s="186">
        <f>'A renseigner'!O131</f>
        <v>0.56048042208049997</v>
      </c>
      <c r="AJ124" s="186">
        <f>'A renseigner'!P131</f>
        <v>0</v>
      </c>
      <c r="AK124" s="186">
        <f>'A renseigner'!Q131</f>
        <v>0</v>
      </c>
      <c r="AL124" s="186">
        <f>'A renseigner'!R131</f>
        <v>0</v>
      </c>
      <c r="AM124" s="172">
        <f>'A renseigner'!S131</f>
        <v>1</v>
      </c>
      <c r="AN124" s="547"/>
      <c r="AP124" s="49"/>
    </row>
    <row r="125" spans="2:42" x14ac:dyDescent="0.3">
      <c r="C125" s="180"/>
      <c r="D125" s="181"/>
      <c r="E125" s="182"/>
      <c r="F125" s="182"/>
      <c r="G125" s="182"/>
      <c r="H125" s="182"/>
      <c r="I125" s="182"/>
      <c r="J125" s="182"/>
      <c r="K125" s="182"/>
      <c r="L125" s="182"/>
      <c r="M125" s="182"/>
      <c r="N125" s="182"/>
      <c r="O125" s="182"/>
      <c r="P125" s="182"/>
      <c r="Q125" s="182"/>
      <c r="R125" s="182"/>
      <c r="S125" s="183"/>
      <c r="U125" s="547"/>
      <c r="V125" s="180"/>
      <c r="W125" s="180"/>
      <c r="X125" s="181"/>
      <c r="Y125" s="184">
        <f>'A renseigner'!E132</f>
        <v>0</v>
      </c>
      <c r="Z125" s="184">
        <f>'A renseigner'!F132</f>
        <v>0</v>
      </c>
      <c r="AA125" s="184">
        <f>'A renseigner'!G132</f>
        <v>0</v>
      </c>
      <c r="AB125" s="184">
        <f>'A renseigner'!H132</f>
        <v>0</v>
      </c>
      <c r="AC125" s="184">
        <f>'A renseigner'!I132</f>
        <v>0</v>
      </c>
      <c r="AD125" s="184">
        <f>'A renseigner'!J132</f>
        <v>0</v>
      </c>
      <c r="AE125" s="184">
        <f>'A renseigner'!K132</f>
        <v>0</v>
      </c>
      <c r="AF125" s="184">
        <f>'A renseigner'!L132</f>
        <v>0</v>
      </c>
      <c r="AG125" s="184">
        <f>'A renseigner'!M132</f>
        <v>0</v>
      </c>
      <c r="AH125" s="184">
        <f>'A renseigner'!N132</f>
        <v>0</v>
      </c>
      <c r="AI125" s="184">
        <f>'A renseigner'!O132</f>
        <v>0</v>
      </c>
      <c r="AJ125" s="184">
        <f>'A renseigner'!P132</f>
        <v>0</v>
      </c>
      <c r="AK125" s="184">
        <f>'A renseigner'!Q132</f>
        <v>0</v>
      </c>
      <c r="AL125" s="184">
        <f>'A renseigner'!R132</f>
        <v>0</v>
      </c>
      <c r="AM125" s="185">
        <f>'A renseigner'!S132</f>
        <v>0</v>
      </c>
      <c r="AN125" s="547"/>
      <c r="AP125" s="49"/>
    </row>
    <row r="126" spans="2:42" x14ac:dyDescent="0.3">
      <c r="C126" s="170" t="s">
        <v>483</v>
      </c>
      <c r="D126" s="170"/>
      <c r="E126" s="188"/>
      <c r="F126" s="188"/>
      <c r="G126" s="188"/>
      <c r="H126" s="188"/>
      <c r="I126" s="188"/>
      <c r="J126" s="188"/>
      <c r="K126" s="188"/>
      <c r="L126" s="188"/>
      <c r="M126" s="188"/>
      <c r="N126" s="188"/>
      <c r="O126" s="188"/>
      <c r="P126" s="188"/>
      <c r="Q126" s="188"/>
      <c r="R126" s="188"/>
      <c r="S126" s="178"/>
      <c r="U126" s="547"/>
      <c r="V126" s="634" t="s">
        <v>483</v>
      </c>
      <c r="W126" s="634"/>
      <c r="X126" s="634"/>
      <c r="Y126" s="171" t="str">
        <f>'A renseigner'!E133</f>
        <v>Charbon</v>
      </c>
      <c r="Z126" s="171" t="str">
        <f>'A renseigner'!F133</f>
        <v>Coke</v>
      </c>
      <c r="AA126" s="171" t="str">
        <f>'A renseigner'!G133</f>
        <v>Produits pétroliers raffinés</v>
      </c>
      <c r="AB126" s="171" t="str">
        <f>'A renseigner'!H133</f>
        <v>Gaz naturel</v>
      </c>
      <c r="AC126" s="171" t="str">
        <f>'A renseigner'!I133</f>
        <v>Biomasse solide</v>
      </c>
      <c r="AD126" s="171" t="str">
        <f>'A renseigner'!J133</f>
        <v>Déchets</v>
      </c>
      <c r="AE126" s="171" t="str">
        <f>'A renseigner'!K133</f>
        <v>Biocarburants</v>
      </c>
      <c r="AF126" s="171" t="str">
        <f>'A renseigner'!L133</f>
        <v>Gaz renouvelable</v>
      </c>
      <c r="AG126" s="171" t="str">
        <f>'A renseigner'!M133</f>
        <v>Chaleur de l'environnement</v>
      </c>
      <c r="AH126" s="171" t="str">
        <f>'A renseigner'!N133</f>
        <v>Solaire thermique et géothermie</v>
      </c>
      <c r="AI126" s="171" t="str">
        <f>'A renseigner'!O133</f>
        <v xml:space="preserve">Électricité </v>
      </c>
      <c r="AJ126" s="171" t="str">
        <f>'A renseigner'!P133</f>
        <v>Electricité PAC</v>
      </c>
      <c r="AK126" s="171" t="str">
        <f>'A renseigner'!Q133</f>
        <v>Chaleur vendue</v>
      </c>
      <c r="AL126" s="171" t="str">
        <f>'A renseigner'!R133</f>
        <v>Hydrogène</v>
      </c>
      <c r="AM126" s="172">
        <f>'A renseigner'!S133</f>
        <v>0</v>
      </c>
      <c r="AN126" s="547"/>
      <c r="AP126" s="49"/>
    </row>
    <row r="127" spans="2:42" x14ac:dyDescent="0.3">
      <c r="B127" s="175">
        <v>2019</v>
      </c>
      <c r="C127" s="175" t="s">
        <v>484</v>
      </c>
      <c r="D127" s="176" t="s">
        <v>497</v>
      </c>
      <c r="E127" s="177">
        <v>0.186</v>
      </c>
      <c r="F127" s="177"/>
      <c r="G127" s="177">
        <v>0.09</v>
      </c>
      <c r="H127" s="177">
        <v>0.67</v>
      </c>
      <c r="I127" s="177">
        <v>4.0000000000000001E-3</v>
      </c>
      <c r="J127" s="177">
        <v>0</v>
      </c>
      <c r="K127" s="177">
        <v>0</v>
      </c>
      <c r="L127" s="177">
        <v>0</v>
      </c>
      <c r="M127" s="177"/>
      <c r="N127" s="177">
        <v>0</v>
      </c>
      <c r="O127" s="177">
        <v>0.05</v>
      </c>
      <c r="P127" s="177">
        <v>0</v>
      </c>
      <c r="Q127" s="177">
        <v>0</v>
      </c>
      <c r="R127" s="177">
        <v>0</v>
      </c>
      <c r="S127" s="178">
        <v>1</v>
      </c>
      <c r="U127" s="547"/>
      <c r="V127" s="175" t="s">
        <v>484</v>
      </c>
      <c r="W127" s="175">
        <v>2021</v>
      </c>
      <c r="X127" s="176" t="s">
        <v>497</v>
      </c>
      <c r="Y127" s="186">
        <f>'A renseigner'!E134</f>
        <v>0.1</v>
      </c>
      <c r="Z127" s="186">
        <f>'A renseigner'!F134</f>
        <v>0</v>
      </c>
      <c r="AA127" s="186">
        <f>'A renseigner'!G134</f>
        <v>0</v>
      </c>
      <c r="AB127" s="186">
        <f>'A renseigner'!H134</f>
        <v>0.7</v>
      </c>
      <c r="AC127" s="186">
        <f>'A renseigner'!I134</f>
        <v>0.1</v>
      </c>
      <c r="AD127" s="186">
        <f>'A renseigner'!J134</f>
        <v>0</v>
      </c>
      <c r="AE127" s="186">
        <f>'A renseigner'!K134</f>
        <v>0</v>
      </c>
      <c r="AF127" s="186">
        <f>'A renseigner'!L134</f>
        <v>0</v>
      </c>
      <c r="AG127" s="186">
        <f>'A renseigner'!M134</f>
        <v>0</v>
      </c>
      <c r="AH127" s="186">
        <f>'A renseigner'!N134</f>
        <v>0</v>
      </c>
      <c r="AI127" s="186">
        <f>'A renseigner'!O134</f>
        <v>0.1</v>
      </c>
      <c r="AJ127" s="186">
        <f>'A renseigner'!P134</f>
        <v>0</v>
      </c>
      <c r="AK127" s="186">
        <f>'A renseigner'!Q134</f>
        <v>0</v>
      </c>
      <c r="AL127" s="186">
        <f>'A renseigner'!R134</f>
        <v>0</v>
      </c>
      <c r="AM127" s="172">
        <f>'A renseigner'!S134</f>
        <v>0.99999999999999989</v>
      </c>
      <c r="AN127" s="547"/>
      <c r="AP127" s="49" t="s">
        <v>505</v>
      </c>
    </row>
    <row r="128" spans="2:42" x14ac:dyDescent="0.3">
      <c r="B128" s="175">
        <v>2030</v>
      </c>
      <c r="C128" s="175" t="s">
        <v>484</v>
      </c>
      <c r="D128" s="176" t="s">
        <v>497</v>
      </c>
      <c r="E128" s="177">
        <v>0.05</v>
      </c>
      <c r="F128" s="177"/>
      <c r="G128" s="177">
        <v>0.03</v>
      </c>
      <c r="H128" s="177">
        <v>0.51</v>
      </c>
      <c r="I128" s="177">
        <v>0.04</v>
      </c>
      <c r="J128" s="177">
        <v>0</v>
      </c>
      <c r="K128" s="177">
        <v>0</v>
      </c>
      <c r="L128" s="177">
        <v>0</v>
      </c>
      <c r="M128" s="177">
        <v>0</v>
      </c>
      <c r="N128" s="177">
        <v>0</v>
      </c>
      <c r="O128" s="177">
        <v>0.37</v>
      </c>
      <c r="P128" s="177">
        <v>0</v>
      </c>
      <c r="Q128" s="177">
        <v>0</v>
      </c>
      <c r="R128" s="177">
        <v>0</v>
      </c>
      <c r="S128" s="178">
        <v>1</v>
      </c>
      <c r="U128" s="547"/>
      <c r="V128" s="175" t="s">
        <v>484</v>
      </c>
      <c r="W128" s="175">
        <v>2030</v>
      </c>
      <c r="X128" s="176" t="s">
        <v>497</v>
      </c>
      <c r="Y128" s="186">
        <f>'A renseigner'!E135</f>
        <v>0.01</v>
      </c>
      <c r="Z128" s="186">
        <f>'A renseigner'!F135</f>
        <v>0</v>
      </c>
      <c r="AA128" s="186">
        <f>'A renseigner'!G135</f>
        <v>0</v>
      </c>
      <c r="AB128" s="186">
        <f>'A renseigner'!H135</f>
        <v>0.35</v>
      </c>
      <c r="AC128" s="186">
        <f>'A renseigner'!I135</f>
        <v>0.39</v>
      </c>
      <c r="AD128" s="186">
        <f>'A renseigner'!J135</f>
        <v>0</v>
      </c>
      <c r="AE128" s="186">
        <f>'A renseigner'!K135</f>
        <v>0</v>
      </c>
      <c r="AF128" s="186">
        <f>'A renseigner'!L135</f>
        <v>0</v>
      </c>
      <c r="AG128" s="186">
        <f>'A renseigner'!M135</f>
        <v>0</v>
      </c>
      <c r="AH128" s="186">
        <f>'A renseigner'!N135</f>
        <v>0</v>
      </c>
      <c r="AI128" s="186">
        <f>'A renseigner'!O135</f>
        <v>0.25</v>
      </c>
      <c r="AJ128" s="186">
        <f>'A renseigner'!P135</f>
        <v>0</v>
      </c>
      <c r="AK128" s="186">
        <f>'A renseigner'!Q135</f>
        <v>0</v>
      </c>
      <c r="AL128" s="186">
        <f>'A renseigner'!R135</f>
        <v>0</v>
      </c>
      <c r="AM128" s="172">
        <f>'A renseigner'!S135</f>
        <v>1</v>
      </c>
      <c r="AN128" s="547"/>
      <c r="AP128" s="49"/>
    </row>
    <row r="129" spans="2:42" x14ac:dyDescent="0.3">
      <c r="B129" s="175">
        <v>2050</v>
      </c>
      <c r="C129" s="175" t="s">
        <v>484</v>
      </c>
      <c r="D129" s="176" t="s">
        <v>497</v>
      </c>
      <c r="E129" s="177">
        <v>0</v>
      </c>
      <c r="F129" s="177"/>
      <c r="G129" s="177">
        <v>0</v>
      </c>
      <c r="H129" s="177">
        <v>0.18338693975415299</v>
      </c>
      <c r="I129" s="177">
        <v>6.3286288026882603E-2</v>
      </c>
      <c r="J129" s="177">
        <v>0</v>
      </c>
      <c r="K129" s="177">
        <v>0</v>
      </c>
      <c r="L129" s="177">
        <v>0</v>
      </c>
      <c r="M129" s="177">
        <v>0</v>
      </c>
      <c r="N129" s="177">
        <v>0</v>
      </c>
      <c r="O129" s="177">
        <v>0.75332677221896405</v>
      </c>
      <c r="P129" s="177">
        <v>0</v>
      </c>
      <c r="Q129" s="177">
        <v>0</v>
      </c>
      <c r="R129" s="177">
        <v>0</v>
      </c>
      <c r="S129" s="178">
        <v>1</v>
      </c>
      <c r="U129" s="547"/>
      <c r="V129" s="175" t="s">
        <v>484</v>
      </c>
      <c r="W129" s="175">
        <v>2050</v>
      </c>
      <c r="X129" s="176" t="s">
        <v>497</v>
      </c>
      <c r="Y129" s="186">
        <f>'A renseigner'!E136</f>
        <v>0</v>
      </c>
      <c r="Z129" s="186">
        <f>'A renseigner'!F136</f>
        <v>0</v>
      </c>
      <c r="AA129" s="186">
        <f>'A renseigner'!G136</f>
        <v>0</v>
      </c>
      <c r="AB129" s="186">
        <f>'A renseigner'!H136</f>
        <v>0.28999999999999998</v>
      </c>
      <c r="AC129" s="186">
        <f>'A renseigner'!I136</f>
        <v>0.4</v>
      </c>
      <c r="AD129" s="186">
        <f>'A renseigner'!J136</f>
        <v>0</v>
      </c>
      <c r="AE129" s="186">
        <f>'A renseigner'!K136</f>
        <v>0</v>
      </c>
      <c r="AF129" s="186">
        <f>'A renseigner'!L136</f>
        <v>0</v>
      </c>
      <c r="AG129" s="186">
        <f>'A renseigner'!M136</f>
        <v>0</v>
      </c>
      <c r="AH129" s="186">
        <f>'A renseigner'!N136</f>
        <v>0</v>
      </c>
      <c r="AI129" s="186">
        <f>'A renseigner'!O136</f>
        <v>0.31</v>
      </c>
      <c r="AJ129" s="186">
        <f>'A renseigner'!P136</f>
        <v>0</v>
      </c>
      <c r="AK129" s="186">
        <f>'A renseigner'!Q136</f>
        <v>0</v>
      </c>
      <c r="AL129" s="186">
        <f>'A renseigner'!R136</f>
        <v>0</v>
      </c>
      <c r="AM129" s="172">
        <f>'A renseigner'!S136</f>
        <v>1</v>
      </c>
      <c r="AN129" s="547"/>
      <c r="AP129" s="49"/>
    </row>
    <row r="130" spans="2:42" x14ac:dyDescent="0.3">
      <c r="C130" s="180"/>
      <c r="D130" s="181"/>
      <c r="E130" s="182"/>
      <c r="F130" s="182"/>
      <c r="G130" s="182"/>
      <c r="H130" s="182"/>
      <c r="I130" s="182"/>
      <c r="J130" s="182"/>
      <c r="K130" s="182"/>
      <c r="L130" s="182"/>
      <c r="M130" s="182"/>
      <c r="N130" s="182"/>
      <c r="O130" s="182"/>
      <c r="P130" s="182"/>
      <c r="Q130" s="182"/>
      <c r="R130" s="182"/>
      <c r="S130" s="183"/>
      <c r="U130" s="547"/>
      <c r="V130" s="180"/>
      <c r="W130" s="180"/>
      <c r="X130" s="181"/>
      <c r="Y130" s="184">
        <f>'A renseigner'!E137</f>
        <v>0</v>
      </c>
      <c r="Z130" s="184">
        <f>'A renseigner'!F137</f>
        <v>0</v>
      </c>
      <c r="AA130" s="184">
        <f>'A renseigner'!G137</f>
        <v>0</v>
      </c>
      <c r="AB130" s="184">
        <f>'A renseigner'!H137</f>
        <v>0</v>
      </c>
      <c r="AC130" s="184">
        <f>'A renseigner'!I137</f>
        <v>0</v>
      </c>
      <c r="AD130" s="184">
        <f>'A renseigner'!J137</f>
        <v>0</v>
      </c>
      <c r="AE130" s="184">
        <f>'A renseigner'!K137</f>
        <v>0</v>
      </c>
      <c r="AF130" s="184">
        <f>'A renseigner'!L137</f>
        <v>0</v>
      </c>
      <c r="AG130" s="184">
        <f>'A renseigner'!M137</f>
        <v>0</v>
      </c>
      <c r="AH130" s="184">
        <f>'A renseigner'!N137</f>
        <v>0</v>
      </c>
      <c r="AI130" s="184">
        <f>'A renseigner'!O137</f>
        <v>0</v>
      </c>
      <c r="AJ130" s="184">
        <f>'A renseigner'!P137</f>
        <v>0</v>
      </c>
      <c r="AK130" s="184">
        <f>'A renseigner'!Q137</f>
        <v>0</v>
      </c>
      <c r="AL130" s="184">
        <f>'A renseigner'!R137</f>
        <v>0</v>
      </c>
      <c r="AM130" s="185">
        <f>'A renseigner'!S137</f>
        <v>0</v>
      </c>
      <c r="AN130" s="547"/>
      <c r="AP130" s="49"/>
    </row>
    <row r="131" spans="2:42" x14ac:dyDescent="0.3">
      <c r="B131" s="175">
        <v>2019</v>
      </c>
      <c r="C131" s="175" t="s">
        <v>485</v>
      </c>
      <c r="D131" s="176" t="s">
        <v>497</v>
      </c>
      <c r="E131" s="177">
        <v>8.0396422478601296E-3</v>
      </c>
      <c r="F131" s="177"/>
      <c r="G131" s="177">
        <v>4.0987243078700303E-2</v>
      </c>
      <c r="H131" s="177">
        <v>0.39554572706645102</v>
      </c>
      <c r="I131" s="177">
        <v>4.6457005701464299E-2</v>
      </c>
      <c r="J131" s="177">
        <v>0</v>
      </c>
      <c r="K131" s="177">
        <v>0</v>
      </c>
      <c r="L131" s="177">
        <v>0</v>
      </c>
      <c r="M131" s="177"/>
      <c r="N131" s="177">
        <v>0</v>
      </c>
      <c r="O131" s="177">
        <v>0.45612245802627299</v>
      </c>
      <c r="P131" s="177">
        <v>0</v>
      </c>
      <c r="Q131" s="177">
        <v>5.5782681281329703E-2</v>
      </c>
      <c r="R131" s="177">
        <v>0</v>
      </c>
      <c r="S131" s="178">
        <v>1.0000347573991799</v>
      </c>
      <c r="U131" s="547" t="s">
        <v>517</v>
      </c>
      <c r="V131" s="175" t="s">
        <v>485</v>
      </c>
      <c r="W131" s="175">
        <v>2021</v>
      </c>
      <c r="X131" s="176" t="s">
        <v>497</v>
      </c>
      <c r="Y131" s="186">
        <f>'A renseigner'!E138</f>
        <v>3.8197861649445025E-2</v>
      </c>
      <c r="Z131" s="186">
        <f>'A renseigner'!F138</f>
        <v>2.3519892243492168E-3</v>
      </c>
      <c r="AA131" s="186">
        <f>'A renseigner'!G138</f>
        <v>6.2781927503403945E-2</v>
      </c>
      <c r="AB131" s="186">
        <f>'A renseigner'!H138</f>
        <v>0.37642386720371473</v>
      </c>
      <c r="AC131" s="186">
        <f>'A renseigner'!I138</f>
        <v>1.8456018930648237E-2</v>
      </c>
      <c r="AD131" s="186">
        <f>'A renseigner'!J138</f>
        <v>0</v>
      </c>
      <c r="AE131" s="186">
        <f>'A renseigner'!K138</f>
        <v>0</v>
      </c>
      <c r="AF131" s="186">
        <f>'A renseigner'!L138</f>
        <v>0</v>
      </c>
      <c r="AG131" s="186">
        <f>'A renseigner'!M138</f>
        <v>0</v>
      </c>
      <c r="AH131" s="186">
        <f>'A renseigner'!N138</f>
        <v>0</v>
      </c>
      <c r="AI131" s="186">
        <f>'A renseigner'!O138</f>
        <v>0.42361739965669593</v>
      </c>
      <c r="AJ131" s="186">
        <f>'A renseigner'!P138</f>
        <v>0</v>
      </c>
      <c r="AK131" s="186">
        <f>'A renseigner'!Q138</f>
        <v>7.8170935831742713E-2</v>
      </c>
      <c r="AL131" s="186">
        <f>'A renseigner'!R138</f>
        <v>0</v>
      </c>
      <c r="AM131" s="172">
        <f>'A renseigner'!S138</f>
        <v>0.99999999999999989</v>
      </c>
      <c r="AN131" s="547"/>
      <c r="AP131" s="49" t="s">
        <v>518</v>
      </c>
    </row>
    <row r="132" spans="2:42" x14ac:dyDescent="0.3">
      <c r="B132" s="175">
        <v>2030</v>
      </c>
      <c r="C132" s="175" t="s">
        <v>485</v>
      </c>
      <c r="D132" s="176" t="s">
        <v>497</v>
      </c>
      <c r="E132" s="177">
        <v>0</v>
      </c>
      <c r="F132" s="177"/>
      <c r="G132" s="177">
        <v>0.02</v>
      </c>
      <c r="H132" s="177">
        <v>0.36</v>
      </c>
      <c r="I132" s="177">
        <v>5.6457005701464301E-2</v>
      </c>
      <c r="J132" s="177">
        <v>0</v>
      </c>
      <c r="K132" s="177">
        <v>0</v>
      </c>
      <c r="L132" s="177">
        <v>0</v>
      </c>
      <c r="M132" s="177">
        <v>0</v>
      </c>
      <c r="N132" s="177">
        <v>0</v>
      </c>
      <c r="O132" s="177">
        <v>0.49830341301132902</v>
      </c>
      <c r="P132" s="177">
        <v>0</v>
      </c>
      <c r="Q132" s="177">
        <v>6.8139581287206499E-2</v>
      </c>
      <c r="R132" s="177">
        <v>0</v>
      </c>
      <c r="S132" s="178">
        <v>1</v>
      </c>
      <c r="U132" s="547"/>
      <c r="V132" s="175" t="s">
        <v>485</v>
      </c>
      <c r="W132" s="175">
        <v>2030</v>
      </c>
      <c r="X132" s="176" t="s">
        <v>497</v>
      </c>
      <c r="Y132" s="186">
        <f>'A renseigner'!E139</f>
        <v>0</v>
      </c>
      <c r="Z132" s="186">
        <f>'A renseigner'!F139</f>
        <v>0</v>
      </c>
      <c r="AA132" s="186">
        <f>'A renseigner'!G139</f>
        <v>0</v>
      </c>
      <c r="AB132" s="186">
        <f>'A renseigner'!H139</f>
        <v>0.33540341301132914</v>
      </c>
      <c r="AC132" s="186">
        <f>'A renseigner'!I139</f>
        <v>0.08</v>
      </c>
      <c r="AD132" s="186">
        <f>'A renseigner'!J139</f>
        <v>0</v>
      </c>
      <c r="AE132" s="186">
        <f>'A renseigner'!K139</f>
        <v>0</v>
      </c>
      <c r="AF132" s="186">
        <f>'A renseigner'!L139</f>
        <v>0</v>
      </c>
      <c r="AG132" s="186">
        <f>'A renseigner'!M139</f>
        <v>0.04</v>
      </c>
      <c r="AH132" s="186">
        <f>'A renseigner'!N139</f>
        <v>0</v>
      </c>
      <c r="AI132" s="186">
        <f>'A renseigner'!O139</f>
        <v>0.45600000000000002</v>
      </c>
      <c r="AJ132" s="186">
        <f>'A renseigner'!P139</f>
        <v>0.02</v>
      </c>
      <c r="AK132" s="186">
        <f>'A renseigner'!Q139</f>
        <v>6.8139581287206499E-2</v>
      </c>
      <c r="AL132" s="186">
        <f>'A renseigner'!R139</f>
        <v>0</v>
      </c>
      <c r="AM132" s="172">
        <f>'A renseigner'!S139</f>
        <v>0.99954299429853566</v>
      </c>
      <c r="AN132" s="547"/>
      <c r="AP132" s="49"/>
    </row>
    <row r="133" spans="2:42" x14ac:dyDescent="0.3">
      <c r="B133" s="175">
        <v>2050</v>
      </c>
      <c r="C133" s="175" t="s">
        <v>485</v>
      </c>
      <c r="D133" s="176" t="s">
        <v>497</v>
      </c>
      <c r="E133" s="177">
        <v>0</v>
      </c>
      <c r="F133" s="177"/>
      <c r="G133" s="177">
        <v>0</v>
      </c>
      <c r="H133" s="177">
        <v>0.244406489242222</v>
      </c>
      <c r="I133" s="177">
        <v>7.6457005701464298E-2</v>
      </c>
      <c r="J133" s="177">
        <v>0</v>
      </c>
      <c r="K133" s="177">
        <v>0</v>
      </c>
      <c r="L133" s="177">
        <v>0</v>
      </c>
      <c r="M133" s="177">
        <v>0</v>
      </c>
      <c r="N133" s="177">
        <v>0</v>
      </c>
      <c r="O133" s="177">
        <v>0.60232587444257901</v>
      </c>
      <c r="P133" s="177">
        <v>0</v>
      </c>
      <c r="Q133" s="177">
        <v>7.9710630613734401E-2</v>
      </c>
      <c r="R133" s="177">
        <v>0</v>
      </c>
      <c r="S133" s="178">
        <v>1</v>
      </c>
      <c r="U133" s="547"/>
      <c r="V133" s="175" t="s">
        <v>485</v>
      </c>
      <c r="W133" s="175">
        <v>2050</v>
      </c>
      <c r="X133" s="176" t="s">
        <v>497</v>
      </c>
      <c r="Y133" s="186">
        <f>'A renseigner'!E140</f>
        <v>0</v>
      </c>
      <c r="Z133" s="186">
        <f>'A renseigner'!F140</f>
        <v>0</v>
      </c>
      <c r="AA133" s="186">
        <f>'A renseigner'!G140</f>
        <v>0</v>
      </c>
      <c r="AB133" s="186">
        <f>'A renseigner'!H140</f>
        <v>7.8832363684801288E-2</v>
      </c>
      <c r="AC133" s="186">
        <f>'A renseigner'!I140</f>
        <v>0.15</v>
      </c>
      <c r="AD133" s="186">
        <f>'A renseigner'!J140</f>
        <v>0</v>
      </c>
      <c r="AE133" s="186">
        <f>'A renseigner'!K140</f>
        <v>0</v>
      </c>
      <c r="AF133" s="186">
        <f>'A renseigner'!L140</f>
        <v>0</v>
      </c>
      <c r="AG133" s="186">
        <f>'A renseigner'!M140</f>
        <v>0.1</v>
      </c>
      <c r="AH133" s="186">
        <f>'A renseigner'!N140</f>
        <v>0</v>
      </c>
      <c r="AI133" s="186">
        <f>'A renseigner'!O140</f>
        <v>0.50600000000000001</v>
      </c>
      <c r="AJ133" s="186">
        <f>'A renseigner'!P140</f>
        <v>8.5000000000000006E-2</v>
      </c>
      <c r="AK133" s="186">
        <f>'A renseigner'!Q140</f>
        <v>7.9710630613734401E-2</v>
      </c>
      <c r="AL133" s="186">
        <f>'A renseigner'!R140</f>
        <v>0</v>
      </c>
      <c r="AM133" s="172">
        <f>'A renseigner'!S140</f>
        <v>0.99954299429853566</v>
      </c>
      <c r="AN133" s="547"/>
      <c r="AP133" s="49"/>
    </row>
    <row r="134" spans="2:42" x14ac:dyDescent="0.3">
      <c r="C134" s="180"/>
      <c r="D134" s="181"/>
      <c r="E134" s="182"/>
      <c r="F134" s="182"/>
      <c r="G134" s="182"/>
      <c r="H134" s="182"/>
      <c r="I134" s="182"/>
      <c r="J134" s="182"/>
      <c r="K134" s="182"/>
      <c r="L134" s="182"/>
      <c r="M134" s="182"/>
      <c r="N134" s="182"/>
      <c r="O134" s="182"/>
      <c r="P134" s="182"/>
      <c r="Q134" s="182"/>
      <c r="R134" s="182"/>
      <c r="S134" s="183"/>
      <c r="U134" s="547"/>
      <c r="V134" s="180"/>
      <c r="W134" s="180"/>
      <c r="X134" s="181"/>
      <c r="Y134" s="184">
        <f>'A renseigner'!E141</f>
        <v>0</v>
      </c>
      <c r="Z134" s="184">
        <f>'A renseigner'!F141</f>
        <v>0</v>
      </c>
      <c r="AA134" s="184">
        <f>'A renseigner'!G141</f>
        <v>0</v>
      </c>
      <c r="AB134" s="184">
        <f>'A renseigner'!H141</f>
        <v>0</v>
      </c>
      <c r="AC134" s="184">
        <f>'A renseigner'!I141</f>
        <v>0</v>
      </c>
      <c r="AD134" s="184">
        <f>'A renseigner'!J141</f>
        <v>0</v>
      </c>
      <c r="AE134" s="184">
        <f>'A renseigner'!K141</f>
        <v>0</v>
      </c>
      <c r="AF134" s="184">
        <f>'A renseigner'!L141</f>
        <v>0</v>
      </c>
      <c r="AG134" s="184">
        <f>'A renseigner'!M141</f>
        <v>0</v>
      </c>
      <c r="AH134" s="184">
        <f>'A renseigner'!N141</f>
        <v>0</v>
      </c>
      <c r="AI134" s="184">
        <f>'A renseigner'!O141</f>
        <v>0</v>
      </c>
      <c r="AJ134" s="184">
        <f>'A renseigner'!P141</f>
        <v>0</v>
      </c>
      <c r="AK134" s="184">
        <f>'A renseigner'!Q141</f>
        <v>0</v>
      </c>
      <c r="AL134" s="184">
        <f>'A renseigner'!R141</f>
        <v>0</v>
      </c>
      <c r="AM134" s="185">
        <f>'A renseigner'!S141</f>
        <v>0</v>
      </c>
      <c r="AN134" s="547"/>
      <c r="AP134" s="49" t="s">
        <v>518</v>
      </c>
    </row>
    <row r="135" spans="2:42" x14ac:dyDescent="0.3">
      <c r="B135" s="175">
        <v>2019</v>
      </c>
      <c r="C135" s="170" t="s">
        <v>486</v>
      </c>
      <c r="D135" s="170"/>
      <c r="E135" s="177">
        <v>9.7767349260523308E-3</v>
      </c>
      <c r="F135" s="177"/>
      <c r="G135" s="177">
        <v>4.5328498296415401E-2</v>
      </c>
      <c r="H135" s="177">
        <v>0.366218714448237</v>
      </c>
      <c r="I135" s="177">
        <v>3.4129692832764501E-3</v>
      </c>
      <c r="J135" s="177">
        <v>0</v>
      </c>
      <c r="K135" s="177">
        <v>0</v>
      </c>
      <c r="L135" s="177">
        <v>0</v>
      </c>
      <c r="M135" s="177"/>
      <c r="N135" s="177">
        <v>0</v>
      </c>
      <c r="O135" s="177">
        <v>0.57416097838452795</v>
      </c>
      <c r="P135" s="177">
        <v>0</v>
      </c>
      <c r="Q135" s="177">
        <v>1.10210466439164E-3</v>
      </c>
      <c r="R135" s="177">
        <v>0</v>
      </c>
      <c r="S135" s="178">
        <v>1</v>
      </c>
      <c r="U135" s="547" t="s">
        <v>519</v>
      </c>
      <c r="V135" s="170" t="s">
        <v>486</v>
      </c>
      <c r="W135" s="190">
        <v>2021</v>
      </c>
      <c r="X135" s="170"/>
      <c r="Y135" s="186">
        <f>'A renseigner'!E142</f>
        <v>8.3013990767005202E-3</v>
      </c>
      <c r="Z135" s="186">
        <f>'A renseigner'!F142</f>
        <v>8.3013990767005202E-3</v>
      </c>
      <c r="AA135" s="186">
        <f>'A renseigner'!G142</f>
        <v>4.0460377582643842E-2</v>
      </c>
      <c r="AB135" s="186">
        <f>'A renseigner'!H142</f>
        <v>0.34027899928580496</v>
      </c>
      <c r="AC135" s="186">
        <f>'A renseigner'!I142</f>
        <v>1.0248979091153257E-2</v>
      </c>
      <c r="AD135" s="186">
        <f>'A renseigner'!J142</f>
        <v>0</v>
      </c>
      <c r="AE135" s="186">
        <f>'A renseigner'!K142</f>
        <v>0</v>
      </c>
      <c r="AF135" s="186">
        <f>'A renseigner'!L142</f>
        <v>0</v>
      </c>
      <c r="AG135" s="186">
        <f>'A renseigner'!M142</f>
        <v>0</v>
      </c>
      <c r="AH135" s="186">
        <f>'A renseigner'!N142</f>
        <v>0</v>
      </c>
      <c r="AI135" s="186">
        <f>'A renseigner'!O142</f>
        <v>0.58049486383623083</v>
      </c>
      <c r="AJ135" s="186">
        <f>'A renseigner'!P142</f>
        <v>0</v>
      </c>
      <c r="AK135" s="186">
        <f>'A renseigner'!Q142</f>
        <v>1.1913982050766009E-2</v>
      </c>
      <c r="AL135" s="186">
        <f>'A renseigner'!R142</f>
        <v>0</v>
      </c>
      <c r="AM135" s="172">
        <f>'A renseigner'!S142</f>
        <v>0.99999999999999989</v>
      </c>
      <c r="AN135" s="547"/>
      <c r="AP135" s="49"/>
    </row>
    <row r="136" spans="2:42" x14ac:dyDescent="0.3">
      <c r="B136" s="175">
        <v>2030</v>
      </c>
      <c r="C136" s="170" t="s">
        <v>486</v>
      </c>
      <c r="D136" s="170"/>
      <c r="E136" s="177">
        <v>0</v>
      </c>
      <c r="F136" s="177"/>
      <c r="G136" s="177">
        <v>0</v>
      </c>
      <c r="H136" s="177">
        <v>0.3</v>
      </c>
      <c r="I136" s="177">
        <v>0</v>
      </c>
      <c r="J136" s="177">
        <v>0</v>
      </c>
      <c r="K136" s="177">
        <v>0</v>
      </c>
      <c r="L136" s="177">
        <v>0</v>
      </c>
      <c r="M136" s="177">
        <v>0</v>
      </c>
      <c r="N136" s="177">
        <v>0</v>
      </c>
      <c r="O136" s="177">
        <v>0.7</v>
      </c>
      <c r="P136" s="177">
        <v>0</v>
      </c>
      <c r="Q136" s="177">
        <v>0</v>
      </c>
      <c r="R136" s="177">
        <v>0</v>
      </c>
      <c r="S136" s="178">
        <v>1</v>
      </c>
      <c r="U136" s="547"/>
      <c r="V136" s="170" t="s">
        <v>486</v>
      </c>
      <c r="W136" s="190">
        <v>2030</v>
      </c>
      <c r="X136" s="170"/>
      <c r="Y136" s="186">
        <f>'A renseigner'!E143</f>
        <v>0</v>
      </c>
      <c r="Z136" s="186">
        <f>'A renseigner'!F143</f>
        <v>0</v>
      </c>
      <c r="AA136" s="186">
        <f>'A renseigner'!G143</f>
        <v>0</v>
      </c>
      <c r="AB136" s="186">
        <f>'A renseigner'!H143</f>
        <v>0.27999999999999992</v>
      </c>
      <c r="AC136" s="186">
        <f>'A renseigner'!I143</f>
        <v>0</v>
      </c>
      <c r="AD136" s="186">
        <f>'A renseigner'!J143</f>
        <v>0</v>
      </c>
      <c r="AE136" s="186">
        <f>'A renseigner'!K143</f>
        <v>0</v>
      </c>
      <c r="AF136" s="186">
        <f>'A renseigner'!L143</f>
        <v>0</v>
      </c>
      <c r="AG136" s="186">
        <f>'A renseigner'!M143</f>
        <v>0.02</v>
      </c>
      <c r="AH136" s="186">
        <f>'A renseigner'!N143</f>
        <v>0</v>
      </c>
      <c r="AI136" s="186">
        <f>'A renseigner'!O143</f>
        <v>0.68</v>
      </c>
      <c r="AJ136" s="186">
        <f>'A renseigner'!P143</f>
        <v>0.01</v>
      </c>
      <c r="AK136" s="186">
        <f>'A renseigner'!Q143</f>
        <v>0.01</v>
      </c>
      <c r="AL136" s="186">
        <f>'A renseigner'!R143</f>
        <v>0</v>
      </c>
      <c r="AM136" s="172">
        <f>'A renseigner'!S143</f>
        <v>1</v>
      </c>
      <c r="AN136" s="547"/>
      <c r="AO136" s="179"/>
      <c r="AP136" s="49" t="s">
        <v>520</v>
      </c>
    </row>
    <row r="137" spans="2:42" x14ac:dyDescent="0.3">
      <c r="B137" s="175">
        <v>2050</v>
      </c>
      <c r="C137" s="170" t="s">
        <v>486</v>
      </c>
      <c r="D137" s="170"/>
      <c r="E137" s="177">
        <v>0</v>
      </c>
      <c r="F137" s="177"/>
      <c r="G137" s="177">
        <v>0</v>
      </c>
      <c r="H137" s="177">
        <v>0.20003824417180099</v>
      </c>
      <c r="I137" s="177">
        <v>0</v>
      </c>
      <c r="J137" s="177">
        <v>0</v>
      </c>
      <c r="K137" s="177">
        <v>0</v>
      </c>
      <c r="L137" s="177">
        <v>0</v>
      </c>
      <c r="M137" s="177">
        <v>0</v>
      </c>
      <c r="N137" s="177">
        <v>0</v>
      </c>
      <c r="O137" s="177">
        <v>0.79581058384167702</v>
      </c>
      <c r="P137" s="177">
        <v>0</v>
      </c>
      <c r="Q137" s="177">
        <v>0</v>
      </c>
      <c r="R137" s="177">
        <v>0</v>
      </c>
      <c r="S137" s="178">
        <v>0.99584882801347796</v>
      </c>
      <c r="U137" s="547"/>
      <c r="V137" s="170" t="s">
        <v>486</v>
      </c>
      <c r="W137" s="190">
        <v>2050</v>
      </c>
      <c r="X137" s="170"/>
      <c r="Y137" s="186">
        <f>'A renseigner'!E144</f>
        <v>0</v>
      </c>
      <c r="Z137" s="186">
        <f>'A renseigner'!F144</f>
        <v>0</v>
      </c>
      <c r="AA137" s="186">
        <f>'A renseigner'!G144</f>
        <v>0</v>
      </c>
      <c r="AB137" s="186">
        <f>'A renseigner'!H144</f>
        <v>0.13918941615832292</v>
      </c>
      <c r="AC137" s="186">
        <f>'A renseigner'!I144</f>
        <v>0</v>
      </c>
      <c r="AD137" s="186">
        <f>'A renseigner'!J144</f>
        <v>0</v>
      </c>
      <c r="AE137" s="186">
        <f>'A renseigner'!K144</f>
        <v>0</v>
      </c>
      <c r="AF137" s="186">
        <f>'A renseigner'!L144</f>
        <v>0</v>
      </c>
      <c r="AG137" s="186">
        <f>'A renseigner'!M144</f>
        <v>0.09</v>
      </c>
      <c r="AH137" s="186">
        <f>'A renseigner'!N144</f>
        <v>0</v>
      </c>
      <c r="AI137" s="186">
        <f>'A renseigner'!O144</f>
        <v>0.70581058384167705</v>
      </c>
      <c r="AJ137" s="186">
        <f>'A renseigner'!P144</f>
        <v>4.4999999999999998E-2</v>
      </c>
      <c r="AK137" s="186">
        <f>'A renseigner'!Q144</f>
        <v>0.02</v>
      </c>
      <c r="AL137" s="186">
        <f>'A renseigner'!R144</f>
        <v>0</v>
      </c>
      <c r="AM137" s="172">
        <f>'A renseigner'!S144</f>
        <v>1</v>
      </c>
      <c r="AN137" s="547"/>
      <c r="AP137" s="49"/>
    </row>
    <row r="138" spans="2:42" x14ac:dyDescent="0.3">
      <c r="C138" s="180"/>
      <c r="D138" s="181"/>
      <c r="E138" s="182"/>
      <c r="F138" s="182"/>
      <c r="G138" s="182"/>
      <c r="H138" s="182"/>
      <c r="I138" s="182"/>
      <c r="J138" s="182"/>
      <c r="K138" s="182"/>
      <c r="L138" s="182"/>
      <c r="M138" s="182"/>
      <c r="N138" s="182"/>
      <c r="O138" s="182"/>
      <c r="P138" s="182"/>
      <c r="Q138" s="182"/>
      <c r="R138" s="182"/>
      <c r="S138" s="183"/>
      <c r="U138" s="547"/>
      <c r="V138" s="180"/>
      <c r="W138" s="180"/>
      <c r="X138" s="181"/>
      <c r="Y138" s="184">
        <f>'A renseigner'!E145</f>
        <v>0</v>
      </c>
      <c r="Z138" s="184">
        <f>'A renseigner'!F145</f>
        <v>0</v>
      </c>
      <c r="AA138" s="184">
        <f>'A renseigner'!G145</f>
        <v>0</v>
      </c>
      <c r="AB138" s="184">
        <f>'A renseigner'!H145</f>
        <v>0</v>
      </c>
      <c r="AC138" s="184">
        <f>'A renseigner'!I145</f>
        <v>0</v>
      </c>
      <c r="AD138" s="184">
        <f>'A renseigner'!J145</f>
        <v>0</v>
      </c>
      <c r="AE138" s="184">
        <f>'A renseigner'!K145</f>
        <v>0</v>
      </c>
      <c r="AF138" s="184">
        <f>'A renseigner'!L145</f>
        <v>0</v>
      </c>
      <c r="AG138" s="184">
        <f>'A renseigner'!M145</f>
        <v>0</v>
      </c>
      <c r="AH138" s="184">
        <f>'A renseigner'!N145</f>
        <v>0</v>
      </c>
      <c r="AI138" s="184">
        <f>'A renseigner'!O145</f>
        <v>0</v>
      </c>
      <c r="AJ138" s="184">
        <f>'A renseigner'!P145</f>
        <v>0</v>
      </c>
      <c r="AK138" s="184">
        <f>'A renseigner'!Q145</f>
        <v>0</v>
      </c>
      <c r="AL138" s="184">
        <f>'A renseigner'!R145</f>
        <v>0</v>
      </c>
      <c r="AM138" s="185">
        <f>'A renseigner'!S145</f>
        <v>0</v>
      </c>
      <c r="AN138" s="547"/>
      <c r="AP138" s="49" t="s">
        <v>505</v>
      </c>
    </row>
    <row r="139" spans="2:42" x14ac:dyDescent="0.3">
      <c r="B139" s="175">
        <v>2019</v>
      </c>
      <c r="C139" s="170" t="s">
        <v>31</v>
      </c>
      <c r="D139" s="191"/>
      <c r="E139" s="177">
        <v>0</v>
      </c>
      <c r="F139" s="177"/>
      <c r="G139" s="177">
        <v>0.60548661005878501</v>
      </c>
      <c r="H139" s="177">
        <v>0.12495101241018899</v>
      </c>
      <c r="I139" s="177">
        <v>3.74265186152841E-2</v>
      </c>
      <c r="J139" s="177">
        <v>0</v>
      </c>
      <c r="K139" s="177">
        <v>0</v>
      </c>
      <c r="L139" s="177">
        <v>0</v>
      </c>
      <c r="M139" s="177"/>
      <c r="N139" s="177">
        <v>0</v>
      </c>
      <c r="O139" s="177">
        <v>0.23216485891574101</v>
      </c>
      <c r="P139" s="177">
        <v>0</v>
      </c>
      <c r="Q139" s="177">
        <v>0</v>
      </c>
      <c r="R139" s="177">
        <v>0</v>
      </c>
      <c r="S139" s="178">
        <v>0.999999999999999</v>
      </c>
      <c r="U139" s="547"/>
      <c r="V139" s="170" t="s">
        <v>31</v>
      </c>
      <c r="W139" s="190">
        <v>2021</v>
      </c>
      <c r="X139" s="191"/>
      <c r="Y139" s="186">
        <f>'A renseigner'!E146</f>
        <v>0</v>
      </c>
      <c r="Z139" s="186">
        <f>'A renseigner'!F146</f>
        <v>0</v>
      </c>
      <c r="AA139" s="186">
        <f>'A renseigner'!G146</f>
        <v>0.60033111051396904</v>
      </c>
      <c r="AB139" s="186">
        <f>'A renseigner'!H146</f>
        <v>0.15234285737018208</v>
      </c>
      <c r="AC139" s="186">
        <f>'A renseigner'!I146</f>
        <v>9.6699525508950118E-4</v>
      </c>
      <c r="AD139" s="186">
        <f>'A renseigner'!J146</f>
        <v>0</v>
      </c>
      <c r="AE139" s="186">
        <f>'A renseigner'!K146</f>
        <v>0</v>
      </c>
      <c r="AF139" s="186">
        <f>'A renseigner'!L146</f>
        <v>0</v>
      </c>
      <c r="AG139" s="186">
        <f>'A renseigner'!M146</f>
        <v>0</v>
      </c>
      <c r="AH139" s="186">
        <f>'A renseigner'!N146</f>
        <v>0</v>
      </c>
      <c r="AI139" s="186">
        <f>'A renseigner'!O146</f>
        <v>0.24635903686075952</v>
      </c>
      <c r="AJ139" s="186">
        <f>'A renseigner'!P146</f>
        <v>0</v>
      </c>
      <c r="AK139" s="186">
        <f>'A renseigner'!Q146</f>
        <v>0</v>
      </c>
      <c r="AL139" s="186">
        <f>'A renseigner'!R146</f>
        <v>0</v>
      </c>
      <c r="AM139" s="172">
        <f>'A renseigner'!S146</f>
        <v>1</v>
      </c>
      <c r="AN139" s="547"/>
      <c r="AP139" s="49"/>
    </row>
    <row r="140" spans="2:42" x14ac:dyDescent="0.3">
      <c r="B140" s="175">
        <v>2030</v>
      </c>
      <c r="C140" s="170" t="s">
        <v>31</v>
      </c>
      <c r="D140" s="191"/>
      <c r="E140" s="177">
        <v>0</v>
      </c>
      <c r="F140" s="177"/>
      <c r="G140" s="177">
        <v>0.57952756765901603</v>
      </c>
      <c r="H140" s="177">
        <v>0.12495101241018899</v>
      </c>
      <c r="I140" s="177">
        <v>3.74265186152841E-2</v>
      </c>
      <c r="J140" s="177">
        <v>2.5959042399769299E-2</v>
      </c>
      <c r="K140" s="177">
        <v>0</v>
      </c>
      <c r="L140" s="177">
        <v>0</v>
      </c>
      <c r="M140" s="177">
        <v>0</v>
      </c>
      <c r="N140" s="177">
        <v>0</v>
      </c>
      <c r="O140" s="177">
        <v>0.23216485891574101</v>
      </c>
      <c r="P140" s="177">
        <v>0</v>
      </c>
      <c r="Q140" s="177">
        <v>0</v>
      </c>
      <c r="R140" s="177">
        <v>0</v>
      </c>
      <c r="S140" s="178">
        <v>1</v>
      </c>
      <c r="U140" s="547"/>
      <c r="V140" s="170" t="s">
        <v>31</v>
      </c>
      <c r="W140" s="190">
        <v>2030</v>
      </c>
      <c r="X140" s="191"/>
      <c r="Y140" s="186">
        <f>'A renseigner'!E147</f>
        <v>0</v>
      </c>
      <c r="Z140" s="186">
        <f>'A renseigner'!F147</f>
        <v>0</v>
      </c>
      <c r="AA140" s="186">
        <f>'A renseigner'!G147</f>
        <v>0.45</v>
      </c>
      <c r="AB140" s="186">
        <f>'A renseigner'!H147</f>
        <v>0.12495101241018899</v>
      </c>
      <c r="AC140" s="186">
        <f>'A renseigner'!I147</f>
        <v>3.74265186152841E-2</v>
      </c>
      <c r="AD140" s="186">
        <f>'A renseigner'!J147</f>
        <v>2.5959042399769299E-2</v>
      </c>
      <c r="AE140" s="186">
        <f>'A renseigner'!K147</f>
        <v>0</v>
      </c>
      <c r="AF140" s="186">
        <f>'A renseigner'!L147</f>
        <v>0</v>
      </c>
      <c r="AG140" s="186">
        <f>'A renseigner'!M147</f>
        <v>0</v>
      </c>
      <c r="AH140" s="186">
        <f>'A renseigner'!N147</f>
        <v>0</v>
      </c>
      <c r="AI140" s="186">
        <f>'A renseigner'!O147</f>
        <v>0.34200000000000003</v>
      </c>
      <c r="AJ140" s="186">
        <f>'A renseigner'!P147</f>
        <v>0</v>
      </c>
      <c r="AK140" s="186">
        <f>'A renseigner'!Q147</f>
        <v>0</v>
      </c>
      <c r="AL140" s="186">
        <f>'A renseigner'!R147</f>
        <v>0.02</v>
      </c>
      <c r="AM140" s="172">
        <f>'A renseigner'!S147</f>
        <v>1.0003365734252425</v>
      </c>
      <c r="AN140" s="547"/>
      <c r="AP140" s="49" t="s">
        <v>521</v>
      </c>
    </row>
    <row r="141" spans="2:42" x14ac:dyDescent="0.3">
      <c r="B141" s="175">
        <v>2050</v>
      </c>
      <c r="C141" s="170" t="s">
        <v>31</v>
      </c>
      <c r="D141" s="191"/>
      <c r="E141" s="177">
        <v>0</v>
      </c>
      <c r="F141" s="177"/>
      <c r="G141" s="177">
        <v>0.53376104990830098</v>
      </c>
      <c r="H141" s="177">
        <v>0.11</v>
      </c>
      <c r="I141" s="177">
        <v>3.74265186152841E-2</v>
      </c>
      <c r="J141" s="177">
        <v>8.6676572560673598E-2</v>
      </c>
      <c r="K141" s="177">
        <v>0</v>
      </c>
      <c r="L141" s="177">
        <v>0</v>
      </c>
      <c r="M141" s="177">
        <v>0</v>
      </c>
      <c r="N141" s="177">
        <v>0</v>
      </c>
      <c r="O141" s="177">
        <v>0.23216485891574101</v>
      </c>
      <c r="P141" s="177">
        <v>0</v>
      </c>
      <c r="Q141" s="177">
        <v>0</v>
      </c>
      <c r="R141" s="177">
        <v>0</v>
      </c>
      <c r="S141" s="178">
        <v>1</v>
      </c>
      <c r="U141" s="547"/>
      <c r="V141" s="170" t="s">
        <v>31</v>
      </c>
      <c r="W141" s="190">
        <v>2050</v>
      </c>
      <c r="X141" s="191"/>
      <c r="Y141" s="186">
        <f>'A renseigner'!E148</f>
        <v>0</v>
      </c>
      <c r="Z141" s="186">
        <f>'A renseigner'!F148</f>
        <v>0</v>
      </c>
      <c r="AA141" s="186">
        <f>'A renseigner'!G148</f>
        <v>0.1</v>
      </c>
      <c r="AB141" s="186">
        <f>'A renseigner'!H148</f>
        <v>0.11</v>
      </c>
      <c r="AC141" s="186">
        <f>'A renseigner'!I148</f>
        <v>3.74265186152841E-2</v>
      </c>
      <c r="AD141" s="186">
        <f>'A renseigner'!J148</f>
        <v>8.6676572560673598E-2</v>
      </c>
      <c r="AE141" s="186">
        <f>'A renseigner'!K148</f>
        <v>0</v>
      </c>
      <c r="AF141" s="186">
        <f>'A renseigner'!L148</f>
        <v>0</v>
      </c>
      <c r="AG141" s="186">
        <f>'A renseigner'!M148</f>
        <v>0</v>
      </c>
      <c r="AH141" s="186">
        <f>'A renseigner'!N148</f>
        <v>0</v>
      </c>
      <c r="AI141" s="186">
        <f>'A renseigner'!O148</f>
        <v>0.59599999999999997</v>
      </c>
      <c r="AJ141" s="186">
        <f>'A renseigner'!P148</f>
        <v>0</v>
      </c>
      <c r="AK141" s="186">
        <f>'A renseigner'!Q148</f>
        <v>0</v>
      </c>
      <c r="AL141" s="186">
        <f>'A renseigner'!R148</f>
        <v>7.0000000000000007E-2</v>
      </c>
      <c r="AM141" s="172">
        <f>'A renseigner'!S148</f>
        <v>1.0001030911759576</v>
      </c>
      <c r="AN141" s="547"/>
      <c r="AP141" s="49"/>
    </row>
    <row r="142" spans="2:42" x14ac:dyDescent="0.3">
      <c r="C142" s="180"/>
      <c r="D142" s="181"/>
      <c r="E142" s="182"/>
      <c r="F142" s="182"/>
      <c r="G142" s="182"/>
      <c r="H142" s="182"/>
      <c r="I142" s="182"/>
      <c r="J142" s="182"/>
      <c r="K142" s="182"/>
      <c r="L142" s="182"/>
      <c r="M142" s="182"/>
      <c r="N142" s="182"/>
      <c r="O142" s="182"/>
      <c r="P142" s="182"/>
      <c r="Q142" s="182"/>
      <c r="R142" s="182"/>
      <c r="S142" s="183"/>
      <c r="U142" s="547"/>
      <c r="V142" s="180"/>
      <c r="W142" s="180"/>
      <c r="X142" s="181"/>
      <c r="Y142" s="184">
        <f>'A renseigner'!E149</f>
        <v>0</v>
      </c>
      <c r="Z142" s="184">
        <f>'A renseigner'!F149</f>
        <v>0</v>
      </c>
      <c r="AA142" s="184">
        <f>'A renseigner'!G149</f>
        <v>0</v>
      </c>
      <c r="AB142" s="184">
        <f>'A renseigner'!H149</f>
        <v>0</v>
      </c>
      <c r="AC142" s="184">
        <f>'A renseigner'!I149</f>
        <v>0</v>
      </c>
      <c r="AD142" s="184">
        <f>'A renseigner'!J149</f>
        <v>0</v>
      </c>
      <c r="AE142" s="184">
        <f>'A renseigner'!K149</f>
        <v>0</v>
      </c>
      <c r="AF142" s="184">
        <f>'A renseigner'!L149</f>
        <v>0</v>
      </c>
      <c r="AG142" s="184">
        <f>'A renseigner'!M149</f>
        <v>0</v>
      </c>
      <c r="AH142" s="184">
        <f>'A renseigner'!N149</f>
        <v>0</v>
      </c>
      <c r="AI142" s="184">
        <f>'A renseigner'!O149</f>
        <v>0</v>
      </c>
      <c r="AJ142" s="184">
        <f>'A renseigner'!P149</f>
        <v>0</v>
      </c>
      <c r="AK142" s="184">
        <f>'A renseigner'!Q149</f>
        <v>0</v>
      </c>
      <c r="AL142" s="184">
        <f>'A renseigner'!R149</f>
        <v>0</v>
      </c>
      <c r="AM142" s="185">
        <f>'A renseigner'!S149</f>
        <v>0</v>
      </c>
      <c r="AN142" s="547"/>
      <c r="AP142" s="49"/>
    </row>
    <row r="143" spans="2:42" x14ac:dyDescent="0.3">
      <c r="C143" s="170" t="s">
        <v>487</v>
      </c>
      <c r="D143" s="170"/>
      <c r="E143" s="188"/>
      <c r="F143" s="188"/>
      <c r="G143" s="188"/>
      <c r="H143" s="188"/>
      <c r="I143" s="188"/>
      <c r="J143" s="188"/>
      <c r="K143" s="188"/>
      <c r="L143" s="188"/>
      <c r="M143" s="188"/>
      <c r="N143" s="188"/>
      <c r="O143" s="188"/>
      <c r="P143" s="188"/>
      <c r="Q143" s="188"/>
      <c r="R143" s="188"/>
      <c r="S143" s="178"/>
      <c r="U143" s="547"/>
      <c r="V143" s="170" t="s">
        <v>487</v>
      </c>
      <c r="W143" s="170"/>
      <c r="X143" s="170"/>
      <c r="Y143" s="171">
        <f>'A renseigner'!E150</f>
        <v>0</v>
      </c>
      <c r="Z143" s="171">
        <f>'A renseigner'!F150</f>
        <v>0</v>
      </c>
      <c r="AA143" s="171">
        <f>'A renseigner'!G150</f>
        <v>0</v>
      </c>
      <c r="AB143" s="171">
        <f>'A renseigner'!H150</f>
        <v>0</v>
      </c>
      <c r="AC143" s="171">
        <f>'A renseigner'!I150</f>
        <v>0</v>
      </c>
      <c r="AD143" s="171">
        <f>'A renseigner'!J150</f>
        <v>0</v>
      </c>
      <c r="AE143" s="171">
        <f>'A renseigner'!K150</f>
        <v>0</v>
      </c>
      <c r="AF143" s="171">
        <f>'A renseigner'!L150</f>
        <v>0</v>
      </c>
      <c r="AG143" s="171">
        <f>'A renseigner'!M150</f>
        <v>0</v>
      </c>
      <c r="AH143" s="171">
        <f>'A renseigner'!N150</f>
        <v>0</v>
      </c>
      <c r="AI143" s="171">
        <f>'A renseigner'!O150</f>
        <v>0</v>
      </c>
      <c r="AJ143" s="171">
        <f>'A renseigner'!P150</f>
        <v>0</v>
      </c>
      <c r="AK143" s="171">
        <f>'A renseigner'!Q150</f>
        <v>0</v>
      </c>
      <c r="AL143" s="171">
        <f>'A renseigner'!R150</f>
        <v>0</v>
      </c>
      <c r="AM143" s="172">
        <f>'A renseigner'!S150</f>
        <v>0</v>
      </c>
      <c r="AN143" s="547"/>
      <c r="AP143" s="49"/>
    </row>
    <row r="144" spans="2:42" x14ac:dyDescent="0.3">
      <c r="B144" s="175">
        <v>2019</v>
      </c>
      <c r="C144" s="175" t="s">
        <v>488</v>
      </c>
      <c r="D144" s="176" t="s">
        <v>497</v>
      </c>
      <c r="E144" s="177">
        <v>4.1525141440921804E-3</v>
      </c>
      <c r="F144" s="177"/>
      <c r="G144" s="177">
        <v>1.72156315557155E-2</v>
      </c>
      <c r="H144" s="177">
        <v>0.33021138516666398</v>
      </c>
      <c r="I144" s="177">
        <v>0.25503647701632798</v>
      </c>
      <c r="J144" s="177">
        <v>0</v>
      </c>
      <c r="K144" s="177">
        <v>0</v>
      </c>
      <c r="L144" s="177">
        <v>0</v>
      </c>
      <c r="M144" s="177"/>
      <c r="N144" s="177">
        <v>0</v>
      </c>
      <c r="O144" s="177">
        <v>0.27929983154586702</v>
      </c>
      <c r="P144" s="177">
        <v>0</v>
      </c>
      <c r="Q144" s="177">
        <v>0.114087060571334</v>
      </c>
      <c r="R144" s="177">
        <v>0</v>
      </c>
      <c r="S144" s="178">
        <v>1</v>
      </c>
      <c r="U144" s="548" t="s">
        <v>522</v>
      </c>
      <c r="V144" s="175" t="s">
        <v>488</v>
      </c>
      <c r="W144" s="175">
        <v>2021</v>
      </c>
      <c r="X144" s="176" t="s">
        <v>497</v>
      </c>
      <c r="Y144" s="186">
        <f>'A renseigner'!E151</f>
        <v>0</v>
      </c>
      <c r="Z144" s="186">
        <f>'A renseigner'!F151</f>
        <v>0</v>
      </c>
      <c r="AA144" s="186">
        <f>'A renseigner'!G151</f>
        <v>1.9754512164146254E-2</v>
      </c>
      <c r="AB144" s="186">
        <f>'A renseigner'!H151</f>
        <v>0.32243631567381942</v>
      </c>
      <c r="AC144" s="186">
        <f>'A renseigner'!I151</f>
        <v>0.25696781203673896</v>
      </c>
      <c r="AD144" s="186">
        <f>'A renseigner'!J151</f>
        <v>0</v>
      </c>
      <c r="AE144" s="186">
        <f>'A renseigner'!K151</f>
        <v>0</v>
      </c>
      <c r="AF144" s="186">
        <f>'A renseigner'!L151</f>
        <v>0</v>
      </c>
      <c r="AG144" s="186">
        <f>'A renseigner'!M151</f>
        <v>0</v>
      </c>
      <c r="AH144" s="186">
        <f>'A renseigner'!N151</f>
        <v>0</v>
      </c>
      <c r="AI144" s="186">
        <f>'A renseigner'!O151</f>
        <v>0.25840134449752034</v>
      </c>
      <c r="AJ144" s="186">
        <f>'A renseigner'!P151</f>
        <v>0</v>
      </c>
      <c r="AK144" s="186">
        <f>'A renseigner'!Q151</f>
        <v>0.14244001562777497</v>
      </c>
      <c r="AL144" s="186">
        <f>'A renseigner'!R151</f>
        <v>0</v>
      </c>
      <c r="AM144" s="172">
        <f>'A renseigner'!S151</f>
        <v>1</v>
      </c>
      <c r="AN144" s="547"/>
      <c r="AP144" s="49"/>
    </row>
    <row r="145" spans="2:42" x14ac:dyDescent="0.3">
      <c r="B145" s="175">
        <v>2030</v>
      </c>
      <c r="C145" s="175" t="s">
        <v>488</v>
      </c>
      <c r="D145" s="176" t="s">
        <v>497</v>
      </c>
      <c r="E145" s="177">
        <v>0</v>
      </c>
      <c r="F145" s="177"/>
      <c r="G145" s="177">
        <v>0</v>
      </c>
      <c r="H145" s="177">
        <v>0.24</v>
      </c>
      <c r="I145" s="177">
        <v>0.25</v>
      </c>
      <c r="J145" s="177">
        <v>0</v>
      </c>
      <c r="K145" s="177">
        <v>0</v>
      </c>
      <c r="L145" s="177">
        <v>0</v>
      </c>
      <c r="M145" s="177">
        <v>0</v>
      </c>
      <c r="N145" s="177">
        <v>0</v>
      </c>
      <c r="O145" s="177">
        <v>0.36591293942866598</v>
      </c>
      <c r="P145" s="177">
        <v>0</v>
      </c>
      <c r="Q145" s="177">
        <v>0.144087060571334</v>
      </c>
      <c r="R145" s="177">
        <v>0</v>
      </c>
      <c r="S145" s="178">
        <v>1</v>
      </c>
      <c r="U145" s="547"/>
      <c r="V145" s="175" t="s">
        <v>488</v>
      </c>
      <c r="W145" s="175">
        <v>2030</v>
      </c>
      <c r="X145" s="176" t="s">
        <v>497</v>
      </c>
      <c r="Y145" s="186">
        <f>'A renseigner'!E152</f>
        <v>0</v>
      </c>
      <c r="Z145" s="186">
        <f>'A renseigner'!F152</f>
        <v>0</v>
      </c>
      <c r="AA145" s="186">
        <f>'A renseigner'!G152</f>
        <v>0</v>
      </c>
      <c r="AB145" s="186">
        <f>'A renseigner'!H152</f>
        <v>0.20091293942866595</v>
      </c>
      <c r="AC145" s="186">
        <f>'A renseigner'!I152</f>
        <v>0.3</v>
      </c>
      <c r="AD145" s="186">
        <f>'A renseigner'!J152</f>
        <v>2.5000000000000001E-2</v>
      </c>
      <c r="AE145" s="186">
        <f>'A renseigner'!K152</f>
        <v>0</v>
      </c>
      <c r="AF145" s="186">
        <f>'A renseigner'!L152</f>
        <v>0.05</v>
      </c>
      <c r="AG145" s="186">
        <f>'A renseigner'!M152</f>
        <v>0</v>
      </c>
      <c r="AH145" s="186">
        <f>'A renseigner'!N152</f>
        <v>0</v>
      </c>
      <c r="AI145" s="186">
        <f>'A renseigner'!O152</f>
        <v>0.28000000000000003</v>
      </c>
      <c r="AJ145" s="186">
        <f>'A renseigner'!P152</f>
        <v>0</v>
      </c>
      <c r="AK145" s="186">
        <f>'A renseigner'!Q152</f>
        <v>0.144087060571334</v>
      </c>
      <c r="AL145" s="186">
        <f>'A renseigner'!R152</f>
        <v>0</v>
      </c>
      <c r="AM145" s="172">
        <f>'A renseigner'!S152</f>
        <v>1</v>
      </c>
      <c r="AN145" s="547"/>
      <c r="AP145" s="49"/>
    </row>
    <row r="146" spans="2:42" x14ac:dyDescent="0.3">
      <c r="B146" s="175">
        <v>2050</v>
      </c>
      <c r="C146" s="175" t="s">
        <v>488</v>
      </c>
      <c r="D146" s="176" t="s">
        <v>497</v>
      </c>
      <c r="E146" s="177">
        <v>0</v>
      </c>
      <c r="F146" s="177"/>
      <c r="G146" s="177">
        <v>0</v>
      </c>
      <c r="H146" s="177">
        <v>0.175292644587171</v>
      </c>
      <c r="I146" s="177">
        <v>0.188504425564677</v>
      </c>
      <c r="J146" s="177">
        <v>0</v>
      </c>
      <c r="K146" s="177">
        <v>0</v>
      </c>
      <c r="L146" s="177">
        <v>0</v>
      </c>
      <c r="M146" s="177">
        <v>0</v>
      </c>
      <c r="N146" s="177">
        <v>0</v>
      </c>
      <c r="O146" s="177">
        <v>0.48620292987715202</v>
      </c>
      <c r="P146" s="177">
        <v>0</v>
      </c>
      <c r="Q146" s="177">
        <v>0.15</v>
      </c>
      <c r="R146" s="177">
        <v>0</v>
      </c>
      <c r="S146" s="178">
        <v>1</v>
      </c>
      <c r="U146" s="547"/>
      <c r="V146" s="175" t="s">
        <v>488</v>
      </c>
      <c r="W146" s="175">
        <v>2050</v>
      </c>
      <c r="X146" s="176" t="s">
        <v>497</v>
      </c>
      <c r="Y146" s="186">
        <f>'A renseigner'!E153</f>
        <v>0</v>
      </c>
      <c r="Z146" s="186">
        <f>'A renseigner'!F153</f>
        <v>0</v>
      </c>
      <c r="AA146" s="186">
        <f>'A renseigner'!G153</f>
        <v>0</v>
      </c>
      <c r="AB146" s="186">
        <f>'A renseigner'!H153</f>
        <v>4.0000000000000036E-2</v>
      </c>
      <c r="AC146" s="186">
        <f>'A renseigner'!I153</f>
        <v>0.24</v>
      </c>
      <c r="AD146" s="186">
        <f>'A renseigner'!J153</f>
        <v>0</v>
      </c>
      <c r="AE146" s="186">
        <f>'A renseigner'!K153</f>
        <v>0</v>
      </c>
      <c r="AF146" s="186">
        <f>'A renseigner'!L153</f>
        <v>0</v>
      </c>
      <c r="AG146" s="186">
        <f>'A renseigner'!M153</f>
        <v>0.18</v>
      </c>
      <c r="AH146" s="186">
        <f>'A renseigner'!N153</f>
        <v>0</v>
      </c>
      <c r="AI146" s="186">
        <f>'A renseigner'!O153</f>
        <v>0.25</v>
      </c>
      <c r="AJ146" s="186">
        <f>'A renseigner'!P153</f>
        <v>0.09</v>
      </c>
      <c r="AK146" s="186">
        <f>'A renseigner'!Q153</f>
        <v>0.2</v>
      </c>
      <c r="AL146" s="186">
        <f>'A renseigner'!R153</f>
        <v>0</v>
      </c>
      <c r="AM146" s="172">
        <f>'A renseigner'!S153</f>
        <v>1</v>
      </c>
      <c r="AN146" s="547"/>
      <c r="AP146" s="49"/>
    </row>
    <row r="147" spans="2:42" x14ac:dyDescent="0.3">
      <c r="C147" s="180"/>
      <c r="D147" s="181"/>
      <c r="E147" s="182"/>
      <c r="F147" s="182"/>
      <c r="G147" s="182"/>
      <c r="H147" s="182"/>
      <c r="I147" s="182"/>
      <c r="J147" s="182"/>
      <c r="K147" s="182"/>
      <c r="L147" s="182"/>
      <c r="M147" s="182"/>
      <c r="N147" s="182"/>
      <c r="O147" s="182"/>
      <c r="P147" s="182"/>
      <c r="Q147" s="182"/>
      <c r="R147" s="182"/>
      <c r="S147" s="183"/>
      <c r="U147" s="547"/>
      <c r="V147" s="180"/>
      <c r="W147" s="180"/>
      <c r="X147" s="181"/>
      <c r="Y147" s="184">
        <f>'A renseigner'!E154</f>
        <v>0</v>
      </c>
      <c r="Z147" s="184">
        <f>'A renseigner'!F154</f>
        <v>0</v>
      </c>
      <c r="AA147" s="184">
        <f>'A renseigner'!G154</f>
        <v>0</v>
      </c>
      <c r="AB147" s="184">
        <f>'A renseigner'!H154</f>
        <v>0</v>
      </c>
      <c r="AC147" s="184">
        <f>'A renseigner'!I154</f>
        <v>0</v>
      </c>
      <c r="AD147" s="184">
        <f>'A renseigner'!J154</f>
        <v>0</v>
      </c>
      <c r="AE147" s="184">
        <f>'A renseigner'!K154</f>
        <v>0</v>
      </c>
      <c r="AF147" s="184">
        <f>'A renseigner'!L154</f>
        <v>0</v>
      </c>
      <c r="AG147" s="184">
        <f>'A renseigner'!M154</f>
        <v>0</v>
      </c>
      <c r="AH147" s="184">
        <f>'A renseigner'!N154</f>
        <v>0</v>
      </c>
      <c r="AI147" s="184">
        <f>'A renseigner'!O154</f>
        <v>0</v>
      </c>
      <c r="AJ147" s="184">
        <f>'A renseigner'!P154</f>
        <v>0</v>
      </c>
      <c r="AK147" s="184">
        <f>'A renseigner'!Q154</f>
        <v>0</v>
      </c>
      <c r="AL147" s="184">
        <f>'A renseigner'!R154</f>
        <v>0</v>
      </c>
      <c r="AM147" s="185">
        <f>'A renseigner'!S154</f>
        <v>0</v>
      </c>
      <c r="AN147" s="547"/>
      <c r="AP147" s="49"/>
    </row>
    <row r="148" spans="2:42" x14ac:dyDescent="0.3">
      <c r="B148" s="175">
        <v>2019</v>
      </c>
      <c r="C148" s="175" t="s">
        <v>489</v>
      </c>
      <c r="D148" s="176" t="s">
        <v>497</v>
      </c>
      <c r="E148" s="177">
        <v>0</v>
      </c>
      <c r="F148" s="177"/>
      <c r="G148" s="177">
        <v>0.142647488673455</v>
      </c>
      <c r="H148" s="177">
        <v>0.33119285981065599</v>
      </c>
      <c r="I148" s="177">
        <v>2.3343238986050899E-2</v>
      </c>
      <c r="J148" s="177">
        <v>0</v>
      </c>
      <c r="K148" s="177">
        <v>0</v>
      </c>
      <c r="L148" s="177">
        <v>0</v>
      </c>
      <c r="M148" s="177"/>
      <c r="N148" s="177">
        <v>0</v>
      </c>
      <c r="O148" s="177">
        <v>0.47960206881992801</v>
      </c>
      <c r="P148" s="177">
        <v>0</v>
      </c>
      <c r="Q148" s="177">
        <v>2.32143437099105E-2</v>
      </c>
      <c r="R148" s="177">
        <v>0</v>
      </c>
      <c r="S148" s="178">
        <v>1</v>
      </c>
      <c r="U148" s="547" t="s">
        <v>523</v>
      </c>
      <c r="V148" s="175" t="s">
        <v>489</v>
      </c>
      <c r="W148" s="175">
        <v>2021</v>
      </c>
      <c r="X148" s="176" t="s">
        <v>497</v>
      </c>
      <c r="Y148" s="186">
        <f>'A renseigner'!E155</f>
        <v>0</v>
      </c>
      <c r="Z148" s="186">
        <f>'A renseigner'!F155</f>
        <v>0</v>
      </c>
      <c r="AA148" s="186">
        <f>'A renseigner'!G155</f>
        <v>0.14647136735122718</v>
      </c>
      <c r="AB148" s="186">
        <f>'A renseigner'!H155</f>
        <v>0.33207214845968225</v>
      </c>
      <c r="AC148" s="186">
        <f>'A renseigner'!I155</f>
        <v>1.3333320523131574E-2</v>
      </c>
      <c r="AD148" s="186">
        <f>'A renseigner'!J155</f>
        <v>0</v>
      </c>
      <c r="AE148" s="186">
        <f>'A renseigner'!K155</f>
        <v>0</v>
      </c>
      <c r="AF148" s="186">
        <f>'A renseigner'!L155</f>
        <v>0</v>
      </c>
      <c r="AG148" s="186">
        <f>'A renseigner'!M155</f>
        <v>0</v>
      </c>
      <c r="AH148" s="186">
        <f>'A renseigner'!N155</f>
        <v>0</v>
      </c>
      <c r="AI148" s="186">
        <f>'A renseigner'!O155</f>
        <v>0.48260816054781014</v>
      </c>
      <c r="AJ148" s="186">
        <f>'A renseigner'!P155</f>
        <v>0</v>
      </c>
      <c r="AK148" s="186">
        <f>'A renseigner'!Q155</f>
        <v>2.5515003118148919E-2</v>
      </c>
      <c r="AL148" s="186">
        <f>'A renseigner'!R155</f>
        <v>0</v>
      </c>
      <c r="AM148" s="172">
        <f>'A renseigner'!S155</f>
        <v>1.0000000000000002</v>
      </c>
      <c r="AN148" s="547"/>
      <c r="AP148" s="49" t="s">
        <v>518</v>
      </c>
    </row>
    <row r="149" spans="2:42" x14ac:dyDescent="0.3">
      <c r="B149" s="175">
        <v>2030</v>
      </c>
      <c r="C149" s="175" t="s">
        <v>489</v>
      </c>
      <c r="D149" s="176" t="s">
        <v>497</v>
      </c>
      <c r="E149" s="177">
        <v>0</v>
      </c>
      <c r="F149" s="177"/>
      <c r="G149" s="177">
        <v>0.04</v>
      </c>
      <c r="H149" s="177">
        <v>0.301490724374404</v>
      </c>
      <c r="I149" s="177">
        <v>0.02</v>
      </c>
      <c r="J149" s="177">
        <v>0</v>
      </c>
      <c r="K149" s="177">
        <v>0</v>
      </c>
      <c r="L149" s="177">
        <v>0</v>
      </c>
      <c r="M149" s="177">
        <v>0</v>
      </c>
      <c r="N149" s="177">
        <v>0</v>
      </c>
      <c r="O149" s="177">
        <v>0.61850927562559599</v>
      </c>
      <c r="P149" s="177">
        <v>0</v>
      </c>
      <c r="Q149" s="177">
        <v>0.02</v>
      </c>
      <c r="R149" s="177">
        <v>0</v>
      </c>
      <c r="S149" s="178">
        <v>1</v>
      </c>
      <c r="U149" s="547"/>
      <c r="V149" s="175" t="s">
        <v>489</v>
      </c>
      <c r="W149" s="175">
        <v>2030</v>
      </c>
      <c r="X149" s="176" t="s">
        <v>497</v>
      </c>
      <c r="Y149" s="186">
        <f>'A renseigner'!E156</f>
        <v>0</v>
      </c>
      <c r="Z149" s="186">
        <f>'A renseigner'!F156</f>
        <v>0</v>
      </c>
      <c r="AA149" s="186">
        <f>'A renseigner'!G156</f>
        <v>0.04</v>
      </c>
      <c r="AB149" s="186">
        <f>'A renseigner'!H156</f>
        <v>0.30999999999999994</v>
      </c>
      <c r="AC149" s="186">
        <f>'A renseigner'!I156</f>
        <v>0.02</v>
      </c>
      <c r="AD149" s="186">
        <f>'A renseigner'!J156</f>
        <v>0</v>
      </c>
      <c r="AE149" s="186">
        <f>'A renseigner'!K156</f>
        <v>0</v>
      </c>
      <c r="AF149" s="186">
        <f>'A renseigner'!L156</f>
        <v>0</v>
      </c>
      <c r="AG149" s="186">
        <f>'A renseigner'!M156</f>
        <v>0.06</v>
      </c>
      <c r="AH149" s="186">
        <f>'A renseigner'!N156</f>
        <v>0</v>
      </c>
      <c r="AI149" s="186">
        <f>'A renseigner'!O156</f>
        <v>0.52</v>
      </c>
      <c r="AJ149" s="186">
        <f>'A renseigner'!P156</f>
        <v>0.03</v>
      </c>
      <c r="AK149" s="186">
        <f>'A renseigner'!Q156</f>
        <v>0.02</v>
      </c>
      <c r="AL149" s="186">
        <f>'A renseigner'!R156</f>
        <v>0</v>
      </c>
      <c r="AM149" s="172">
        <f>'A renseigner'!S156</f>
        <v>1</v>
      </c>
      <c r="AN149" s="547"/>
      <c r="AP149" s="49"/>
    </row>
    <row r="150" spans="2:42" x14ac:dyDescent="0.3">
      <c r="B150" s="175">
        <v>2050</v>
      </c>
      <c r="C150" s="175" t="s">
        <v>489</v>
      </c>
      <c r="D150" s="176" t="s">
        <v>497</v>
      </c>
      <c r="E150" s="177">
        <v>0</v>
      </c>
      <c r="F150" s="177"/>
      <c r="G150" s="177">
        <v>0</v>
      </c>
      <c r="H150" s="177">
        <v>0.28459406562273099</v>
      </c>
      <c r="I150" s="177">
        <v>0.02</v>
      </c>
      <c r="J150" s="177">
        <v>0</v>
      </c>
      <c r="K150" s="177">
        <v>0</v>
      </c>
      <c r="L150" s="177">
        <v>0</v>
      </c>
      <c r="M150" s="177">
        <v>0</v>
      </c>
      <c r="N150" s="177">
        <v>0</v>
      </c>
      <c r="O150" s="177">
        <v>0.66925741556336904</v>
      </c>
      <c r="P150" s="177">
        <v>0</v>
      </c>
      <c r="Q150" s="177">
        <v>2.6148518813899999E-2</v>
      </c>
      <c r="R150" s="177">
        <v>0</v>
      </c>
      <c r="S150" s="178">
        <v>1</v>
      </c>
      <c r="U150" s="547"/>
      <c r="V150" s="175" t="s">
        <v>489</v>
      </c>
      <c r="W150" s="175">
        <v>2050</v>
      </c>
      <c r="X150" s="176" t="s">
        <v>497</v>
      </c>
      <c r="Y150" s="186">
        <f>'A renseigner'!E157</f>
        <v>0</v>
      </c>
      <c r="Z150" s="186">
        <f>'A renseigner'!F157</f>
        <v>0</v>
      </c>
      <c r="AA150" s="186">
        <f>'A renseigner'!G157</f>
        <v>0</v>
      </c>
      <c r="AB150" s="186">
        <f>'A renseigner'!H157</f>
        <v>8.3851481186099974E-2</v>
      </c>
      <c r="AC150" s="186">
        <f>'A renseigner'!I157</f>
        <v>0.02</v>
      </c>
      <c r="AD150" s="186">
        <f>'A renseigner'!J157</f>
        <v>0</v>
      </c>
      <c r="AE150" s="186">
        <f>'A renseigner'!K157</f>
        <v>0</v>
      </c>
      <c r="AF150" s="186">
        <f>'A renseigner'!L157</f>
        <v>0</v>
      </c>
      <c r="AG150" s="186">
        <f>'A renseigner'!M157</f>
        <v>0.22</v>
      </c>
      <c r="AH150" s="186">
        <f>'A renseigner'!N157</f>
        <v>0</v>
      </c>
      <c r="AI150" s="186">
        <f>'A renseigner'!O157</f>
        <v>0.54</v>
      </c>
      <c r="AJ150" s="186">
        <f>'A renseigner'!P157</f>
        <v>0.11</v>
      </c>
      <c r="AK150" s="186">
        <f>'A renseigner'!Q157</f>
        <v>2.6148518813899999E-2</v>
      </c>
      <c r="AL150" s="186">
        <f>'A renseigner'!R157</f>
        <v>0</v>
      </c>
      <c r="AM150" s="172">
        <f>'A renseigner'!S157</f>
        <v>1</v>
      </c>
      <c r="AN150" s="547"/>
      <c r="AP150" s="49"/>
    </row>
    <row r="151" spans="2:42" x14ac:dyDescent="0.3">
      <c r="B151" s="390"/>
      <c r="C151" s="390"/>
      <c r="D151" s="391"/>
      <c r="E151" s="392"/>
      <c r="F151" s="392"/>
      <c r="G151" s="392"/>
      <c r="H151" s="392"/>
      <c r="I151" s="392"/>
      <c r="J151" s="392"/>
      <c r="K151" s="392"/>
      <c r="L151" s="392"/>
      <c r="M151" s="392"/>
      <c r="N151" s="392"/>
      <c r="O151" s="392"/>
      <c r="P151" s="392"/>
      <c r="Q151" s="392"/>
      <c r="R151" s="392"/>
      <c r="S151" s="393"/>
      <c r="U151" s="547"/>
      <c r="V151" s="180"/>
      <c r="W151" s="180"/>
      <c r="X151" s="181"/>
      <c r="Y151" s="184">
        <f>'A renseigner'!E158</f>
        <v>0</v>
      </c>
      <c r="Z151" s="184">
        <f>'A renseigner'!F158</f>
        <v>0</v>
      </c>
      <c r="AA151" s="184">
        <f>'A renseigner'!G158</f>
        <v>0</v>
      </c>
      <c r="AB151" s="184">
        <f>'A renseigner'!H158</f>
        <v>0</v>
      </c>
      <c r="AC151" s="184">
        <f>'A renseigner'!I158</f>
        <v>0</v>
      </c>
      <c r="AD151" s="184">
        <f>'A renseigner'!J158</f>
        <v>0</v>
      </c>
      <c r="AE151" s="184">
        <f>'A renseigner'!K158</f>
        <v>0</v>
      </c>
      <c r="AF151" s="184">
        <f>'A renseigner'!L158</f>
        <v>0</v>
      </c>
      <c r="AG151" s="184">
        <f>'A renseigner'!M158</f>
        <v>0</v>
      </c>
      <c r="AH151" s="184">
        <f>'A renseigner'!N158</f>
        <v>0</v>
      </c>
      <c r="AI151" s="184">
        <f>'A renseigner'!O158</f>
        <v>0</v>
      </c>
      <c r="AJ151" s="184">
        <f>'A renseigner'!P158</f>
        <v>0</v>
      </c>
      <c r="AK151" s="184">
        <f>'A renseigner'!Q158</f>
        <v>0</v>
      </c>
      <c r="AL151" s="184">
        <f>'A renseigner'!R158</f>
        <v>0</v>
      </c>
      <c r="AM151" s="185">
        <f>'A renseigner'!S158</f>
        <v>0</v>
      </c>
      <c r="AN151" s="547"/>
      <c r="AP151" s="49"/>
    </row>
    <row r="152" spans="2:42" x14ac:dyDescent="0.3">
      <c r="B152" s="390"/>
      <c r="C152" s="390"/>
      <c r="D152" s="391"/>
      <c r="E152" s="392"/>
      <c r="F152" s="392"/>
      <c r="G152" s="392"/>
      <c r="H152" s="392"/>
      <c r="I152" s="392"/>
      <c r="J152" s="392"/>
      <c r="K152" s="392"/>
      <c r="L152" s="392"/>
      <c r="M152" s="392"/>
      <c r="N152" s="392"/>
      <c r="O152" s="392"/>
      <c r="P152" s="392"/>
      <c r="Q152" s="392"/>
      <c r="R152" s="392"/>
      <c r="S152" s="393"/>
      <c r="U152" s="547"/>
      <c r="V152" s="634" t="s">
        <v>871</v>
      </c>
      <c r="W152" s="634"/>
      <c r="X152" s="634"/>
      <c r="Y152" s="171" t="str">
        <f>'A renseigner'!E159</f>
        <v>Charbon</v>
      </c>
      <c r="Z152" s="171" t="str">
        <f>'A renseigner'!F159</f>
        <v>Coke</v>
      </c>
      <c r="AA152" s="171" t="str">
        <f>'A renseigner'!G159</f>
        <v>Produits pétroliers raffinés</v>
      </c>
      <c r="AB152" s="171" t="str">
        <f>'A renseigner'!H159</f>
        <v>Gaz naturel</v>
      </c>
      <c r="AC152" s="171" t="str">
        <f>'A renseigner'!I159</f>
        <v>Biomasse solide</v>
      </c>
      <c r="AD152" s="171" t="str">
        <f>'A renseigner'!J159</f>
        <v>Déchets</v>
      </c>
      <c r="AE152" s="171" t="str">
        <f>'A renseigner'!K159</f>
        <v>Biocarburants</v>
      </c>
      <c r="AF152" s="171" t="str">
        <f>'A renseigner'!L159</f>
        <v>Gaz renouvelable</v>
      </c>
      <c r="AG152" s="171" t="str">
        <f>'A renseigner'!M159</f>
        <v>Chaleur de l'environnement</v>
      </c>
      <c r="AH152" s="171" t="str">
        <f>'A renseigner'!N159</f>
        <v>Solaire thermique et géothermie</v>
      </c>
      <c r="AI152" s="171" t="str">
        <f>'A renseigner'!O159</f>
        <v xml:space="preserve">Électricité </v>
      </c>
      <c r="AJ152" s="171" t="str">
        <f>'A renseigner'!P159</f>
        <v>Electricité PAC</v>
      </c>
      <c r="AK152" s="171" t="str">
        <f>'A renseigner'!Q159</f>
        <v>Chaleur vendue</v>
      </c>
      <c r="AL152" s="171" t="str">
        <f>'A renseigner'!R159</f>
        <v>Hydrogène</v>
      </c>
      <c r="AM152" s="172">
        <f>'A renseigner'!S159</f>
        <v>0</v>
      </c>
      <c r="AN152" s="547"/>
      <c r="AP152" s="49"/>
    </row>
    <row r="153" spans="2:42" x14ac:dyDescent="0.3">
      <c r="B153" s="390"/>
      <c r="C153" s="390"/>
      <c r="D153" s="391"/>
      <c r="E153" s="392"/>
      <c r="F153" s="392"/>
      <c r="G153" s="392"/>
      <c r="H153" s="392"/>
      <c r="I153" s="392"/>
      <c r="J153" s="392"/>
      <c r="K153" s="392"/>
      <c r="L153" s="392"/>
      <c r="M153" s="392"/>
      <c r="N153" s="392"/>
      <c r="O153" s="392"/>
      <c r="P153" s="392"/>
      <c r="Q153" s="392"/>
      <c r="R153" s="392"/>
      <c r="S153" s="393"/>
      <c r="U153" s="547"/>
      <c r="V153" s="175" t="s">
        <v>871</v>
      </c>
      <c r="W153" s="175">
        <v>2021</v>
      </c>
      <c r="X153" s="176" t="s">
        <v>497</v>
      </c>
      <c r="Y153" s="186">
        <f>'A renseigner'!E160</f>
        <v>0</v>
      </c>
      <c r="Z153" s="186">
        <f>'A renseigner'!F160</f>
        <v>0</v>
      </c>
      <c r="AA153" s="186">
        <f>'A renseigner'!G160</f>
        <v>0</v>
      </c>
      <c r="AB153" s="186">
        <f>'A renseigner'!H160</f>
        <v>0</v>
      </c>
      <c r="AC153" s="186">
        <f>'A renseigner'!I160</f>
        <v>0</v>
      </c>
      <c r="AD153" s="186">
        <f>'A renseigner'!J160</f>
        <v>0</v>
      </c>
      <c r="AE153" s="186">
        <f>'A renseigner'!K160</f>
        <v>0</v>
      </c>
      <c r="AF153" s="186">
        <f>'A renseigner'!L160</f>
        <v>0</v>
      </c>
      <c r="AG153" s="186">
        <f>'A renseigner'!M160</f>
        <v>0</v>
      </c>
      <c r="AH153" s="186">
        <f>'A renseigner'!N160</f>
        <v>0</v>
      </c>
      <c r="AI153" s="394">
        <f>'A renseigner'!O160</f>
        <v>1</v>
      </c>
      <c r="AJ153" s="186">
        <f>'A renseigner'!P160</f>
        <v>0</v>
      </c>
      <c r="AK153" s="186">
        <f>'A renseigner'!Q160</f>
        <v>0</v>
      </c>
      <c r="AL153" s="186">
        <f>'A renseigner'!R160</f>
        <v>0</v>
      </c>
      <c r="AM153" s="172">
        <f>'A renseigner'!S160</f>
        <v>1</v>
      </c>
      <c r="AN153" s="547"/>
      <c r="AP153" s="49"/>
    </row>
    <row r="154" spans="2:42" x14ac:dyDescent="0.3">
      <c r="B154" s="390"/>
      <c r="C154" s="390"/>
      <c r="D154" s="391"/>
      <c r="E154" s="392"/>
      <c r="F154" s="392"/>
      <c r="G154" s="392"/>
      <c r="H154" s="392"/>
      <c r="I154" s="392"/>
      <c r="J154" s="392"/>
      <c r="K154" s="392"/>
      <c r="L154" s="392"/>
      <c r="M154" s="392"/>
      <c r="N154" s="392"/>
      <c r="O154" s="392"/>
      <c r="P154" s="392"/>
      <c r="Q154" s="392"/>
      <c r="R154" s="392"/>
      <c r="S154" s="393"/>
      <c r="U154" s="547"/>
      <c r="V154" s="175" t="s">
        <v>871</v>
      </c>
      <c r="W154" s="175">
        <v>2030</v>
      </c>
      <c r="X154" s="176" t="s">
        <v>497</v>
      </c>
      <c r="Y154" s="186">
        <f>'A renseigner'!E161</f>
        <v>0</v>
      </c>
      <c r="Z154" s="186">
        <f>'A renseigner'!F161</f>
        <v>0</v>
      </c>
      <c r="AA154" s="186">
        <f>'A renseigner'!G161</f>
        <v>0</v>
      </c>
      <c r="AB154" s="186">
        <f>'A renseigner'!H161</f>
        <v>0</v>
      </c>
      <c r="AC154" s="186">
        <f>'A renseigner'!I161</f>
        <v>0</v>
      </c>
      <c r="AD154" s="186">
        <f>'A renseigner'!J161</f>
        <v>0</v>
      </c>
      <c r="AE154" s="186">
        <f>'A renseigner'!K161</f>
        <v>0</v>
      </c>
      <c r="AF154" s="186">
        <f>'A renseigner'!L161</f>
        <v>0</v>
      </c>
      <c r="AG154" s="186">
        <f>'A renseigner'!M161</f>
        <v>0</v>
      </c>
      <c r="AH154" s="186">
        <f>'A renseigner'!N161</f>
        <v>0</v>
      </c>
      <c r="AI154" s="394">
        <f>'A renseigner'!O161</f>
        <v>1</v>
      </c>
      <c r="AJ154" s="186">
        <f>'A renseigner'!P161</f>
        <v>0</v>
      </c>
      <c r="AK154" s="186">
        <f>'A renseigner'!Q161</f>
        <v>0</v>
      </c>
      <c r="AL154" s="186">
        <f>'A renseigner'!R161</f>
        <v>0</v>
      </c>
      <c r="AM154" s="172">
        <f>'A renseigner'!S161</f>
        <v>1</v>
      </c>
      <c r="AN154" s="547"/>
      <c r="AP154" s="49"/>
    </row>
    <row r="155" spans="2:42" x14ac:dyDescent="0.3">
      <c r="B155" s="390"/>
      <c r="C155" s="390"/>
      <c r="D155" s="391"/>
      <c r="E155" s="392"/>
      <c r="F155" s="392"/>
      <c r="G155" s="392"/>
      <c r="H155" s="392"/>
      <c r="I155" s="392"/>
      <c r="J155" s="392"/>
      <c r="K155" s="392"/>
      <c r="L155" s="392"/>
      <c r="M155" s="392"/>
      <c r="N155" s="392"/>
      <c r="O155" s="392"/>
      <c r="P155" s="392"/>
      <c r="Q155" s="392"/>
      <c r="R155" s="392"/>
      <c r="S155" s="393"/>
      <c r="U155" s="547"/>
      <c r="V155" s="175" t="s">
        <v>871</v>
      </c>
      <c r="W155" s="175">
        <v>2050</v>
      </c>
      <c r="X155" s="176" t="s">
        <v>497</v>
      </c>
      <c r="Y155" s="186">
        <f>'A renseigner'!E162</f>
        <v>0</v>
      </c>
      <c r="Z155" s="186">
        <f>'A renseigner'!F162</f>
        <v>0</v>
      </c>
      <c r="AA155" s="186">
        <f>'A renseigner'!G162</f>
        <v>0</v>
      </c>
      <c r="AB155" s="186">
        <f>'A renseigner'!H162</f>
        <v>0</v>
      </c>
      <c r="AC155" s="186">
        <f>'A renseigner'!I162</f>
        <v>0</v>
      </c>
      <c r="AD155" s="186">
        <f>'A renseigner'!J162</f>
        <v>0</v>
      </c>
      <c r="AE155" s="186">
        <f>'A renseigner'!K162</f>
        <v>0</v>
      </c>
      <c r="AF155" s="186">
        <f>'A renseigner'!L162</f>
        <v>0</v>
      </c>
      <c r="AG155" s="186">
        <f>'A renseigner'!M162</f>
        <v>0</v>
      </c>
      <c r="AH155" s="186">
        <f>'A renseigner'!N162</f>
        <v>0</v>
      </c>
      <c r="AI155" s="394">
        <f>'A renseigner'!O162</f>
        <v>1</v>
      </c>
      <c r="AJ155" s="186">
        <f>'A renseigner'!P162</f>
        <v>0</v>
      </c>
      <c r="AK155" s="186">
        <f>'A renseigner'!Q162</f>
        <v>0</v>
      </c>
      <c r="AL155" s="186">
        <f>'A renseigner'!R162</f>
        <v>0</v>
      </c>
      <c r="AM155" s="172">
        <f>'A renseigner'!S162</f>
        <v>1</v>
      </c>
      <c r="AN155" s="547"/>
      <c r="AP155" s="49"/>
    </row>
    <row r="156" spans="2:42" x14ac:dyDescent="0.3">
      <c r="B156" s="390"/>
      <c r="C156" s="390"/>
      <c r="D156" s="391"/>
      <c r="E156" s="392"/>
      <c r="F156" s="392"/>
      <c r="G156" s="392"/>
      <c r="H156" s="392"/>
      <c r="I156" s="392"/>
      <c r="J156" s="392"/>
      <c r="K156" s="392"/>
      <c r="L156" s="392"/>
      <c r="M156" s="392"/>
      <c r="N156" s="392"/>
      <c r="O156" s="392"/>
      <c r="P156" s="392"/>
      <c r="Q156" s="392"/>
      <c r="R156" s="392"/>
      <c r="S156" s="393"/>
      <c r="U156" s="547"/>
      <c r="AN156" s="547"/>
      <c r="AP156" s="49"/>
    </row>
    <row r="157" spans="2:42" x14ac:dyDescent="0.3">
      <c r="B157" s="390"/>
      <c r="C157" s="390"/>
      <c r="D157" s="391"/>
      <c r="E157" s="392"/>
      <c r="F157" s="392"/>
      <c r="G157" s="392"/>
      <c r="H157" s="392"/>
      <c r="I157" s="392"/>
      <c r="J157" s="392"/>
      <c r="K157" s="392"/>
      <c r="L157" s="392"/>
      <c r="M157" s="392"/>
      <c r="N157" s="392"/>
      <c r="O157" s="392"/>
      <c r="P157" s="392"/>
      <c r="Q157" s="392"/>
      <c r="R157" s="392"/>
      <c r="S157" s="393"/>
      <c r="AP157" s="49"/>
    </row>
    <row r="158" spans="2:42" x14ac:dyDescent="0.3">
      <c r="B158" s="390"/>
      <c r="C158" s="390"/>
      <c r="D158" s="391"/>
      <c r="E158" s="392"/>
      <c r="F158" s="392"/>
      <c r="G158" s="392"/>
      <c r="H158" s="392"/>
      <c r="I158" s="392"/>
      <c r="J158" s="392"/>
      <c r="K158" s="392"/>
      <c r="L158" s="392"/>
      <c r="M158" s="392"/>
      <c r="N158" s="392"/>
      <c r="O158" s="392"/>
      <c r="P158" s="392"/>
      <c r="Q158" s="392"/>
      <c r="R158" s="392"/>
      <c r="S158" s="393"/>
      <c r="AP158" s="49"/>
    </row>
    <row r="159" spans="2:42" x14ac:dyDescent="0.3">
      <c r="B159" s="390"/>
      <c r="C159" s="390"/>
      <c r="D159" s="391"/>
      <c r="E159" s="392"/>
      <c r="F159" s="392"/>
      <c r="G159" s="392"/>
      <c r="H159" s="392"/>
      <c r="I159" s="392"/>
      <c r="J159" s="392"/>
      <c r="K159" s="392"/>
      <c r="L159" s="392"/>
      <c r="M159" s="392"/>
      <c r="N159" s="392"/>
      <c r="O159" s="392"/>
      <c r="P159" s="392"/>
      <c r="Q159" s="392"/>
      <c r="R159" s="392"/>
      <c r="S159" s="393"/>
      <c r="AP159" s="49"/>
    </row>
    <row r="163" spans="2:42" x14ac:dyDescent="0.3">
      <c r="C163" s="678" t="s">
        <v>3</v>
      </c>
      <c r="D163" s="678"/>
      <c r="E163" s="678"/>
      <c r="F163" s="678"/>
      <c r="G163" s="678"/>
      <c r="H163" s="678"/>
      <c r="I163" s="678"/>
      <c r="J163" s="678"/>
      <c r="K163" s="678"/>
      <c r="L163" s="678"/>
      <c r="M163" s="678"/>
      <c r="N163" s="678"/>
      <c r="O163" s="678"/>
      <c r="P163" s="678"/>
      <c r="Q163" s="678"/>
      <c r="R163" s="678"/>
      <c r="S163" s="678"/>
      <c r="T163" s="678"/>
      <c r="U163" s="678"/>
      <c r="V163" s="678"/>
      <c r="W163" s="678"/>
      <c r="X163" s="678"/>
      <c r="Y163" s="678"/>
      <c r="Z163" s="678"/>
      <c r="AA163" s="678"/>
      <c r="AB163" s="678"/>
      <c r="AC163" s="678"/>
      <c r="AD163" s="678"/>
      <c r="AE163" s="678"/>
      <c r="AF163" s="678"/>
      <c r="AG163" s="678"/>
      <c r="AH163" s="678"/>
      <c r="AI163" s="678"/>
      <c r="AJ163" s="678"/>
      <c r="AK163" s="678"/>
      <c r="AL163" s="678"/>
      <c r="AM163" s="678"/>
    </row>
    <row r="165" spans="2:42" x14ac:dyDescent="0.3">
      <c r="C165" s="151" t="s">
        <v>435</v>
      </c>
      <c r="U165" s="151" t="s">
        <v>436</v>
      </c>
      <c r="V165" s="151"/>
      <c r="W165" s="151"/>
      <c r="X165" s="151"/>
      <c r="Y165" s="151"/>
      <c r="Z165" s="151"/>
      <c r="AA165" s="151"/>
      <c r="AB165" s="151"/>
      <c r="AC165" s="151"/>
      <c r="AD165" s="151"/>
      <c r="AE165" s="151"/>
      <c r="AF165" s="151"/>
      <c r="AG165" s="151"/>
      <c r="AH165" s="151"/>
      <c r="AI165" s="151"/>
      <c r="AJ165" s="151"/>
      <c r="AK165" s="151"/>
      <c r="AL165" s="151"/>
    </row>
    <row r="168" spans="2:42" ht="69.599999999999994" x14ac:dyDescent="0.3">
      <c r="C168" s="683" t="s">
        <v>494</v>
      </c>
      <c r="D168" s="683"/>
      <c r="E168" s="167" t="s">
        <v>438</v>
      </c>
      <c r="F168" s="167" t="s">
        <v>454</v>
      </c>
      <c r="G168" s="167" t="s">
        <v>440</v>
      </c>
      <c r="H168" s="167" t="s">
        <v>441</v>
      </c>
      <c r="I168" s="168" t="s">
        <v>450</v>
      </c>
      <c r="J168" s="168" t="s">
        <v>451</v>
      </c>
      <c r="K168" s="168" t="s">
        <v>452</v>
      </c>
      <c r="L168" s="168" t="s">
        <v>453</v>
      </c>
      <c r="M168" s="168" t="s">
        <v>443</v>
      </c>
      <c r="N168" s="168" t="s">
        <v>444</v>
      </c>
      <c r="O168" s="167" t="s">
        <v>495</v>
      </c>
      <c r="P168" s="167" t="s">
        <v>455</v>
      </c>
      <c r="Q168" s="167" t="s">
        <v>446</v>
      </c>
      <c r="R168" s="167" t="s">
        <v>447</v>
      </c>
      <c r="S168" s="167" t="s">
        <v>52</v>
      </c>
      <c r="V168" s="633" t="s">
        <v>494</v>
      </c>
      <c r="W168" s="633"/>
      <c r="X168" s="633"/>
      <c r="Y168" s="169" t="s">
        <v>438</v>
      </c>
      <c r="Z168" s="169" t="s">
        <v>454</v>
      </c>
      <c r="AA168" s="169" t="s">
        <v>440</v>
      </c>
      <c r="AB168" s="169" t="s">
        <v>496</v>
      </c>
      <c r="AC168" s="169" t="s">
        <v>450</v>
      </c>
      <c r="AD168" s="169" t="s">
        <v>451</v>
      </c>
      <c r="AE168" s="169" t="s">
        <v>452</v>
      </c>
      <c r="AF168" s="169" t="s">
        <v>453</v>
      </c>
      <c r="AG168" s="169" t="s">
        <v>443</v>
      </c>
      <c r="AH168" s="169" t="s">
        <v>444</v>
      </c>
      <c r="AI168" s="169" t="s">
        <v>495</v>
      </c>
      <c r="AJ168" s="169" t="s">
        <v>455</v>
      </c>
      <c r="AK168" s="169" t="s">
        <v>446</v>
      </c>
      <c r="AL168" s="169" t="s">
        <v>447</v>
      </c>
      <c r="AM168" s="169" t="s">
        <v>52</v>
      </c>
    </row>
    <row r="169" spans="2:42" x14ac:dyDescent="0.3">
      <c r="B169" s="170"/>
      <c r="C169" s="170" t="s">
        <v>24</v>
      </c>
      <c r="D169" s="170"/>
      <c r="E169" s="171"/>
      <c r="F169" s="171"/>
      <c r="G169" s="171"/>
      <c r="H169" s="171"/>
      <c r="I169" s="171"/>
      <c r="J169" s="171"/>
      <c r="K169" s="171"/>
      <c r="L169" s="171"/>
      <c r="M169" s="171"/>
      <c r="N169" s="171"/>
      <c r="O169" s="171"/>
      <c r="P169" s="171"/>
      <c r="Q169" s="171"/>
      <c r="R169" s="171"/>
      <c r="S169" s="172"/>
      <c r="U169" s="170"/>
      <c r="V169" s="634" t="s">
        <v>24</v>
      </c>
      <c r="W169" s="634"/>
      <c r="X169" s="634"/>
      <c r="Y169" s="171"/>
      <c r="Z169" s="171"/>
      <c r="AA169" s="171"/>
      <c r="AB169" s="171"/>
      <c r="AC169" s="171"/>
      <c r="AD169" s="171"/>
      <c r="AE169" s="171"/>
      <c r="AF169" s="171"/>
      <c r="AG169" s="171"/>
      <c r="AH169" s="171"/>
      <c r="AI169" s="192"/>
      <c r="AJ169" s="192"/>
      <c r="AK169" s="171"/>
      <c r="AL169" s="171"/>
      <c r="AM169" s="172"/>
      <c r="AO169" s="49"/>
    </row>
    <row r="170" spans="2:42" x14ac:dyDescent="0.3">
      <c r="B170" s="175">
        <v>2019</v>
      </c>
      <c r="C170" s="175" t="s">
        <v>460</v>
      </c>
      <c r="D170" s="176" t="s">
        <v>497</v>
      </c>
      <c r="E170" s="177">
        <v>0.480388367208748</v>
      </c>
      <c r="F170" s="177"/>
      <c r="G170" s="177">
        <v>3.9953763037986296E-3</v>
      </c>
      <c r="H170" s="177">
        <v>0.28681843011004698</v>
      </c>
      <c r="I170" s="177">
        <v>0</v>
      </c>
      <c r="J170" s="177">
        <v>0</v>
      </c>
      <c r="K170" s="177">
        <v>0</v>
      </c>
      <c r="L170" s="177">
        <v>0</v>
      </c>
      <c r="M170" s="177">
        <v>0</v>
      </c>
      <c r="N170" s="177">
        <v>0</v>
      </c>
      <c r="O170" s="177">
        <v>0.22597022364698899</v>
      </c>
      <c r="P170" s="177">
        <v>0</v>
      </c>
      <c r="Q170" s="177">
        <v>2.1191701877419102E-3</v>
      </c>
      <c r="R170" s="177">
        <v>0</v>
      </c>
      <c r="S170" s="178">
        <f>SUM(E170:R170)</f>
        <v>0.99929156745732439</v>
      </c>
      <c r="U170" s="175">
        <v>2019</v>
      </c>
      <c r="V170" s="175" t="s">
        <v>460</v>
      </c>
      <c r="W170" s="175">
        <v>2019</v>
      </c>
      <c r="X170" s="176" t="s">
        <v>497</v>
      </c>
      <c r="Y170" s="186">
        <f t="shared" ref="Y170:AH170" si="1">INDEX(X$40:X$64,MATCH($V170,$V$40:$V$64,0))/INDEX($AL$40:$AL$64,MATCH($V170,$V$40:$V$64,0))</f>
        <v>0.59926162107736192</v>
      </c>
      <c r="Z170" s="186">
        <f t="shared" si="1"/>
        <v>0.40073837892263797</v>
      </c>
      <c r="AA170" s="186">
        <f t="shared" si="1"/>
        <v>0</v>
      </c>
      <c r="AB170" s="186">
        <f t="shared" si="1"/>
        <v>0</v>
      </c>
      <c r="AC170" s="186">
        <f t="shared" si="1"/>
        <v>0</v>
      </c>
      <c r="AD170" s="186">
        <f t="shared" si="1"/>
        <v>0</v>
      </c>
      <c r="AE170" s="186">
        <f t="shared" si="1"/>
        <v>0</v>
      </c>
      <c r="AF170" s="186">
        <f t="shared" si="1"/>
        <v>0</v>
      </c>
      <c r="AG170" s="186">
        <f t="shared" si="1"/>
        <v>0</v>
      </c>
      <c r="AH170" s="186">
        <f t="shared" si="1"/>
        <v>0</v>
      </c>
      <c r="AI170" s="186">
        <v>0</v>
      </c>
      <c r="AJ170" s="186">
        <f>INDEX(AI$40:AI$64,MATCH($V170,$V$40:$V$64,0))/INDEX($AL$40:$AL$64,MATCH($V170,$V$40:$V$64,0))</f>
        <v>0</v>
      </c>
      <c r="AK170" s="186">
        <f>INDEX(AJ$40:AJ$64,MATCH($V170,$V$40:$V$64,0))/INDEX($AL$40:$AL$64,MATCH($V170,$V$40:$V$64,0))</f>
        <v>0</v>
      </c>
      <c r="AL170" s="186">
        <f>INDEX(AK$40:AK$64,MATCH($V170,$V$40:$V$64,0))/INDEX($AL$40:$AL$64,MATCH($V170,$V$40:$V$64,0))</f>
        <v>0</v>
      </c>
      <c r="AM170" s="172">
        <f>INDEX(AL$40:AL$64,MATCH($V170,$V$40:$V$64,0))/INDEX($AL$40:$AL$64,MATCH($V170,$V$40:$V$64,0))</f>
        <v>1</v>
      </c>
      <c r="AO170" s="49" t="s">
        <v>524</v>
      </c>
    </row>
    <row r="171" spans="2:42" x14ac:dyDescent="0.3">
      <c r="B171" s="175">
        <v>2025</v>
      </c>
      <c r="C171" s="175" t="s">
        <v>460</v>
      </c>
      <c r="D171" s="176" t="s">
        <v>497</v>
      </c>
      <c r="E171" s="177">
        <v>0.48043184302947001</v>
      </c>
      <c r="F171" s="177">
        <v>0</v>
      </c>
      <c r="G171" s="177">
        <v>4.4107272440989404E-3</v>
      </c>
      <c r="H171" s="177">
        <v>0.28564589346437302</v>
      </c>
      <c r="I171" s="177">
        <v>0</v>
      </c>
      <c r="J171" s="177">
        <v>0</v>
      </c>
      <c r="K171" s="177">
        <v>0</v>
      </c>
      <c r="L171" s="177">
        <v>0</v>
      </c>
      <c r="M171" s="177">
        <v>0</v>
      </c>
      <c r="N171" s="177">
        <v>0</v>
      </c>
      <c r="O171" s="177">
        <v>0.22684596106482199</v>
      </c>
      <c r="P171" s="177">
        <v>0</v>
      </c>
      <c r="Q171" s="177">
        <v>2.6956628466980599E-3</v>
      </c>
      <c r="R171" s="177">
        <v>0</v>
      </c>
      <c r="S171" s="178">
        <f>SUM(E171:R171)</f>
        <v>1.0000300876494621</v>
      </c>
      <c r="U171" s="175">
        <v>2025</v>
      </c>
      <c r="V171" s="175" t="s">
        <v>460</v>
      </c>
      <c r="W171" s="175">
        <v>2025</v>
      </c>
      <c r="X171" s="176" t="s">
        <v>497</v>
      </c>
      <c r="Y171" s="186">
        <f>Y170</f>
        <v>0.59926162107736192</v>
      </c>
      <c r="Z171" s="186">
        <f>Z170</f>
        <v>0.40073837892263797</v>
      </c>
      <c r="AA171" s="186">
        <f>+G171</f>
        <v>4.4107272440989404E-3</v>
      </c>
      <c r="AB171" s="186">
        <f>AB170</f>
        <v>0</v>
      </c>
      <c r="AC171" s="186">
        <f t="shared" ref="AC171:AH172" si="2">+I171</f>
        <v>0</v>
      </c>
      <c r="AD171" s="186">
        <f t="shared" si="2"/>
        <v>0</v>
      </c>
      <c r="AE171" s="186">
        <f t="shared" si="2"/>
        <v>0</v>
      </c>
      <c r="AF171" s="186">
        <f t="shared" si="2"/>
        <v>0</v>
      </c>
      <c r="AG171" s="186">
        <f t="shared" si="2"/>
        <v>0</v>
      </c>
      <c r="AH171" s="186">
        <f t="shared" si="2"/>
        <v>0</v>
      </c>
      <c r="AI171" s="186">
        <v>0</v>
      </c>
      <c r="AJ171" s="186">
        <f>+P171</f>
        <v>0</v>
      </c>
      <c r="AK171" s="186">
        <f>+Q171</f>
        <v>2.6956628466980599E-3</v>
      </c>
      <c r="AL171" s="186">
        <f>+R171</f>
        <v>0</v>
      </c>
      <c r="AM171" s="172">
        <f>INDEX(AL$40:AL$64,MATCH($V171,$V$40:$V$64,0))/INDEX($AL$40:$AL$64,MATCH($V171,$V$40:$V$64,0))</f>
        <v>1</v>
      </c>
      <c r="AO171" s="49"/>
    </row>
    <row r="172" spans="2:42" x14ac:dyDescent="0.3">
      <c r="B172" s="175">
        <v>2050</v>
      </c>
      <c r="C172" s="175" t="s">
        <v>460</v>
      </c>
      <c r="D172" s="176" t="s">
        <v>497</v>
      </c>
      <c r="E172" s="177">
        <v>0.29818412658464</v>
      </c>
      <c r="F172" s="177">
        <v>0</v>
      </c>
      <c r="G172" s="177">
        <v>0</v>
      </c>
      <c r="H172" s="177">
        <v>0.32</v>
      </c>
      <c r="I172" s="177">
        <v>0</v>
      </c>
      <c r="J172" s="177">
        <v>0</v>
      </c>
      <c r="K172" s="177">
        <v>0</v>
      </c>
      <c r="L172" s="177">
        <v>0</v>
      </c>
      <c r="M172" s="177">
        <v>0</v>
      </c>
      <c r="N172" s="177">
        <v>0</v>
      </c>
      <c r="O172" s="177">
        <v>0.27684596106482201</v>
      </c>
      <c r="P172" s="177">
        <v>0</v>
      </c>
      <c r="Q172" s="177">
        <v>0</v>
      </c>
      <c r="R172" s="177">
        <v>0.104969912379538</v>
      </c>
      <c r="S172" s="178">
        <f>SUM(E172:R172)</f>
        <v>1.0000000000289999</v>
      </c>
      <c r="U172" s="175">
        <v>2050</v>
      </c>
      <c r="V172" s="175" t="s">
        <v>460</v>
      </c>
      <c r="W172" s="175">
        <v>2050</v>
      </c>
      <c r="X172" s="176" t="s">
        <v>497</v>
      </c>
      <c r="Y172" s="186">
        <f>Y171</f>
        <v>0.59926162107736192</v>
      </c>
      <c r="Z172" s="186">
        <f>Z171</f>
        <v>0.40073837892263797</v>
      </c>
      <c r="AA172" s="186">
        <f>+G172</f>
        <v>0</v>
      </c>
      <c r="AB172" s="186">
        <f>AB171</f>
        <v>0</v>
      </c>
      <c r="AC172" s="186">
        <f t="shared" si="2"/>
        <v>0</v>
      </c>
      <c r="AD172" s="186">
        <f t="shared" si="2"/>
        <v>0</v>
      </c>
      <c r="AE172" s="186">
        <f t="shared" si="2"/>
        <v>0</v>
      </c>
      <c r="AF172" s="186">
        <f t="shared" si="2"/>
        <v>0</v>
      </c>
      <c r="AG172" s="186">
        <f t="shared" si="2"/>
        <v>0</v>
      </c>
      <c r="AH172" s="186">
        <f t="shared" si="2"/>
        <v>0</v>
      </c>
      <c r="AI172" s="186">
        <v>0</v>
      </c>
      <c r="AJ172" s="186">
        <f>+P172</f>
        <v>0</v>
      </c>
      <c r="AK172" s="186">
        <f>+Q172</f>
        <v>0</v>
      </c>
      <c r="AL172" s="186">
        <v>0</v>
      </c>
      <c r="AM172" s="172">
        <f>SUM(Y172:AL172)</f>
        <v>0.99999999999999989</v>
      </c>
      <c r="AO172" s="49"/>
      <c r="AP172" s="179"/>
    </row>
    <row r="173" spans="2:42" x14ac:dyDescent="0.3">
      <c r="B173" s="180"/>
      <c r="C173" s="180"/>
      <c r="D173" s="181"/>
      <c r="E173" s="182"/>
      <c r="F173" s="182"/>
      <c r="G173" s="182"/>
      <c r="H173" s="182"/>
      <c r="I173" s="182"/>
      <c r="J173" s="182"/>
      <c r="K173" s="182"/>
      <c r="L173" s="182"/>
      <c r="M173" s="182"/>
      <c r="N173" s="182"/>
      <c r="O173" s="182"/>
      <c r="P173" s="182"/>
      <c r="Q173" s="182"/>
      <c r="R173" s="182"/>
      <c r="S173" s="183"/>
      <c r="U173" s="180"/>
      <c r="V173" s="180"/>
      <c r="W173" s="180"/>
      <c r="X173" s="181"/>
      <c r="Y173" s="184"/>
      <c r="Z173" s="184"/>
      <c r="AA173" s="184"/>
      <c r="AB173" s="184"/>
      <c r="AC173" s="184"/>
      <c r="AD173" s="184"/>
      <c r="AE173" s="184"/>
      <c r="AF173" s="184"/>
      <c r="AG173" s="184"/>
      <c r="AH173" s="184"/>
      <c r="AI173" s="184"/>
      <c r="AJ173" s="184"/>
      <c r="AK173" s="184"/>
      <c r="AL173" s="184"/>
      <c r="AM173" s="185"/>
      <c r="AO173" s="49"/>
    </row>
    <row r="174" spans="2:42" x14ac:dyDescent="0.3">
      <c r="B174" s="175">
        <v>2019</v>
      </c>
      <c r="C174" s="175" t="s">
        <v>463</v>
      </c>
      <c r="D174" s="176" t="s">
        <v>497</v>
      </c>
      <c r="E174" s="177">
        <v>3.5000000000000003E-2</v>
      </c>
      <c r="F174" s="177"/>
      <c r="G174" s="177">
        <v>0.02</v>
      </c>
      <c r="H174" s="177">
        <v>0.191</v>
      </c>
      <c r="I174" s="177">
        <v>2.9000000000000001E-2</v>
      </c>
      <c r="J174" s="177">
        <v>0</v>
      </c>
      <c r="K174" s="177">
        <v>0</v>
      </c>
      <c r="L174" s="177">
        <v>0</v>
      </c>
      <c r="M174" s="177">
        <v>0</v>
      </c>
      <c r="N174" s="177">
        <v>0</v>
      </c>
      <c r="O174" s="177">
        <v>0.72499999999999998</v>
      </c>
      <c r="P174" s="177">
        <v>0</v>
      </c>
      <c r="Q174" s="177">
        <v>0</v>
      </c>
      <c r="R174" s="177">
        <v>0</v>
      </c>
      <c r="S174" s="178">
        <f>SUM(E174:R174)</f>
        <v>1</v>
      </c>
      <c r="U174" s="175">
        <v>2019</v>
      </c>
      <c r="V174" s="175" t="s">
        <v>463</v>
      </c>
      <c r="W174" s="175">
        <v>2019</v>
      </c>
      <c r="X174" s="176" t="s">
        <v>497</v>
      </c>
      <c r="Y174" s="186">
        <f t="shared" ref="Y174:AM174" si="3">INDEX(X$40:X$64,MATCH($V174,$V$40:$V$64,0))/INDEX($AL$40:$AL$64,MATCH($V174,$V$40:$V$64,0))</f>
        <v>3.5000000000000003E-2</v>
      </c>
      <c r="Z174" s="186">
        <f t="shared" si="3"/>
        <v>0</v>
      </c>
      <c r="AA174" s="186">
        <f t="shared" si="3"/>
        <v>0.02</v>
      </c>
      <c r="AB174" s="186">
        <f t="shared" si="3"/>
        <v>0.22</v>
      </c>
      <c r="AC174" s="186">
        <f t="shared" si="3"/>
        <v>0</v>
      </c>
      <c r="AD174" s="186">
        <f t="shared" si="3"/>
        <v>0</v>
      </c>
      <c r="AE174" s="186">
        <f t="shared" si="3"/>
        <v>0</v>
      </c>
      <c r="AF174" s="186">
        <f t="shared" si="3"/>
        <v>0</v>
      </c>
      <c r="AG174" s="186">
        <f t="shared" si="3"/>
        <v>0</v>
      </c>
      <c r="AH174" s="186">
        <f t="shared" si="3"/>
        <v>0</v>
      </c>
      <c r="AI174" s="186">
        <f t="shared" si="3"/>
        <v>0.72499999999999998</v>
      </c>
      <c r="AJ174" s="186">
        <f t="shared" si="3"/>
        <v>0</v>
      </c>
      <c r="AK174" s="186">
        <f t="shared" si="3"/>
        <v>0</v>
      </c>
      <c r="AL174" s="186">
        <f t="shared" si="3"/>
        <v>0</v>
      </c>
      <c r="AM174" s="172">
        <f t="shared" si="3"/>
        <v>1</v>
      </c>
      <c r="AN174" s="3"/>
      <c r="AO174" s="49" t="s">
        <v>525</v>
      </c>
    </row>
    <row r="175" spans="2:42" x14ac:dyDescent="0.3">
      <c r="B175" s="175">
        <v>2025</v>
      </c>
      <c r="C175" s="175" t="s">
        <v>463</v>
      </c>
      <c r="D175" s="176" t="s">
        <v>497</v>
      </c>
      <c r="E175" s="177">
        <v>3.5000000000000003E-2</v>
      </c>
      <c r="F175" s="177">
        <v>0</v>
      </c>
      <c r="G175" s="177">
        <v>0.02</v>
      </c>
      <c r="H175" s="177">
        <v>0.191</v>
      </c>
      <c r="I175" s="177">
        <v>2.9000000000000001E-2</v>
      </c>
      <c r="J175" s="177">
        <v>0</v>
      </c>
      <c r="K175" s="177">
        <v>0</v>
      </c>
      <c r="L175" s="177">
        <v>0</v>
      </c>
      <c r="M175" s="177">
        <v>0</v>
      </c>
      <c r="N175" s="177">
        <v>0</v>
      </c>
      <c r="O175" s="177">
        <v>0.72499999999999998</v>
      </c>
      <c r="P175" s="177">
        <v>0</v>
      </c>
      <c r="Q175" s="177">
        <v>0</v>
      </c>
      <c r="R175" s="177">
        <v>0</v>
      </c>
      <c r="S175" s="178">
        <f>SUM(E175:R175)</f>
        <v>1</v>
      </c>
      <c r="U175" s="175">
        <v>2025</v>
      </c>
      <c r="V175" s="175" t="s">
        <v>463</v>
      </c>
      <c r="W175" s="175">
        <v>2025</v>
      </c>
      <c r="X175" s="176" t="s">
        <v>497</v>
      </c>
      <c r="Y175" s="186">
        <f>+E175</f>
        <v>3.5000000000000003E-2</v>
      </c>
      <c r="Z175" s="186">
        <f>+F175</f>
        <v>0</v>
      </c>
      <c r="AA175" s="186">
        <f>+G175</f>
        <v>0.02</v>
      </c>
      <c r="AB175" s="186">
        <f>+AB174</f>
        <v>0.22</v>
      </c>
      <c r="AC175" s="186">
        <v>0</v>
      </c>
      <c r="AD175" s="186">
        <f t="shared" ref="AD175:AL175" si="4">+J175</f>
        <v>0</v>
      </c>
      <c r="AE175" s="186">
        <f t="shared" si="4"/>
        <v>0</v>
      </c>
      <c r="AF175" s="186">
        <f t="shared" si="4"/>
        <v>0</v>
      </c>
      <c r="AG175" s="186">
        <f t="shared" si="4"/>
        <v>0</v>
      </c>
      <c r="AH175" s="186">
        <f t="shared" si="4"/>
        <v>0</v>
      </c>
      <c r="AI175" s="186">
        <f t="shared" si="4"/>
        <v>0.72499999999999998</v>
      </c>
      <c r="AJ175" s="186">
        <f t="shared" si="4"/>
        <v>0</v>
      </c>
      <c r="AK175" s="186">
        <f t="shared" si="4"/>
        <v>0</v>
      </c>
      <c r="AL175" s="186">
        <f t="shared" si="4"/>
        <v>0</v>
      </c>
      <c r="AM175" s="172">
        <f>SUM(Y175:AL175)</f>
        <v>1</v>
      </c>
      <c r="AN175" s="3"/>
      <c r="AO175" s="49"/>
    </row>
    <row r="176" spans="2:42" x14ac:dyDescent="0.3">
      <c r="B176" s="175">
        <v>2050</v>
      </c>
      <c r="C176" s="175" t="s">
        <v>463</v>
      </c>
      <c r="D176" s="176" t="s">
        <v>497</v>
      </c>
      <c r="E176" s="177">
        <v>1.4999999999999999E-2</v>
      </c>
      <c r="F176" s="177">
        <v>0</v>
      </c>
      <c r="G176" s="177">
        <v>0.02</v>
      </c>
      <c r="H176" s="177">
        <v>0.21099999999999999</v>
      </c>
      <c r="I176" s="177">
        <v>2.9000000000000001E-2</v>
      </c>
      <c r="J176" s="177">
        <v>0</v>
      </c>
      <c r="K176" s="177">
        <v>0</v>
      </c>
      <c r="L176" s="177">
        <v>0</v>
      </c>
      <c r="M176" s="177">
        <v>0</v>
      </c>
      <c r="N176" s="177">
        <v>0</v>
      </c>
      <c r="O176" s="177">
        <v>0.72499999999999998</v>
      </c>
      <c r="P176" s="177">
        <v>0</v>
      </c>
      <c r="Q176" s="177">
        <v>0</v>
      </c>
      <c r="R176" s="177">
        <v>0</v>
      </c>
      <c r="S176" s="178">
        <f>SUM(E176:R176)</f>
        <v>1</v>
      </c>
      <c r="U176" s="175">
        <v>2050</v>
      </c>
      <c r="V176" s="175" t="s">
        <v>463</v>
      </c>
      <c r="W176" s="175">
        <v>2050</v>
      </c>
      <c r="X176" s="176" t="s">
        <v>497</v>
      </c>
      <c r="Y176" s="186">
        <v>0</v>
      </c>
      <c r="Z176" s="186">
        <f>+F176</f>
        <v>0</v>
      </c>
      <c r="AA176" s="186">
        <f>+G176</f>
        <v>0.02</v>
      </c>
      <c r="AB176" s="186">
        <f>+AB175+1%</f>
        <v>0.23</v>
      </c>
      <c r="AC176" s="186">
        <v>0.02</v>
      </c>
      <c r="AD176" s="186">
        <f>+J176</f>
        <v>0</v>
      </c>
      <c r="AE176" s="186">
        <f>+K176</f>
        <v>0</v>
      </c>
      <c r="AF176" s="186">
        <f>+L176</f>
        <v>0</v>
      </c>
      <c r="AG176" s="186">
        <f>+M176</f>
        <v>0</v>
      </c>
      <c r="AH176" s="186">
        <f>+N176</f>
        <v>0</v>
      </c>
      <c r="AI176" s="186">
        <v>0.73</v>
      </c>
      <c r="AJ176" s="186">
        <f>+P176</f>
        <v>0</v>
      </c>
      <c r="AK176" s="186">
        <f>+Q176</f>
        <v>0</v>
      </c>
      <c r="AL176" s="186">
        <f>+R176</f>
        <v>0</v>
      </c>
      <c r="AM176" s="172">
        <f>SUM(Y176:AL176)</f>
        <v>1</v>
      </c>
      <c r="AO176" s="49"/>
    </row>
    <row r="177" spans="2:41" x14ac:dyDescent="0.3">
      <c r="B177" s="180"/>
      <c r="C177" s="180"/>
      <c r="D177" s="181"/>
      <c r="E177" s="182"/>
      <c r="F177" s="182"/>
      <c r="G177" s="182"/>
      <c r="H177" s="182"/>
      <c r="I177" s="182"/>
      <c r="J177" s="182"/>
      <c r="K177" s="182"/>
      <c r="L177" s="182"/>
      <c r="M177" s="182"/>
      <c r="N177" s="182"/>
      <c r="O177" s="182"/>
      <c r="P177" s="182"/>
      <c r="Q177" s="182"/>
      <c r="R177" s="182"/>
      <c r="S177" s="183"/>
      <c r="U177" s="180"/>
      <c r="V177" s="180"/>
      <c r="W177" s="180"/>
      <c r="X177" s="181"/>
      <c r="Y177" s="184"/>
      <c r="Z177" s="184"/>
      <c r="AA177" s="184"/>
      <c r="AB177" s="184"/>
      <c r="AC177" s="184"/>
      <c r="AD177" s="184"/>
      <c r="AE177" s="184"/>
      <c r="AF177" s="184"/>
      <c r="AG177" s="184"/>
      <c r="AH177" s="184"/>
      <c r="AI177" s="184"/>
      <c r="AJ177" s="184"/>
      <c r="AK177" s="184"/>
      <c r="AL177" s="184"/>
      <c r="AM177" s="185"/>
      <c r="AO177" s="49"/>
    </row>
    <row r="178" spans="2:41" x14ac:dyDescent="0.3">
      <c r="B178" s="175">
        <v>2019</v>
      </c>
      <c r="C178" s="175" t="s">
        <v>465</v>
      </c>
      <c r="D178" s="176" t="s">
        <v>497</v>
      </c>
      <c r="E178" s="177">
        <v>0</v>
      </c>
      <c r="F178" s="177"/>
      <c r="G178" s="177">
        <v>0</v>
      </c>
      <c r="H178" s="177">
        <v>0.15207756232687</v>
      </c>
      <c r="I178" s="177">
        <v>0</v>
      </c>
      <c r="J178" s="177">
        <v>0</v>
      </c>
      <c r="K178" s="177">
        <v>0</v>
      </c>
      <c r="L178" s="177">
        <v>0</v>
      </c>
      <c r="M178" s="177">
        <v>0</v>
      </c>
      <c r="N178" s="177">
        <v>0</v>
      </c>
      <c r="O178" s="177">
        <v>0.13767313019390601</v>
      </c>
      <c r="P178" s="177">
        <v>0</v>
      </c>
      <c r="Q178" s="177">
        <v>0</v>
      </c>
      <c r="R178" s="177">
        <v>0.71024930747922399</v>
      </c>
      <c r="S178" s="178">
        <f>SUM(E178:R178)</f>
        <v>1</v>
      </c>
      <c r="U178" s="175">
        <v>2019</v>
      </c>
      <c r="V178" s="175" t="s">
        <v>465</v>
      </c>
      <c r="W178" s="175">
        <v>2019</v>
      </c>
      <c r="X178" s="176" t="s">
        <v>497</v>
      </c>
      <c r="Y178" s="186"/>
      <c r="Z178" s="186"/>
      <c r="AA178" s="186"/>
      <c r="AB178" s="186"/>
      <c r="AC178" s="186"/>
      <c r="AD178" s="186"/>
      <c r="AE178" s="186"/>
      <c r="AF178" s="186"/>
      <c r="AG178" s="186"/>
      <c r="AH178" s="186"/>
      <c r="AI178" s="186"/>
      <c r="AJ178" s="186"/>
      <c r="AK178" s="186"/>
      <c r="AL178" s="186"/>
      <c r="AM178" s="172"/>
      <c r="AO178" s="49"/>
    </row>
    <row r="179" spans="2:41" x14ac:dyDescent="0.3">
      <c r="B179" s="175">
        <v>2025</v>
      </c>
      <c r="C179" s="175" t="s">
        <v>465</v>
      </c>
      <c r="D179" s="176" t="s">
        <v>497</v>
      </c>
      <c r="E179" s="177">
        <v>0</v>
      </c>
      <c r="F179" s="177">
        <v>0</v>
      </c>
      <c r="G179" s="177">
        <v>0</v>
      </c>
      <c r="H179" s="177">
        <v>0.15207756232687</v>
      </c>
      <c r="I179" s="177">
        <v>0</v>
      </c>
      <c r="J179" s="177">
        <v>0</v>
      </c>
      <c r="K179" s="177">
        <v>0</v>
      </c>
      <c r="L179" s="177">
        <v>0</v>
      </c>
      <c r="M179" s="177">
        <v>0</v>
      </c>
      <c r="N179" s="177">
        <v>0</v>
      </c>
      <c r="O179" s="177">
        <v>0.13767313019390601</v>
      </c>
      <c r="P179" s="177">
        <v>0</v>
      </c>
      <c r="Q179" s="177">
        <v>0</v>
      </c>
      <c r="R179" s="177">
        <v>0.71024930747922399</v>
      </c>
      <c r="S179" s="178">
        <f>SUM(E179:R179)</f>
        <v>1</v>
      </c>
      <c r="U179" s="175">
        <v>2025</v>
      </c>
      <c r="V179" s="175" t="s">
        <v>465</v>
      </c>
      <c r="W179" s="175">
        <v>2025</v>
      </c>
      <c r="X179" s="176" t="s">
        <v>497</v>
      </c>
      <c r="Y179" s="186"/>
      <c r="Z179" s="186"/>
      <c r="AA179" s="186"/>
      <c r="AB179" s="186"/>
      <c r="AC179" s="186"/>
      <c r="AD179" s="186"/>
      <c r="AE179" s="186"/>
      <c r="AF179" s="186"/>
      <c r="AG179" s="186"/>
      <c r="AH179" s="186"/>
      <c r="AI179" s="186"/>
      <c r="AJ179" s="186"/>
      <c r="AK179" s="186"/>
      <c r="AL179" s="186"/>
      <c r="AM179" s="172"/>
      <c r="AO179" s="49"/>
    </row>
    <row r="180" spans="2:41" x14ac:dyDescent="0.3">
      <c r="B180" s="175">
        <v>2050</v>
      </c>
      <c r="C180" s="175" t="s">
        <v>465</v>
      </c>
      <c r="D180" s="176" t="s">
        <v>497</v>
      </c>
      <c r="E180" s="177">
        <v>0</v>
      </c>
      <c r="F180" s="177">
        <v>0</v>
      </c>
      <c r="G180" s="177">
        <v>0</v>
      </c>
      <c r="H180" s="177">
        <v>0.15207756232687</v>
      </c>
      <c r="I180" s="177">
        <v>0</v>
      </c>
      <c r="J180" s="177">
        <v>0</v>
      </c>
      <c r="K180" s="177">
        <v>0</v>
      </c>
      <c r="L180" s="177">
        <v>0</v>
      </c>
      <c r="M180" s="177">
        <v>0</v>
      </c>
      <c r="N180" s="177">
        <v>0</v>
      </c>
      <c r="O180" s="177">
        <v>0.13767313019390601</v>
      </c>
      <c r="P180" s="177">
        <v>0</v>
      </c>
      <c r="Q180" s="177">
        <v>0</v>
      </c>
      <c r="R180" s="177">
        <v>0.71024930747922399</v>
      </c>
      <c r="S180" s="178">
        <f>SUM(E180:R180)</f>
        <v>1</v>
      </c>
      <c r="U180" s="175">
        <v>2050</v>
      </c>
      <c r="V180" s="175" t="s">
        <v>465</v>
      </c>
      <c r="W180" s="175">
        <v>2050</v>
      </c>
      <c r="X180" s="176" t="s">
        <v>497</v>
      </c>
      <c r="Y180" s="186"/>
      <c r="Z180" s="186"/>
      <c r="AA180" s="186"/>
      <c r="AB180" s="186"/>
      <c r="AC180" s="186"/>
      <c r="AD180" s="186"/>
      <c r="AE180" s="186"/>
      <c r="AF180" s="186"/>
      <c r="AG180" s="186"/>
      <c r="AH180" s="186"/>
      <c r="AI180" s="186"/>
      <c r="AJ180" s="186"/>
      <c r="AK180" s="186"/>
      <c r="AL180" s="186"/>
      <c r="AM180" s="172"/>
      <c r="AO180" s="49"/>
    </row>
    <row r="181" spans="2:41" x14ac:dyDescent="0.3">
      <c r="B181" s="180"/>
      <c r="C181" s="180"/>
      <c r="D181" s="181"/>
      <c r="E181" s="182"/>
      <c r="F181" s="182"/>
      <c r="G181" s="182"/>
      <c r="H181" s="182"/>
      <c r="I181" s="182"/>
      <c r="J181" s="182"/>
      <c r="K181" s="182"/>
      <c r="L181" s="182"/>
      <c r="M181" s="182"/>
      <c r="N181" s="182"/>
      <c r="O181" s="182"/>
      <c r="P181" s="182"/>
      <c r="Q181" s="182"/>
      <c r="R181" s="182"/>
      <c r="S181" s="183"/>
      <c r="U181" s="180"/>
      <c r="V181" s="180"/>
      <c r="W181" s="180"/>
      <c r="X181" s="181"/>
      <c r="Y181" s="184"/>
      <c r="Z181" s="184"/>
      <c r="AA181" s="184"/>
      <c r="AB181" s="184"/>
      <c r="AC181" s="184"/>
      <c r="AD181" s="184"/>
      <c r="AE181" s="184"/>
      <c r="AF181" s="184"/>
      <c r="AG181" s="184"/>
      <c r="AH181" s="184"/>
      <c r="AI181" s="184"/>
      <c r="AJ181" s="184"/>
      <c r="AK181" s="184"/>
      <c r="AL181" s="184"/>
      <c r="AM181" s="185"/>
      <c r="AO181" s="49"/>
    </row>
    <row r="182" spans="2:41" x14ac:dyDescent="0.3">
      <c r="B182" s="175">
        <v>2019</v>
      </c>
      <c r="C182" s="175" t="s">
        <v>503</v>
      </c>
      <c r="D182" s="176"/>
      <c r="E182" s="177">
        <v>0</v>
      </c>
      <c r="F182" s="177"/>
      <c r="G182" s="177">
        <v>0</v>
      </c>
      <c r="H182" s="177">
        <v>0</v>
      </c>
      <c r="I182" s="177">
        <v>0</v>
      </c>
      <c r="J182" s="177">
        <v>0</v>
      </c>
      <c r="K182" s="177">
        <v>0</v>
      </c>
      <c r="L182" s="177">
        <v>0</v>
      </c>
      <c r="M182" s="177">
        <v>0</v>
      </c>
      <c r="N182" s="177">
        <v>0</v>
      </c>
      <c r="O182" s="177">
        <v>0</v>
      </c>
      <c r="P182" s="177">
        <v>0</v>
      </c>
      <c r="Q182" s="177">
        <v>0</v>
      </c>
      <c r="R182" s="177">
        <v>0</v>
      </c>
      <c r="S182" s="178"/>
      <c r="U182" s="175">
        <v>2019</v>
      </c>
      <c r="V182" s="175" t="s">
        <v>466</v>
      </c>
      <c r="W182" s="175">
        <v>2019</v>
      </c>
      <c r="X182" s="176"/>
      <c r="Y182" s="186">
        <f t="shared" ref="Y182:AL182" si="5">INDEX(X$40:X$64,MATCH($V182,$V$40:$V$64,0))/INDEX($AL$40:$AL$64,MATCH($V182,$V$40:$V$64,0))</f>
        <v>5.1378862867308035E-2</v>
      </c>
      <c r="Z182" s="186">
        <f t="shared" si="5"/>
        <v>2.8814188170211804E-2</v>
      </c>
      <c r="AA182" s="186">
        <f t="shared" si="5"/>
        <v>8.4139055839584937E-3</v>
      </c>
      <c r="AB182" s="186">
        <f t="shared" si="5"/>
        <v>0.43763063576671102</v>
      </c>
      <c r="AC182" s="186">
        <f t="shared" si="5"/>
        <v>0</v>
      </c>
      <c r="AD182" s="186">
        <f t="shared" si="5"/>
        <v>0</v>
      </c>
      <c r="AE182" s="186">
        <f t="shared" si="5"/>
        <v>0</v>
      </c>
      <c r="AF182" s="186">
        <f t="shared" si="5"/>
        <v>0</v>
      </c>
      <c r="AG182" s="186">
        <f t="shared" si="5"/>
        <v>0</v>
      </c>
      <c r="AH182" s="186">
        <f t="shared" si="5"/>
        <v>0</v>
      </c>
      <c r="AI182" s="186">
        <f t="shared" si="5"/>
        <v>0.46695970689366384</v>
      </c>
      <c r="AJ182" s="186">
        <f t="shared" si="5"/>
        <v>0</v>
      </c>
      <c r="AK182" s="186">
        <f t="shared" si="5"/>
        <v>6.8027007181468303E-3</v>
      </c>
      <c r="AL182" s="186">
        <f t="shared" si="5"/>
        <v>0</v>
      </c>
      <c r="AM182" s="172">
        <f>SUM(Y182:AL182)</f>
        <v>1</v>
      </c>
      <c r="AO182" s="49" t="s">
        <v>524</v>
      </c>
    </row>
    <row r="183" spans="2:41" x14ac:dyDescent="0.3">
      <c r="B183" s="175">
        <v>2025</v>
      </c>
      <c r="C183" s="175" t="s">
        <v>503</v>
      </c>
      <c r="D183" s="176"/>
      <c r="E183" s="177" t="e">
        <f>#N/A</f>
        <v>#N/A</v>
      </c>
      <c r="F183" s="177" t="e">
        <f>#N/A</f>
        <v>#N/A</v>
      </c>
      <c r="G183" s="177" t="e">
        <f>#N/A</f>
        <v>#N/A</v>
      </c>
      <c r="H183" s="177" t="e">
        <f>#N/A</f>
        <v>#N/A</v>
      </c>
      <c r="I183" s="177" t="e">
        <f>#N/A</f>
        <v>#N/A</v>
      </c>
      <c r="J183" s="177" t="e">
        <f>#N/A</f>
        <v>#N/A</v>
      </c>
      <c r="K183" s="177" t="e">
        <f>#N/A</f>
        <v>#N/A</v>
      </c>
      <c r="L183" s="177" t="e">
        <f>#N/A</f>
        <v>#N/A</v>
      </c>
      <c r="M183" s="177" t="e">
        <f>#N/A</f>
        <v>#N/A</v>
      </c>
      <c r="N183" s="177" t="e">
        <f>#N/A</f>
        <v>#N/A</v>
      </c>
      <c r="O183" s="177" t="e">
        <f>#N/A</f>
        <v>#N/A</v>
      </c>
      <c r="P183" s="177" t="e">
        <f>#N/A</f>
        <v>#N/A</v>
      </c>
      <c r="Q183" s="177" t="e">
        <f>#N/A</f>
        <v>#N/A</v>
      </c>
      <c r="R183" s="177" t="e">
        <f>#N/A</f>
        <v>#N/A</v>
      </c>
      <c r="S183" s="178"/>
      <c r="U183" s="175">
        <v>2025</v>
      </c>
      <c r="V183" s="175" t="s">
        <v>466</v>
      </c>
      <c r="W183" s="175">
        <v>2025</v>
      </c>
      <c r="X183" s="176"/>
      <c r="Y183" s="186">
        <f t="shared" ref="Y183:AL184" si="6">Y182</f>
        <v>5.1378862867308035E-2</v>
      </c>
      <c r="Z183" s="186">
        <f t="shared" si="6"/>
        <v>2.8814188170211804E-2</v>
      </c>
      <c r="AA183" s="186">
        <f t="shared" si="6"/>
        <v>8.4139055839584937E-3</v>
      </c>
      <c r="AB183" s="186">
        <f t="shared" si="6"/>
        <v>0.43763063576671102</v>
      </c>
      <c r="AC183" s="186">
        <f t="shared" si="6"/>
        <v>0</v>
      </c>
      <c r="AD183" s="186">
        <f t="shared" si="6"/>
        <v>0</v>
      </c>
      <c r="AE183" s="186">
        <f t="shared" si="6"/>
        <v>0</v>
      </c>
      <c r="AF183" s="186">
        <f t="shared" si="6"/>
        <v>0</v>
      </c>
      <c r="AG183" s="186">
        <f t="shared" si="6"/>
        <v>0</v>
      </c>
      <c r="AH183" s="186">
        <f t="shared" si="6"/>
        <v>0</v>
      </c>
      <c r="AI183" s="186">
        <f t="shared" si="6"/>
        <v>0.46695970689366384</v>
      </c>
      <c r="AJ183" s="186">
        <f t="shared" si="6"/>
        <v>0</v>
      </c>
      <c r="AK183" s="186">
        <f t="shared" si="6"/>
        <v>6.8027007181468303E-3</v>
      </c>
      <c r="AL183" s="186">
        <f t="shared" si="6"/>
        <v>0</v>
      </c>
      <c r="AM183" s="172">
        <f>SUM(Y183:AL183)</f>
        <v>1</v>
      </c>
      <c r="AO183" s="49"/>
    </row>
    <row r="184" spans="2:41" x14ac:dyDescent="0.3">
      <c r="B184" s="175">
        <v>2050</v>
      </c>
      <c r="C184" s="175" t="s">
        <v>503</v>
      </c>
      <c r="D184" s="176"/>
      <c r="E184" s="177" t="e">
        <f>#N/A</f>
        <v>#N/A</v>
      </c>
      <c r="F184" s="177" t="e">
        <f>#N/A</f>
        <v>#N/A</v>
      </c>
      <c r="G184" s="177" t="e">
        <f>#N/A</f>
        <v>#N/A</v>
      </c>
      <c r="H184" s="177" t="e">
        <f>#N/A</f>
        <v>#N/A</v>
      </c>
      <c r="I184" s="177" t="e">
        <f>#N/A</f>
        <v>#N/A</v>
      </c>
      <c r="J184" s="177" t="e">
        <f>#N/A</f>
        <v>#N/A</v>
      </c>
      <c r="K184" s="177" t="e">
        <f>#N/A</f>
        <v>#N/A</v>
      </c>
      <c r="L184" s="177" t="e">
        <f>#N/A</f>
        <v>#N/A</v>
      </c>
      <c r="M184" s="177" t="e">
        <f>#N/A</f>
        <v>#N/A</v>
      </c>
      <c r="N184" s="177" t="e">
        <f>#N/A</f>
        <v>#N/A</v>
      </c>
      <c r="O184" s="177" t="e">
        <f>#N/A</f>
        <v>#N/A</v>
      </c>
      <c r="P184" s="177" t="e">
        <f>#N/A</f>
        <v>#N/A</v>
      </c>
      <c r="Q184" s="177" t="e">
        <f>#N/A</f>
        <v>#N/A</v>
      </c>
      <c r="R184" s="177" t="e">
        <f>#N/A</f>
        <v>#N/A</v>
      </c>
      <c r="S184" s="178"/>
      <c r="U184" s="175">
        <v>2050</v>
      </c>
      <c r="V184" s="175" t="s">
        <v>466</v>
      </c>
      <c r="W184" s="175">
        <v>2050</v>
      </c>
      <c r="X184" s="176"/>
      <c r="Y184" s="186">
        <f t="shared" si="6"/>
        <v>5.1378862867308035E-2</v>
      </c>
      <c r="Z184" s="186">
        <f t="shared" si="6"/>
        <v>2.8814188170211804E-2</v>
      </c>
      <c r="AA184" s="186">
        <f t="shared" si="6"/>
        <v>8.4139055839584937E-3</v>
      </c>
      <c r="AB184" s="186">
        <f t="shared" si="6"/>
        <v>0.43763063576671102</v>
      </c>
      <c r="AC184" s="186">
        <f t="shared" si="6"/>
        <v>0</v>
      </c>
      <c r="AD184" s="186">
        <f t="shared" si="6"/>
        <v>0</v>
      </c>
      <c r="AE184" s="186">
        <f t="shared" si="6"/>
        <v>0</v>
      </c>
      <c r="AF184" s="186">
        <f t="shared" si="6"/>
        <v>0</v>
      </c>
      <c r="AG184" s="186">
        <f t="shared" si="6"/>
        <v>0</v>
      </c>
      <c r="AH184" s="186">
        <f t="shared" si="6"/>
        <v>0</v>
      </c>
      <c r="AI184" s="186">
        <f t="shared" si="6"/>
        <v>0.46695970689366384</v>
      </c>
      <c r="AJ184" s="186">
        <f t="shared" si="6"/>
        <v>0</v>
      </c>
      <c r="AK184" s="186">
        <f t="shared" si="6"/>
        <v>6.8027007181468303E-3</v>
      </c>
      <c r="AL184" s="186">
        <f t="shared" si="6"/>
        <v>0</v>
      </c>
      <c r="AM184" s="172">
        <f>SUM(Y184:AL184)</f>
        <v>1</v>
      </c>
      <c r="AO184" s="49"/>
    </row>
    <row r="185" spans="2:41" x14ac:dyDescent="0.3">
      <c r="B185" s="180"/>
      <c r="C185" s="180"/>
      <c r="D185" s="181"/>
      <c r="E185" s="182"/>
      <c r="F185" s="182"/>
      <c r="G185" s="182"/>
      <c r="H185" s="182"/>
      <c r="I185" s="182"/>
      <c r="J185" s="182"/>
      <c r="K185" s="182"/>
      <c r="L185" s="182"/>
      <c r="M185" s="182"/>
      <c r="N185" s="182"/>
      <c r="O185" s="182"/>
      <c r="P185" s="182"/>
      <c r="Q185" s="182"/>
      <c r="R185" s="182"/>
      <c r="S185" s="183"/>
      <c r="U185" s="180"/>
      <c r="V185" s="180"/>
      <c r="W185" s="180"/>
      <c r="X185" s="181"/>
      <c r="Y185" s="184"/>
      <c r="Z185" s="184"/>
      <c r="AA185" s="184"/>
      <c r="AB185" s="184"/>
      <c r="AC185" s="184"/>
      <c r="AD185" s="184"/>
      <c r="AE185" s="184"/>
      <c r="AF185" s="184"/>
      <c r="AG185" s="184"/>
      <c r="AH185" s="184"/>
      <c r="AI185" s="184"/>
      <c r="AJ185" s="184"/>
      <c r="AK185" s="184"/>
      <c r="AL185" s="184"/>
      <c r="AM185" s="185"/>
      <c r="AO185" s="49"/>
    </row>
    <row r="186" spans="2:41" x14ac:dyDescent="0.3">
      <c r="B186" s="175">
        <v>2019</v>
      </c>
      <c r="C186" s="175" t="s">
        <v>468</v>
      </c>
      <c r="D186" s="176" t="s">
        <v>497</v>
      </c>
      <c r="E186" s="177">
        <v>4.0000000000000001E-3</v>
      </c>
      <c r="F186" s="177"/>
      <c r="G186" s="177">
        <v>2.8000000000000001E-2</v>
      </c>
      <c r="H186" s="177">
        <v>0.25</v>
      </c>
      <c r="I186" s="177">
        <v>0</v>
      </c>
      <c r="J186" s="177">
        <v>0</v>
      </c>
      <c r="K186" s="177">
        <v>0</v>
      </c>
      <c r="L186" s="177">
        <v>0</v>
      </c>
      <c r="M186" s="177">
        <v>0</v>
      </c>
      <c r="N186" s="177">
        <v>0</v>
      </c>
      <c r="O186" s="177">
        <v>0.71</v>
      </c>
      <c r="P186" s="177">
        <v>0</v>
      </c>
      <c r="Q186" s="177">
        <v>8.0000000000000002E-3</v>
      </c>
      <c r="R186" s="177">
        <v>0</v>
      </c>
      <c r="S186" s="178">
        <f>SUM(E186:R186)</f>
        <v>1</v>
      </c>
      <c r="U186" s="175">
        <v>2019</v>
      </c>
      <c r="V186" s="175" t="s">
        <v>468</v>
      </c>
      <c r="W186" s="175">
        <v>2019</v>
      </c>
      <c r="X186" s="176" t="s">
        <v>497</v>
      </c>
      <c r="Y186" s="186">
        <f t="shared" ref="Y186:AM186" si="7">INDEX(X$40:X$64,MATCH($V186,$V$40:$V$64,0))/INDEX($AL$40:$AL$64,MATCH($V186,$V$40:$V$64,0))</f>
        <v>0</v>
      </c>
      <c r="Z186" s="186">
        <f t="shared" si="7"/>
        <v>0</v>
      </c>
      <c r="AA186" s="186">
        <f t="shared" si="7"/>
        <v>2.8112449799196786E-2</v>
      </c>
      <c r="AB186" s="186">
        <f t="shared" si="7"/>
        <v>0.25100401606425704</v>
      </c>
      <c r="AC186" s="186">
        <f t="shared" si="7"/>
        <v>0</v>
      </c>
      <c r="AD186" s="186">
        <f t="shared" si="7"/>
        <v>0</v>
      </c>
      <c r="AE186" s="186">
        <f t="shared" si="7"/>
        <v>0</v>
      </c>
      <c r="AF186" s="186">
        <f t="shared" si="7"/>
        <v>0</v>
      </c>
      <c r="AG186" s="186">
        <f t="shared" si="7"/>
        <v>0</v>
      </c>
      <c r="AH186" s="186">
        <f t="shared" si="7"/>
        <v>0</v>
      </c>
      <c r="AI186" s="186">
        <f t="shared" si="7"/>
        <v>0.71285140562248994</v>
      </c>
      <c r="AJ186" s="186">
        <f t="shared" si="7"/>
        <v>0</v>
      </c>
      <c r="AK186" s="186">
        <f t="shared" si="7"/>
        <v>8.0321285140562242E-3</v>
      </c>
      <c r="AL186" s="186">
        <f t="shared" si="7"/>
        <v>0</v>
      </c>
      <c r="AM186" s="172">
        <f t="shared" si="7"/>
        <v>1</v>
      </c>
      <c r="AO186" s="49" t="s">
        <v>505</v>
      </c>
    </row>
    <row r="187" spans="2:41" x14ac:dyDescent="0.3">
      <c r="B187" s="175">
        <v>2025</v>
      </c>
      <c r="C187" s="175" t="s">
        <v>468</v>
      </c>
      <c r="D187" s="176" t="s">
        <v>497</v>
      </c>
      <c r="E187" s="177">
        <v>4.0000000000000001E-3</v>
      </c>
      <c r="F187" s="177">
        <v>0</v>
      </c>
      <c r="G187" s="177">
        <v>2.8000000000000001E-2</v>
      </c>
      <c r="H187" s="177">
        <v>0.25</v>
      </c>
      <c r="I187" s="177">
        <v>0</v>
      </c>
      <c r="J187" s="177">
        <v>0</v>
      </c>
      <c r="K187" s="177">
        <v>0</v>
      </c>
      <c r="L187" s="177">
        <v>0</v>
      </c>
      <c r="M187" s="177">
        <v>0</v>
      </c>
      <c r="N187" s="177">
        <v>0</v>
      </c>
      <c r="O187" s="177">
        <v>0.71</v>
      </c>
      <c r="P187" s="177">
        <v>0</v>
      </c>
      <c r="Q187" s="177">
        <v>8.0000000000000002E-3</v>
      </c>
      <c r="R187" s="177">
        <v>0</v>
      </c>
      <c r="S187" s="178">
        <f>SUM(E187:R187)</f>
        <v>1</v>
      </c>
      <c r="U187" s="175">
        <v>2025</v>
      </c>
      <c r="V187" s="175" t="s">
        <v>468</v>
      </c>
      <c r="W187" s="175">
        <v>2025</v>
      </c>
      <c r="X187" s="176" t="s">
        <v>497</v>
      </c>
      <c r="Y187" s="186">
        <f t="shared" ref="Y187:AL188" si="8">+E187</f>
        <v>4.0000000000000001E-3</v>
      </c>
      <c r="Z187" s="186">
        <f t="shared" si="8"/>
        <v>0</v>
      </c>
      <c r="AA187" s="186">
        <f t="shared" si="8"/>
        <v>2.8000000000000001E-2</v>
      </c>
      <c r="AB187" s="186">
        <f t="shared" si="8"/>
        <v>0.25</v>
      </c>
      <c r="AC187" s="186">
        <f t="shared" si="8"/>
        <v>0</v>
      </c>
      <c r="AD187" s="186">
        <f t="shared" si="8"/>
        <v>0</v>
      </c>
      <c r="AE187" s="186">
        <f t="shared" si="8"/>
        <v>0</v>
      </c>
      <c r="AF187" s="186">
        <f t="shared" si="8"/>
        <v>0</v>
      </c>
      <c r="AG187" s="186">
        <f t="shared" si="8"/>
        <v>0</v>
      </c>
      <c r="AH187" s="186">
        <f t="shared" si="8"/>
        <v>0</v>
      </c>
      <c r="AI187" s="186">
        <f t="shared" si="8"/>
        <v>0.71</v>
      </c>
      <c r="AJ187" s="186">
        <f t="shared" si="8"/>
        <v>0</v>
      </c>
      <c r="AK187" s="186">
        <f t="shared" si="8"/>
        <v>8.0000000000000002E-3</v>
      </c>
      <c r="AL187" s="186">
        <f t="shared" si="8"/>
        <v>0</v>
      </c>
      <c r="AM187" s="172">
        <f>SUM(Y187:AL187)</f>
        <v>1</v>
      </c>
      <c r="AO187" s="49"/>
    </row>
    <row r="188" spans="2:41" x14ac:dyDescent="0.3">
      <c r="B188" s="175">
        <v>2050</v>
      </c>
      <c r="C188" s="175" t="s">
        <v>468</v>
      </c>
      <c r="D188" s="176" t="s">
        <v>497</v>
      </c>
      <c r="E188" s="177">
        <v>4.0000000000000001E-3</v>
      </c>
      <c r="F188" s="177">
        <v>0</v>
      </c>
      <c r="G188" s="177">
        <v>2.8000000000000001E-2</v>
      </c>
      <c r="H188" s="177">
        <v>0.25</v>
      </c>
      <c r="I188" s="177">
        <v>0</v>
      </c>
      <c r="J188" s="177">
        <v>0</v>
      </c>
      <c r="K188" s="177">
        <v>0</v>
      </c>
      <c r="L188" s="177">
        <v>0</v>
      </c>
      <c r="M188" s="177">
        <v>0</v>
      </c>
      <c r="N188" s="177">
        <v>0</v>
      </c>
      <c r="O188" s="177">
        <v>0.71</v>
      </c>
      <c r="P188" s="177">
        <v>0</v>
      </c>
      <c r="Q188" s="177">
        <v>8.0000000000000002E-3</v>
      </c>
      <c r="R188" s="177">
        <v>0</v>
      </c>
      <c r="S188" s="178">
        <f>SUM(E188:R188)</f>
        <v>1</v>
      </c>
      <c r="U188" s="175">
        <v>2050</v>
      </c>
      <c r="V188" s="175" t="s">
        <v>468</v>
      </c>
      <c r="W188" s="175">
        <v>2050</v>
      </c>
      <c r="X188" s="176" t="s">
        <v>497</v>
      </c>
      <c r="Y188" s="186">
        <f t="shared" si="8"/>
        <v>4.0000000000000001E-3</v>
      </c>
      <c r="Z188" s="186">
        <f t="shared" si="8"/>
        <v>0</v>
      </c>
      <c r="AA188" s="186">
        <f t="shared" si="8"/>
        <v>2.8000000000000001E-2</v>
      </c>
      <c r="AB188" s="186">
        <f t="shared" si="8"/>
        <v>0.25</v>
      </c>
      <c r="AC188" s="186">
        <f t="shared" si="8"/>
        <v>0</v>
      </c>
      <c r="AD188" s="186">
        <f t="shared" si="8"/>
        <v>0</v>
      </c>
      <c r="AE188" s="186">
        <f t="shared" si="8"/>
        <v>0</v>
      </c>
      <c r="AF188" s="186">
        <f t="shared" si="8"/>
        <v>0</v>
      </c>
      <c r="AG188" s="186">
        <f t="shared" si="8"/>
        <v>0</v>
      </c>
      <c r="AH188" s="186">
        <f t="shared" si="8"/>
        <v>0</v>
      </c>
      <c r="AI188" s="186">
        <f t="shared" si="8"/>
        <v>0.71</v>
      </c>
      <c r="AJ188" s="186">
        <f t="shared" si="8"/>
        <v>0</v>
      </c>
      <c r="AK188" s="186">
        <f t="shared" si="8"/>
        <v>8.0000000000000002E-3</v>
      </c>
      <c r="AL188" s="186">
        <f t="shared" si="8"/>
        <v>0</v>
      </c>
      <c r="AM188" s="172">
        <f>SUM(Y188:AL188)</f>
        <v>1</v>
      </c>
      <c r="AO188" s="49"/>
    </row>
    <row r="189" spans="2:41" x14ac:dyDescent="0.3">
      <c r="B189" s="180"/>
      <c r="C189" s="180"/>
      <c r="D189" s="181"/>
      <c r="E189" s="182"/>
      <c r="F189" s="182"/>
      <c r="G189" s="182"/>
      <c r="H189" s="182"/>
      <c r="I189" s="182"/>
      <c r="J189" s="182"/>
      <c r="K189" s="182"/>
      <c r="L189" s="182"/>
      <c r="M189" s="182"/>
      <c r="N189" s="182"/>
      <c r="O189" s="182"/>
      <c r="P189" s="182"/>
      <c r="Q189" s="182"/>
      <c r="R189" s="182"/>
      <c r="S189" s="183"/>
      <c r="U189" s="180"/>
      <c r="V189" s="180"/>
      <c r="W189" s="180"/>
      <c r="X189" s="181"/>
      <c r="Y189" s="184"/>
      <c r="Z189" s="184"/>
      <c r="AA189" s="184"/>
      <c r="AB189" s="184"/>
      <c r="AC189" s="184"/>
      <c r="AD189" s="184"/>
      <c r="AE189" s="184"/>
      <c r="AF189" s="184"/>
      <c r="AG189" s="184"/>
      <c r="AH189" s="184"/>
      <c r="AI189" s="184"/>
      <c r="AJ189" s="184"/>
      <c r="AK189" s="184"/>
      <c r="AL189" s="184"/>
      <c r="AM189" s="185"/>
      <c r="AO189" s="49"/>
    </row>
    <row r="190" spans="2:41" x14ac:dyDescent="0.3">
      <c r="B190" s="175">
        <v>2019</v>
      </c>
      <c r="C190" s="175" t="s">
        <v>470</v>
      </c>
      <c r="D190" s="176" t="s">
        <v>497</v>
      </c>
      <c r="E190" s="177">
        <v>0</v>
      </c>
      <c r="F190" s="177"/>
      <c r="G190" s="177">
        <v>0</v>
      </c>
      <c r="H190" s="177">
        <v>0.9</v>
      </c>
      <c r="I190" s="177">
        <v>0</v>
      </c>
      <c r="J190" s="177">
        <v>0</v>
      </c>
      <c r="K190" s="177">
        <v>0</v>
      </c>
      <c r="L190" s="177">
        <v>0</v>
      </c>
      <c r="M190" s="177">
        <v>0</v>
      </c>
      <c r="N190" s="177">
        <v>0</v>
      </c>
      <c r="O190" s="177">
        <v>0.1</v>
      </c>
      <c r="P190" s="177">
        <v>0</v>
      </c>
      <c r="Q190" s="177">
        <v>0</v>
      </c>
      <c r="R190" s="177">
        <v>0</v>
      </c>
      <c r="S190" s="178">
        <f>SUM(E190:R190)</f>
        <v>1</v>
      </c>
      <c r="U190" s="175">
        <v>2019</v>
      </c>
      <c r="V190" s="175" t="s">
        <v>470</v>
      </c>
      <c r="W190" s="175">
        <v>2019</v>
      </c>
      <c r="X190" s="176" t="s">
        <v>497</v>
      </c>
      <c r="Y190" s="186">
        <f t="shared" ref="Y190:AM190" si="9">INDEX(X$40:X$64,MATCH($V190,$V$40:$V$64,0))/INDEX($AL$40:$AL$64,MATCH($V190,$V$40:$V$64,0))</f>
        <v>0</v>
      </c>
      <c r="Z190" s="186">
        <f t="shared" si="9"/>
        <v>0</v>
      </c>
      <c r="AA190" s="186">
        <f t="shared" si="9"/>
        <v>2.4619339529365233E-2</v>
      </c>
      <c r="AB190" s="186">
        <f t="shared" si="9"/>
        <v>0.63990508206446506</v>
      </c>
      <c r="AC190" s="186">
        <f t="shared" si="9"/>
        <v>0</v>
      </c>
      <c r="AD190" s="186">
        <f t="shared" si="9"/>
        <v>0</v>
      </c>
      <c r="AE190" s="186">
        <f t="shared" si="9"/>
        <v>0</v>
      </c>
      <c r="AF190" s="186">
        <f t="shared" si="9"/>
        <v>0</v>
      </c>
      <c r="AG190" s="186">
        <f t="shared" si="9"/>
        <v>0</v>
      </c>
      <c r="AH190" s="186">
        <f t="shared" si="9"/>
        <v>0</v>
      </c>
      <c r="AI190" s="186">
        <f t="shared" si="9"/>
        <v>0.33547557840616965</v>
      </c>
      <c r="AJ190" s="186">
        <f t="shared" si="9"/>
        <v>0</v>
      </c>
      <c r="AK190" s="186">
        <f t="shared" si="9"/>
        <v>0</v>
      </c>
      <c r="AL190" s="186">
        <f t="shared" si="9"/>
        <v>0</v>
      </c>
      <c r="AM190" s="172">
        <f t="shared" si="9"/>
        <v>1</v>
      </c>
      <c r="AO190" s="49" t="s">
        <v>524</v>
      </c>
    </row>
    <row r="191" spans="2:41" x14ac:dyDescent="0.3">
      <c r="B191" s="175">
        <v>2025</v>
      </c>
      <c r="C191" s="175" t="s">
        <v>470</v>
      </c>
      <c r="D191" s="176" t="s">
        <v>497</v>
      </c>
      <c r="E191" s="177">
        <v>0</v>
      </c>
      <c r="F191" s="177">
        <v>0</v>
      </c>
      <c r="G191" s="177">
        <v>0</v>
      </c>
      <c r="H191" s="177">
        <v>0.9</v>
      </c>
      <c r="I191" s="177">
        <v>0</v>
      </c>
      <c r="J191" s="177">
        <v>0</v>
      </c>
      <c r="K191" s="177">
        <v>0</v>
      </c>
      <c r="L191" s="177">
        <v>0</v>
      </c>
      <c r="M191" s="177">
        <v>0</v>
      </c>
      <c r="N191" s="177">
        <v>0</v>
      </c>
      <c r="O191" s="177">
        <v>0.1</v>
      </c>
      <c r="P191" s="177">
        <v>0</v>
      </c>
      <c r="Q191" s="177">
        <v>0</v>
      </c>
      <c r="R191" s="177">
        <v>0</v>
      </c>
      <c r="S191" s="178">
        <f>SUM(E191:R191)</f>
        <v>1</v>
      </c>
      <c r="U191" s="175">
        <v>2025</v>
      </c>
      <c r="V191" s="175" t="s">
        <v>470</v>
      </c>
      <c r="W191" s="175">
        <v>2025</v>
      </c>
      <c r="X191" s="176" t="s">
        <v>497</v>
      </c>
      <c r="Y191" s="186">
        <f>+E191</f>
        <v>0</v>
      </c>
      <c r="Z191" s="186">
        <f>+F191</f>
        <v>0</v>
      </c>
      <c r="AA191" s="186">
        <f>AA190</f>
        <v>2.4619339529365233E-2</v>
      </c>
      <c r="AB191" s="186">
        <f>AB190</f>
        <v>0.63990508206446506</v>
      </c>
      <c r="AC191" s="186">
        <f t="shared" ref="AC191:AH192" si="10">+I191</f>
        <v>0</v>
      </c>
      <c r="AD191" s="186">
        <f t="shared" si="10"/>
        <v>0</v>
      </c>
      <c r="AE191" s="186">
        <f t="shared" si="10"/>
        <v>0</v>
      </c>
      <c r="AF191" s="186">
        <f t="shared" si="10"/>
        <v>0</v>
      </c>
      <c r="AG191" s="186">
        <f t="shared" si="10"/>
        <v>0</v>
      </c>
      <c r="AH191" s="186">
        <f t="shared" si="10"/>
        <v>0</v>
      </c>
      <c r="AI191" s="186">
        <f>1-SUM(Y191:AH191)</f>
        <v>0.33547557840616971</v>
      </c>
      <c r="AJ191" s="186">
        <f t="shared" ref="AJ191:AL192" si="11">+P191</f>
        <v>0</v>
      </c>
      <c r="AK191" s="186">
        <f t="shared" si="11"/>
        <v>0</v>
      </c>
      <c r="AL191" s="186">
        <f t="shared" si="11"/>
        <v>0</v>
      </c>
      <c r="AM191" s="172">
        <f>SUM(Y191:AL191)</f>
        <v>1</v>
      </c>
      <c r="AO191" s="49" t="s">
        <v>526</v>
      </c>
    </row>
    <row r="192" spans="2:41" x14ac:dyDescent="0.3">
      <c r="B192" s="175">
        <v>2050</v>
      </c>
      <c r="C192" s="175" t="s">
        <v>470</v>
      </c>
      <c r="D192" s="176" t="s">
        <v>497</v>
      </c>
      <c r="E192" s="177">
        <v>0</v>
      </c>
      <c r="F192" s="177">
        <v>0</v>
      </c>
      <c r="G192" s="177">
        <v>0</v>
      </c>
      <c r="H192" s="177">
        <v>0.8</v>
      </c>
      <c r="I192" s="177">
        <v>0</v>
      </c>
      <c r="J192" s="177">
        <v>0</v>
      </c>
      <c r="K192" s="177">
        <v>0</v>
      </c>
      <c r="L192" s="177">
        <v>0</v>
      </c>
      <c r="M192" s="177">
        <v>0</v>
      </c>
      <c r="N192" s="177">
        <v>0</v>
      </c>
      <c r="O192" s="177">
        <v>0.2</v>
      </c>
      <c r="P192" s="177">
        <v>0</v>
      </c>
      <c r="Q192" s="177">
        <v>0</v>
      </c>
      <c r="R192" s="177">
        <v>0</v>
      </c>
      <c r="S192" s="178">
        <f>SUM(E192:R192)</f>
        <v>1</v>
      </c>
      <c r="U192" s="175">
        <v>2050</v>
      </c>
      <c r="V192" s="175" t="s">
        <v>470</v>
      </c>
      <c r="W192" s="175">
        <v>2050</v>
      </c>
      <c r="X192" s="176" t="s">
        <v>497</v>
      </c>
      <c r="Y192" s="186">
        <f>+E192</f>
        <v>0</v>
      </c>
      <c r="Z192" s="186">
        <f>+F192</f>
        <v>0</v>
      </c>
      <c r="AA192" s="186">
        <f>+AA191</f>
        <v>2.4619339529365233E-2</v>
      </c>
      <c r="AB192" s="186">
        <f>+AB191</f>
        <v>0.63990508206446506</v>
      </c>
      <c r="AC192" s="186">
        <f t="shared" si="10"/>
        <v>0</v>
      </c>
      <c r="AD192" s="186">
        <f t="shared" si="10"/>
        <v>0</v>
      </c>
      <c r="AE192" s="186">
        <f t="shared" si="10"/>
        <v>0</v>
      </c>
      <c r="AF192" s="186">
        <f t="shared" si="10"/>
        <v>0</v>
      </c>
      <c r="AG192" s="186">
        <f t="shared" si="10"/>
        <v>0</v>
      </c>
      <c r="AH192" s="186">
        <f t="shared" si="10"/>
        <v>0</v>
      </c>
      <c r="AI192" s="186">
        <f>+AI191</f>
        <v>0.33547557840616971</v>
      </c>
      <c r="AJ192" s="186">
        <f t="shared" si="11"/>
        <v>0</v>
      </c>
      <c r="AK192" s="186">
        <f t="shared" si="11"/>
        <v>0</v>
      </c>
      <c r="AL192" s="186">
        <f t="shared" si="11"/>
        <v>0</v>
      </c>
      <c r="AM192" s="172">
        <f>SUM(Y192:AL192)</f>
        <v>1</v>
      </c>
      <c r="AO192" s="49"/>
    </row>
    <row r="193" spans="2:41" x14ac:dyDescent="0.3">
      <c r="B193" s="180"/>
      <c r="C193" s="180"/>
      <c r="D193" s="181"/>
      <c r="E193" s="182"/>
      <c r="F193" s="182"/>
      <c r="G193" s="182"/>
      <c r="H193" s="182"/>
      <c r="I193" s="182"/>
      <c r="J193" s="182"/>
      <c r="K193" s="182"/>
      <c r="L193" s="182"/>
      <c r="M193" s="182"/>
      <c r="N193" s="182"/>
      <c r="O193" s="182"/>
      <c r="P193" s="182"/>
      <c r="Q193" s="182"/>
      <c r="R193" s="182"/>
      <c r="S193" s="183"/>
      <c r="U193" s="180"/>
      <c r="V193" s="180"/>
      <c r="W193" s="180"/>
      <c r="X193" s="181"/>
      <c r="Y193" s="184"/>
      <c r="Z193" s="184"/>
      <c r="AA193" s="184"/>
      <c r="AB193" s="184"/>
      <c r="AC193" s="184"/>
      <c r="AD193" s="184"/>
      <c r="AE193" s="184"/>
      <c r="AF193" s="184"/>
      <c r="AG193" s="184"/>
      <c r="AH193" s="184"/>
      <c r="AI193" s="184"/>
      <c r="AJ193" s="184"/>
      <c r="AK193" s="184"/>
      <c r="AL193" s="184"/>
      <c r="AM193" s="185"/>
      <c r="AO193" s="49"/>
    </row>
    <row r="194" spans="2:41" x14ac:dyDescent="0.3">
      <c r="B194" s="175">
        <v>2019</v>
      </c>
      <c r="C194" s="175" t="s">
        <v>472</v>
      </c>
      <c r="D194" s="176" t="s">
        <v>497</v>
      </c>
      <c r="E194" s="177">
        <v>2.2038991391149301E-4</v>
      </c>
      <c r="F194" s="177"/>
      <c r="G194" s="177">
        <v>0.166864456962417</v>
      </c>
      <c r="H194" s="177">
        <v>0.15712852885131401</v>
      </c>
      <c r="I194" s="177">
        <v>2.2038991391149301E-4</v>
      </c>
      <c r="J194" s="177">
        <v>0</v>
      </c>
      <c r="K194" s="177">
        <v>0</v>
      </c>
      <c r="L194" s="177">
        <v>0</v>
      </c>
      <c r="M194" s="177">
        <v>0</v>
      </c>
      <c r="N194" s="177">
        <v>0</v>
      </c>
      <c r="O194" s="177">
        <v>0.675599380753927</v>
      </c>
      <c r="P194" s="177">
        <v>0</v>
      </c>
      <c r="Q194" s="177">
        <v>0</v>
      </c>
      <c r="R194" s="177">
        <v>0</v>
      </c>
      <c r="S194" s="178">
        <f>SUM(E194:R194)</f>
        <v>1.000033146395481</v>
      </c>
      <c r="U194" s="175">
        <v>2019</v>
      </c>
      <c r="V194" s="175" t="s">
        <v>472</v>
      </c>
      <c r="W194" s="175">
        <v>2019</v>
      </c>
      <c r="X194" s="176" t="s">
        <v>497</v>
      </c>
      <c r="Y194" s="186">
        <f t="shared" ref="Y194:AM194" si="12">INDEX(X$40:X$64,MATCH($V194,$V$40:$V$64,0))/INDEX($AL$40:$AL$64,MATCH($V194,$V$40:$V$64,0))</f>
        <v>0</v>
      </c>
      <c r="Z194" s="186">
        <f t="shared" si="12"/>
        <v>0</v>
      </c>
      <c r="AA194" s="186">
        <f t="shared" si="12"/>
        <v>-1.3584256558603056E-2</v>
      </c>
      <c r="AB194" s="186">
        <f t="shared" si="12"/>
        <v>0.28888383042858895</v>
      </c>
      <c r="AC194" s="186">
        <f t="shared" si="12"/>
        <v>2.6059216654906133E-3</v>
      </c>
      <c r="AD194" s="186">
        <f t="shared" si="12"/>
        <v>0</v>
      </c>
      <c r="AE194" s="186">
        <f t="shared" si="12"/>
        <v>0</v>
      </c>
      <c r="AF194" s="186">
        <f t="shared" si="12"/>
        <v>0</v>
      </c>
      <c r="AG194" s="186">
        <f t="shared" si="12"/>
        <v>0</v>
      </c>
      <c r="AH194" s="186">
        <f t="shared" si="12"/>
        <v>0</v>
      </c>
      <c r="AI194" s="186">
        <f t="shared" si="12"/>
        <v>0.68187088153521536</v>
      </c>
      <c r="AJ194" s="186">
        <f t="shared" si="12"/>
        <v>0</v>
      </c>
      <c r="AK194" s="186">
        <f t="shared" si="12"/>
        <v>4.0223622929308145E-2</v>
      </c>
      <c r="AL194" s="186">
        <f t="shared" si="12"/>
        <v>0</v>
      </c>
      <c r="AM194" s="172">
        <f t="shared" si="12"/>
        <v>1</v>
      </c>
      <c r="AO194" s="49" t="s">
        <v>527</v>
      </c>
    </row>
    <row r="195" spans="2:41" x14ac:dyDescent="0.3">
      <c r="B195" s="175">
        <v>2025</v>
      </c>
      <c r="C195" s="175" t="s">
        <v>472</v>
      </c>
      <c r="D195" s="176" t="s">
        <v>497</v>
      </c>
      <c r="E195" s="177">
        <v>2.18316716171187E-4</v>
      </c>
      <c r="F195" s="177">
        <v>0</v>
      </c>
      <c r="G195" s="177">
        <v>0.152259671871665</v>
      </c>
      <c r="H195" s="177">
        <v>0.15712852885131401</v>
      </c>
      <c r="I195" s="177">
        <v>2.18316716171187E-4</v>
      </c>
      <c r="J195" s="177">
        <v>2.18316716171187E-4</v>
      </c>
      <c r="K195" s="177">
        <v>2.18316716171187E-4</v>
      </c>
      <c r="L195" s="177">
        <v>2.18316716171187E-4</v>
      </c>
      <c r="M195" s="177">
        <v>2.18316716171187E-4</v>
      </c>
      <c r="N195" s="177">
        <v>2.18316716171187E-4</v>
      </c>
      <c r="O195" s="177">
        <v>0.675599380753927</v>
      </c>
      <c r="P195" s="177">
        <v>0</v>
      </c>
      <c r="Q195" s="177">
        <v>1.45757850907516E-2</v>
      </c>
      <c r="R195" s="177">
        <v>2.18316716171187E-4</v>
      </c>
      <c r="S195" s="178">
        <f>SUM(E195:R195)</f>
        <v>1.0013099002970269</v>
      </c>
      <c r="U195" s="175">
        <v>2025</v>
      </c>
      <c r="V195" s="175" t="s">
        <v>472</v>
      </c>
      <c r="W195" s="175">
        <v>2025</v>
      </c>
      <c r="X195" s="176" t="s">
        <v>497</v>
      </c>
      <c r="Y195" s="186">
        <f>+E195</f>
        <v>2.18316716171187E-4</v>
      </c>
      <c r="Z195" s="186">
        <f>+F195</f>
        <v>0</v>
      </c>
      <c r="AA195" s="186">
        <v>0.17</v>
      </c>
      <c r="AB195" s="186">
        <v>8.5000000000000006E-2</v>
      </c>
      <c r="AC195" s="186">
        <f t="shared" ref="AC195:AH196" si="13">+I195</f>
        <v>2.18316716171187E-4</v>
      </c>
      <c r="AD195" s="186">
        <f t="shared" si="13"/>
        <v>2.18316716171187E-4</v>
      </c>
      <c r="AE195" s="186">
        <f t="shared" si="13"/>
        <v>2.18316716171187E-4</v>
      </c>
      <c r="AF195" s="186">
        <f t="shared" si="13"/>
        <v>2.18316716171187E-4</v>
      </c>
      <c r="AG195" s="186">
        <f t="shared" si="13"/>
        <v>2.18316716171187E-4</v>
      </c>
      <c r="AH195" s="186">
        <f t="shared" si="13"/>
        <v>2.18316716171187E-4</v>
      </c>
      <c r="AI195" s="186">
        <f>AI194</f>
        <v>0.68187088153521536</v>
      </c>
      <c r="AJ195" s="186">
        <f t="shared" ref="AJ195:AL196" si="14">+P195</f>
        <v>0</v>
      </c>
      <c r="AK195" s="186">
        <f t="shared" si="14"/>
        <v>1.45757850907516E-2</v>
      </c>
      <c r="AL195" s="186">
        <f t="shared" si="14"/>
        <v>2.18316716171187E-4</v>
      </c>
      <c r="AM195" s="172">
        <f>SUM(Y195:AL195)</f>
        <v>0.9531932003553365</v>
      </c>
      <c r="AO195" s="49"/>
    </row>
    <row r="196" spans="2:41" x14ac:dyDescent="0.3">
      <c r="B196" s="175">
        <v>2050</v>
      </c>
      <c r="C196" s="175" t="s">
        <v>472</v>
      </c>
      <c r="D196" s="176" t="s">
        <v>497</v>
      </c>
      <c r="E196" s="177">
        <v>2.18316716171187E-4</v>
      </c>
      <c r="F196" s="177">
        <v>0</v>
      </c>
      <c r="G196" s="177">
        <v>0.152259671871665</v>
      </c>
      <c r="H196" s="177">
        <v>0.15712852885131401</v>
      </c>
      <c r="I196" s="177">
        <v>2.18316716171187E-4</v>
      </c>
      <c r="J196" s="177">
        <v>2.18316716171187E-4</v>
      </c>
      <c r="K196" s="177">
        <v>2.18316716171187E-4</v>
      </c>
      <c r="L196" s="177">
        <v>2.18316716171187E-4</v>
      </c>
      <c r="M196" s="177">
        <v>2.18316716171187E-4</v>
      </c>
      <c r="N196" s="177">
        <v>2.18316716171187E-4</v>
      </c>
      <c r="O196" s="177">
        <v>0.675599380753927</v>
      </c>
      <c r="P196" s="177">
        <v>0</v>
      </c>
      <c r="Q196" s="177">
        <v>1.45757850907516E-2</v>
      </c>
      <c r="R196" s="177">
        <v>2.18316716171187E-4</v>
      </c>
      <c r="S196" s="178">
        <f>SUM(E196:R196)</f>
        <v>1.0013099002970269</v>
      </c>
      <c r="U196" s="175">
        <v>2050</v>
      </c>
      <c r="V196" s="175" t="s">
        <v>472</v>
      </c>
      <c r="W196" s="175">
        <v>2050</v>
      </c>
      <c r="X196" s="176" t="s">
        <v>497</v>
      </c>
      <c r="Y196" s="186">
        <f>+E196</f>
        <v>2.18316716171187E-4</v>
      </c>
      <c r="Z196" s="186">
        <f>+F196</f>
        <v>0</v>
      </c>
      <c r="AA196" s="186">
        <f>AA195</f>
        <v>0.17</v>
      </c>
      <c r="AB196" s="186">
        <f>AB195</f>
        <v>8.5000000000000006E-2</v>
      </c>
      <c r="AC196" s="186">
        <f t="shared" si="13"/>
        <v>2.18316716171187E-4</v>
      </c>
      <c r="AD196" s="186">
        <f t="shared" si="13"/>
        <v>2.18316716171187E-4</v>
      </c>
      <c r="AE196" s="186">
        <f t="shared" si="13"/>
        <v>2.18316716171187E-4</v>
      </c>
      <c r="AF196" s="186">
        <f t="shared" si="13"/>
        <v>2.18316716171187E-4</v>
      </c>
      <c r="AG196" s="186">
        <f t="shared" si="13"/>
        <v>2.18316716171187E-4</v>
      </c>
      <c r="AH196" s="186">
        <f t="shared" si="13"/>
        <v>2.18316716171187E-4</v>
      </c>
      <c r="AI196" s="186">
        <f>AI195</f>
        <v>0.68187088153521536</v>
      </c>
      <c r="AJ196" s="186">
        <f t="shared" si="14"/>
        <v>0</v>
      </c>
      <c r="AK196" s="186">
        <f t="shared" si="14"/>
        <v>1.45757850907516E-2</v>
      </c>
      <c r="AL196" s="186">
        <f t="shared" si="14"/>
        <v>2.18316716171187E-4</v>
      </c>
      <c r="AM196" s="172">
        <f>SUM(Y196:AL196)</f>
        <v>0.9531932003553365</v>
      </c>
      <c r="AO196" s="49"/>
    </row>
    <row r="197" spans="2:41" x14ac:dyDescent="0.3">
      <c r="B197" s="180"/>
      <c r="C197" s="180"/>
      <c r="D197" s="181"/>
      <c r="E197" s="182"/>
      <c r="F197" s="182"/>
      <c r="G197" s="182"/>
      <c r="H197" s="182"/>
      <c r="I197" s="182"/>
      <c r="J197" s="182"/>
      <c r="K197" s="182"/>
      <c r="L197" s="182"/>
      <c r="M197" s="182"/>
      <c r="N197" s="182"/>
      <c r="O197" s="182"/>
      <c r="P197" s="182"/>
      <c r="Q197" s="182"/>
      <c r="R197" s="182"/>
      <c r="S197" s="183"/>
      <c r="U197" s="180"/>
      <c r="V197" s="180"/>
      <c r="W197" s="180"/>
      <c r="X197" s="181"/>
      <c r="Y197" s="184"/>
      <c r="Z197" s="184"/>
      <c r="AA197" s="184"/>
      <c r="AB197" s="184"/>
      <c r="AC197" s="184"/>
      <c r="AD197" s="184"/>
      <c r="AE197" s="184"/>
      <c r="AF197" s="184"/>
      <c r="AG197" s="184"/>
      <c r="AH197" s="184"/>
      <c r="AI197" s="184"/>
      <c r="AJ197" s="184"/>
      <c r="AK197" s="184"/>
      <c r="AL197" s="184"/>
      <c r="AM197" s="185"/>
      <c r="AO197" s="49"/>
    </row>
    <row r="198" spans="2:41" x14ac:dyDescent="0.3">
      <c r="B198" s="170"/>
      <c r="C198" s="170" t="s">
        <v>25</v>
      </c>
      <c r="D198" s="170"/>
      <c r="E198" s="188"/>
      <c r="F198" s="188"/>
      <c r="G198" s="188"/>
      <c r="H198" s="188"/>
      <c r="I198" s="188"/>
      <c r="J198" s="188"/>
      <c r="K198" s="188"/>
      <c r="L198" s="188"/>
      <c r="M198" s="188"/>
      <c r="N198" s="188"/>
      <c r="O198" s="188"/>
      <c r="P198" s="188"/>
      <c r="Q198" s="188"/>
      <c r="R198" s="188"/>
      <c r="S198" s="178"/>
      <c r="U198" s="170"/>
      <c r="V198" s="634" t="s">
        <v>25</v>
      </c>
      <c r="W198" s="634"/>
      <c r="X198" s="634"/>
      <c r="Y198" s="171"/>
      <c r="Z198" s="171"/>
      <c r="AA198" s="171"/>
      <c r="AB198" s="171"/>
      <c r="AC198" s="171"/>
      <c r="AD198" s="171"/>
      <c r="AE198" s="171"/>
      <c r="AF198" s="171"/>
      <c r="AG198" s="171"/>
      <c r="AH198" s="171"/>
      <c r="AI198" s="171"/>
      <c r="AJ198" s="171"/>
      <c r="AK198" s="171"/>
      <c r="AL198" s="171"/>
      <c r="AM198" s="172"/>
      <c r="AO198" s="49"/>
    </row>
    <row r="199" spans="2:41" x14ac:dyDescent="0.3">
      <c r="B199" s="175">
        <v>2019</v>
      </c>
      <c r="C199" s="175" t="s">
        <v>474</v>
      </c>
      <c r="D199" s="176" t="s">
        <v>497</v>
      </c>
      <c r="E199" s="177">
        <v>0</v>
      </c>
      <c r="F199" s="177"/>
      <c r="G199" s="177">
        <v>5.0000000000000001E-3</v>
      </c>
      <c r="H199" s="177">
        <v>0.93</v>
      </c>
      <c r="I199" s="177">
        <v>5.0000000000000001E-3</v>
      </c>
      <c r="J199" s="177">
        <v>0</v>
      </c>
      <c r="K199" s="177">
        <v>0</v>
      </c>
      <c r="L199" s="177">
        <v>0</v>
      </c>
      <c r="M199" s="177">
        <v>0</v>
      </c>
      <c r="N199" s="177">
        <v>0</v>
      </c>
      <c r="O199" s="177">
        <v>0.06</v>
      </c>
      <c r="P199" s="177">
        <v>0</v>
      </c>
      <c r="Q199" s="177">
        <v>0</v>
      </c>
      <c r="R199" s="177">
        <v>0</v>
      </c>
      <c r="S199" s="178">
        <f>SUM(E199:R199)</f>
        <v>1</v>
      </c>
      <c r="U199" s="175">
        <v>2019</v>
      </c>
      <c r="V199" s="175" t="s">
        <v>474</v>
      </c>
      <c r="W199" s="175">
        <v>2019</v>
      </c>
      <c r="X199" s="176" t="s">
        <v>497</v>
      </c>
      <c r="Y199" s="186" t="e">
        <f t="shared" ref="Y199:AM199" si="15">INDEX(X$40:X$64,MATCH($V199,$V$40:$V$64,0))/INDEX($AL$40:$AL$64,MATCH($V199,$V$40:$V$64,0))</f>
        <v>#N/A</v>
      </c>
      <c r="Z199" s="186" t="e">
        <f t="shared" si="15"/>
        <v>#N/A</v>
      </c>
      <c r="AA199" s="186" t="e">
        <f t="shared" si="15"/>
        <v>#N/A</v>
      </c>
      <c r="AB199" s="186" t="e">
        <f t="shared" si="15"/>
        <v>#N/A</v>
      </c>
      <c r="AC199" s="186" t="e">
        <f t="shared" si="15"/>
        <v>#N/A</v>
      </c>
      <c r="AD199" s="186" t="e">
        <f t="shared" si="15"/>
        <v>#N/A</v>
      </c>
      <c r="AE199" s="186" t="e">
        <f t="shared" si="15"/>
        <v>#N/A</v>
      </c>
      <c r="AF199" s="186" t="e">
        <f t="shared" si="15"/>
        <v>#N/A</v>
      </c>
      <c r="AG199" s="186" t="e">
        <f t="shared" si="15"/>
        <v>#N/A</v>
      </c>
      <c r="AH199" s="186" t="e">
        <f t="shared" si="15"/>
        <v>#N/A</v>
      </c>
      <c r="AI199" s="186" t="e">
        <f t="shared" si="15"/>
        <v>#N/A</v>
      </c>
      <c r="AJ199" s="186" t="e">
        <f t="shared" si="15"/>
        <v>#N/A</v>
      </c>
      <c r="AK199" s="186" t="e">
        <f t="shared" si="15"/>
        <v>#N/A</v>
      </c>
      <c r="AL199" s="186" t="e">
        <f t="shared" si="15"/>
        <v>#N/A</v>
      </c>
      <c r="AM199" s="172" t="e">
        <f t="shared" si="15"/>
        <v>#N/A</v>
      </c>
      <c r="AO199" s="49" t="s">
        <v>528</v>
      </c>
    </row>
    <row r="200" spans="2:41" x14ac:dyDescent="0.3">
      <c r="B200" s="175">
        <v>2025</v>
      </c>
      <c r="C200" s="175" t="s">
        <v>474</v>
      </c>
      <c r="D200" s="176" t="s">
        <v>497</v>
      </c>
      <c r="E200" s="177">
        <v>0</v>
      </c>
      <c r="F200" s="177">
        <v>0</v>
      </c>
      <c r="G200" s="177">
        <v>5.0000000000000001E-3</v>
      </c>
      <c r="H200" s="177">
        <v>0.93</v>
      </c>
      <c r="I200" s="177">
        <v>5.0000000000000001E-3</v>
      </c>
      <c r="J200" s="177">
        <v>0</v>
      </c>
      <c r="K200" s="177">
        <v>0</v>
      </c>
      <c r="L200" s="177">
        <v>0</v>
      </c>
      <c r="M200" s="177">
        <v>0</v>
      </c>
      <c r="N200" s="177">
        <v>0</v>
      </c>
      <c r="O200" s="177">
        <v>0.06</v>
      </c>
      <c r="P200" s="177">
        <v>0</v>
      </c>
      <c r="Q200" s="177">
        <v>0</v>
      </c>
      <c r="R200" s="177">
        <v>0</v>
      </c>
      <c r="S200" s="178">
        <f>SUM(E200:R200)</f>
        <v>1</v>
      </c>
      <c r="U200" s="175">
        <v>2025</v>
      </c>
      <c r="V200" s="175" t="s">
        <v>474</v>
      </c>
      <c r="W200" s="175">
        <v>2025</v>
      </c>
      <c r="X200" s="176" t="s">
        <v>497</v>
      </c>
      <c r="Y200" s="186">
        <f t="shared" ref="Y200:AL200" si="16">+E200</f>
        <v>0</v>
      </c>
      <c r="Z200" s="186">
        <f t="shared" si="16"/>
        <v>0</v>
      </c>
      <c r="AA200" s="186">
        <f t="shared" si="16"/>
        <v>5.0000000000000001E-3</v>
      </c>
      <c r="AB200" s="186">
        <f t="shared" si="16"/>
        <v>0.93</v>
      </c>
      <c r="AC200" s="186">
        <f t="shared" si="16"/>
        <v>5.0000000000000001E-3</v>
      </c>
      <c r="AD200" s="186">
        <f t="shared" si="16"/>
        <v>0</v>
      </c>
      <c r="AE200" s="186">
        <f t="shared" si="16"/>
        <v>0</v>
      </c>
      <c r="AF200" s="186">
        <f t="shared" si="16"/>
        <v>0</v>
      </c>
      <c r="AG200" s="186">
        <f t="shared" si="16"/>
        <v>0</v>
      </c>
      <c r="AH200" s="186">
        <f t="shared" si="16"/>
        <v>0</v>
      </c>
      <c r="AI200" s="186">
        <f t="shared" si="16"/>
        <v>0.06</v>
      </c>
      <c r="AJ200" s="186">
        <f t="shared" si="16"/>
        <v>0</v>
      </c>
      <c r="AK200" s="186">
        <f t="shared" si="16"/>
        <v>0</v>
      </c>
      <c r="AL200" s="186">
        <f t="shared" si="16"/>
        <v>0</v>
      </c>
      <c r="AM200" s="172">
        <f>SUM(Y200:AL200)</f>
        <v>1</v>
      </c>
      <c r="AO200" s="49"/>
    </row>
    <row r="201" spans="2:41" x14ac:dyDescent="0.3">
      <c r="B201" s="175">
        <v>2050</v>
      </c>
      <c r="C201" s="175" t="s">
        <v>474</v>
      </c>
      <c r="D201" s="176" t="s">
        <v>497</v>
      </c>
      <c r="E201" s="177">
        <v>0</v>
      </c>
      <c r="F201" s="177">
        <v>0</v>
      </c>
      <c r="G201" s="177">
        <v>5.0000000000000001E-3</v>
      </c>
      <c r="H201" s="177">
        <v>0.23</v>
      </c>
      <c r="I201" s="177">
        <v>5.0000000000000001E-3</v>
      </c>
      <c r="J201" s="177">
        <v>0</v>
      </c>
      <c r="K201" s="177">
        <v>0</v>
      </c>
      <c r="L201" s="177">
        <v>0</v>
      </c>
      <c r="M201" s="177">
        <v>0</v>
      </c>
      <c r="N201" s="177">
        <v>0</v>
      </c>
      <c r="O201" s="177">
        <v>0.76</v>
      </c>
      <c r="P201" s="177">
        <v>0</v>
      </c>
      <c r="Q201" s="177">
        <v>0</v>
      </c>
      <c r="R201" s="177">
        <v>0</v>
      </c>
      <c r="S201" s="178">
        <f>SUM(E201:R201)</f>
        <v>1</v>
      </c>
      <c r="U201" s="175">
        <v>2050</v>
      </c>
      <c r="V201" s="175" t="s">
        <v>474</v>
      </c>
      <c r="W201" s="175">
        <v>2050</v>
      </c>
      <c r="X201" s="176" t="s">
        <v>497</v>
      </c>
      <c r="Y201" s="186">
        <f>+E201</f>
        <v>0</v>
      </c>
      <c r="Z201" s="186">
        <f>+F201</f>
        <v>0</v>
      </c>
      <c r="AA201" s="186">
        <f>+G201</f>
        <v>5.0000000000000001E-3</v>
      </c>
      <c r="AB201" s="186">
        <f>+AB200</f>
        <v>0.93</v>
      </c>
      <c r="AC201" s="186">
        <f t="shared" ref="AC201:AH201" si="17">+I201</f>
        <v>5.0000000000000001E-3</v>
      </c>
      <c r="AD201" s="186">
        <f t="shared" si="17"/>
        <v>0</v>
      </c>
      <c r="AE201" s="186">
        <f t="shared" si="17"/>
        <v>0</v>
      </c>
      <c r="AF201" s="186">
        <f t="shared" si="17"/>
        <v>0</v>
      </c>
      <c r="AG201" s="186">
        <f t="shared" si="17"/>
        <v>0</v>
      </c>
      <c r="AH201" s="186">
        <f t="shared" si="17"/>
        <v>0</v>
      </c>
      <c r="AI201" s="186">
        <f>+AI200</f>
        <v>0.06</v>
      </c>
      <c r="AJ201" s="186">
        <f>+P201</f>
        <v>0</v>
      </c>
      <c r="AK201" s="186">
        <f>+Q201</f>
        <v>0</v>
      </c>
      <c r="AL201" s="186">
        <f>+R201</f>
        <v>0</v>
      </c>
      <c r="AM201" s="172">
        <f>SUM(Y201:AL201)</f>
        <v>1</v>
      </c>
      <c r="AO201" s="49"/>
    </row>
    <row r="202" spans="2:41" x14ac:dyDescent="0.3">
      <c r="B202" s="180"/>
      <c r="C202" s="180"/>
      <c r="D202" s="181"/>
      <c r="E202" s="182"/>
      <c r="F202" s="182"/>
      <c r="G202" s="182"/>
      <c r="H202" s="182"/>
      <c r="I202" s="182"/>
      <c r="J202" s="182"/>
      <c r="K202" s="182"/>
      <c r="L202" s="182"/>
      <c r="M202" s="182"/>
      <c r="N202" s="182"/>
      <c r="O202" s="182"/>
      <c r="P202" s="182"/>
      <c r="Q202" s="182"/>
      <c r="R202" s="182"/>
      <c r="S202" s="183"/>
      <c r="U202" s="180"/>
      <c r="V202" s="180"/>
      <c r="W202" s="180"/>
      <c r="X202" s="181"/>
      <c r="Y202" s="184"/>
      <c r="Z202" s="184"/>
      <c r="AA202" s="184"/>
      <c r="AB202" s="184"/>
      <c r="AC202" s="184"/>
      <c r="AD202" s="184"/>
      <c r="AE202" s="184"/>
      <c r="AF202" s="184"/>
      <c r="AG202" s="184"/>
      <c r="AH202" s="184"/>
      <c r="AI202" s="184"/>
      <c r="AJ202" s="184"/>
      <c r="AK202" s="184"/>
      <c r="AL202" s="184"/>
      <c r="AM202" s="185"/>
      <c r="AO202" s="49"/>
    </row>
    <row r="203" spans="2:41" x14ac:dyDescent="0.3">
      <c r="B203" s="175">
        <v>2019</v>
      </c>
      <c r="C203" s="175" t="s">
        <v>475</v>
      </c>
      <c r="D203" s="176" t="s">
        <v>497</v>
      </c>
      <c r="E203" s="177">
        <v>0</v>
      </c>
      <c r="F203" s="177"/>
      <c r="G203" s="177">
        <v>6.8403293431177806E-2</v>
      </c>
      <c r="H203" s="177">
        <v>0.494979970656034</v>
      </c>
      <c r="I203" s="177">
        <v>3.0411115934223999E-2</v>
      </c>
      <c r="J203" s="177">
        <v>0</v>
      </c>
      <c r="K203" s="177">
        <v>0</v>
      </c>
      <c r="L203" s="177">
        <v>0</v>
      </c>
      <c r="M203" s="177">
        <v>0</v>
      </c>
      <c r="N203" s="177">
        <v>0</v>
      </c>
      <c r="O203" s="177">
        <v>0.22808336950668001</v>
      </c>
      <c r="P203" s="177">
        <v>0</v>
      </c>
      <c r="Q203" s="177">
        <v>0.17812225047188401</v>
      </c>
      <c r="R203" s="177">
        <v>0</v>
      </c>
      <c r="S203" s="178">
        <f>SUM(E203:R203)</f>
        <v>0.99999999999999978</v>
      </c>
      <c r="U203" s="175">
        <v>2019</v>
      </c>
      <c r="V203" s="175" t="s">
        <v>475</v>
      </c>
      <c r="W203" s="175">
        <v>2019</v>
      </c>
      <c r="X203" s="176" t="s">
        <v>497</v>
      </c>
      <c r="Y203" s="186">
        <f t="shared" ref="Y203:AM203" si="18">INDEX(X$40:X$64,MATCH($V203,$V$40:$V$64,0))/INDEX($AL$40:$AL$64,MATCH($V203,$V$40:$V$64,0))</f>
        <v>0</v>
      </c>
      <c r="Z203" s="186">
        <f t="shared" si="18"/>
        <v>0</v>
      </c>
      <c r="AA203" s="186">
        <f t="shared" si="18"/>
        <v>2.2797872030274474E-2</v>
      </c>
      <c r="AB203" s="186">
        <f t="shared" si="18"/>
        <v>0.64404566692837173</v>
      </c>
      <c r="AC203" s="186">
        <f t="shared" si="18"/>
        <v>1.4462768081301218E-2</v>
      </c>
      <c r="AD203" s="186">
        <f t="shared" si="18"/>
        <v>0</v>
      </c>
      <c r="AE203" s="186">
        <f t="shared" si="18"/>
        <v>0</v>
      </c>
      <c r="AF203" s="186">
        <f t="shared" si="18"/>
        <v>0</v>
      </c>
      <c r="AG203" s="186">
        <f t="shared" si="18"/>
        <v>0</v>
      </c>
      <c r="AH203" s="186">
        <f t="shared" si="18"/>
        <v>0</v>
      </c>
      <c r="AI203" s="186">
        <f t="shared" si="18"/>
        <v>0.17466629843776149</v>
      </c>
      <c r="AJ203" s="186">
        <f t="shared" si="18"/>
        <v>0</v>
      </c>
      <c r="AK203" s="186">
        <f t="shared" si="18"/>
        <v>0.14402739452229107</v>
      </c>
      <c r="AL203" s="186">
        <f t="shared" si="18"/>
        <v>0</v>
      </c>
      <c r="AM203" s="172">
        <f t="shared" si="18"/>
        <v>1</v>
      </c>
      <c r="AO203" s="49" t="s">
        <v>527</v>
      </c>
    </row>
    <row r="204" spans="2:41" x14ac:dyDescent="0.3">
      <c r="B204" s="175">
        <v>2025</v>
      </c>
      <c r="C204" s="175" t="s">
        <v>475</v>
      </c>
      <c r="D204" s="176" t="s">
        <v>497</v>
      </c>
      <c r="E204" s="177">
        <v>0</v>
      </c>
      <c r="F204" s="177">
        <v>0</v>
      </c>
      <c r="G204" s="177">
        <v>3.6519027230689297E-2</v>
      </c>
      <c r="H204" s="177">
        <v>0.494979970656034</v>
      </c>
      <c r="I204" s="177">
        <v>3.0411115934223999E-2</v>
      </c>
      <c r="J204" s="177">
        <v>0</v>
      </c>
      <c r="K204" s="177">
        <v>0</v>
      </c>
      <c r="L204" s="177">
        <v>0</v>
      </c>
      <c r="M204" s="177">
        <v>0</v>
      </c>
      <c r="N204" s="177">
        <v>0</v>
      </c>
      <c r="O204" s="177">
        <v>0.24821952548086201</v>
      </c>
      <c r="P204" s="177">
        <v>0</v>
      </c>
      <c r="Q204" s="177">
        <v>0.17812225047188401</v>
      </c>
      <c r="R204" s="177">
        <v>1.17E-2</v>
      </c>
      <c r="S204" s="178">
        <f>SUM(E204:R204)</f>
        <v>0.99995188977369331</v>
      </c>
      <c r="U204" s="175">
        <v>2025</v>
      </c>
      <c r="V204" s="175" t="s">
        <v>475</v>
      </c>
      <c r="W204" s="175">
        <v>2025</v>
      </c>
      <c r="X204" s="176" t="s">
        <v>497</v>
      </c>
      <c r="Y204" s="186">
        <f>+E204</f>
        <v>0</v>
      </c>
      <c r="Z204" s="186">
        <f>+F204</f>
        <v>0</v>
      </c>
      <c r="AA204" s="186">
        <v>0.03</v>
      </c>
      <c r="AB204" s="186">
        <v>0.64</v>
      </c>
      <c r="AC204" s="186">
        <f t="shared" ref="AC204:AH204" si="19">+I204</f>
        <v>3.0411115934223999E-2</v>
      </c>
      <c r="AD204" s="186">
        <f t="shared" si="19"/>
        <v>0</v>
      </c>
      <c r="AE204" s="186">
        <f t="shared" si="19"/>
        <v>0</v>
      </c>
      <c r="AF204" s="186">
        <f t="shared" si="19"/>
        <v>0</v>
      </c>
      <c r="AG204" s="186">
        <f t="shared" si="19"/>
        <v>0</v>
      </c>
      <c r="AH204" s="186">
        <f t="shared" si="19"/>
        <v>0</v>
      </c>
      <c r="AI204" s="186">
        <v>0.17</v>
      </c>
      <c r="AJ204" s="186">
        <f>+P204</f>
        <v>0</v>
      </c>
      <c r="AK204" s="186">
        <v>0.12</v>
      </c>
      <c r="AL204" s="186">
        <v>0.01</v>
      </c>
      <c r="AM204" s="172">
        <f>SUM(Y204:AL204)</f>
        <v>1.0004111159342239</v>
      </c>
      <c r="AO204" s="49" t="s">
        <v>529</v>
      </c>
    </row>
    <row r="205" spans="2:41" x14ac:dyDescent="0.3">
      <c r="B205" s="175">
        <v>2050</v>
      </c>
      <c r="C205" s="175" t="s">
        <v>475</v>
      </c>
      <c r="D205" s="176" t="s">
        <v>497</v>
      </c>
      <c r="E205" s="177">
        <v>0</v>
      </c>
      <c r="F205" s="177">
        <v>0</v>
      </c>
      <c r="G205" s="177">
        <v>0.01</v>
      </c>
      <c r="H205" s="177">
        <v>0.52149899788672405</v>
      </c>
      <c r="I205" s="177">
        <v>3.0411115934223999E-2</v>
      </c>
      <c r="J205" s="177">
        <v>0</v>
      </c>
      <c r="K205" s="177">
        <v>0</v>
      </c>
      <c r="L205" s="177">
        <v>0</v>
      </c>
      <c r="M205" s="177">
        <v>0</v>
      </c>
      <c r="N205" s="177">
        <v>0</v>
      </c>
      <c r="O205" s="177">
        <v>0.298219525480862</v>
      </c>
      <c r="P205" s="177">
        <v>0</v>
      </c>
      <c r="Q205" s="177">
        <v>0.128122250471884</v>
      </c>
      <c r="R205" s="177">
        <v>1.1748110226307101E-2</v>
      </c>
      <c r="S205" s="178">
        <f>SUM(E205:R205)</f>
        <v>1.0000000000000011</v>
      </c>
      <c r="U205" s="175">
        <v>2050</v>
      </c>
      <c r="V205" s="175" t="s">
        <v>475</v>
      </c>
      <c r="W205" s="175">
        <v>2050</v>
      </c>
      <c r="X205" s="176" t="s">
        <v>497</v>
      </c>
      <c r="Y205" s="186">
        <f>+E205</f>
        <v>0</v>
      </c>
      <c r="Z205" s="186">
        <f>+F205</f>
        <v>0</v>
      </c>
      <c r="AA205" s="186">
        <f>+G205</f>
        <v>0.01</v>
      </c>
      <c r="AB205" s="186">
        <v>0.64</v>
      </c>
      <c r="AC205" s="186">
        <v>0.05</v>
      </c>
      <c r="AD205" s="186">
        <f>+J205</f>
        <v>0</v>
      </c>
      <c r="AE205" s="186">
        <f>+K205</f>
        <v>0</v>
      </c>
      <c r="AF205" s="186">
        <f>+L205</f>
        <v>0</v>
      </c>
      <c r="AG205" s="186">
        <f>+M205</f>
        <v>0</v>
      </c>
      <c r="AH205" s="186">
        <f>+N205</f>
        <v>0</v>
      </c>
      <c r="AI205" s="186">
        <f>1-SUM(Y205:AH205,AJ205:AL205)</f>
        <v>0.19999999999999996</v>
      </c>
      <c r="AJ205" s="186">
        <f>+P205</f>
        <v>0</v>
      </c>
      <c r="AK205" s="186">
        <v>0.09</v>
      </c>
      <c r="AL205" s="186">
        <v>0.01</v>
      </c>
      <c r="AM205" s="172">
        <f>SUM(Y205:AL205)</f>
        <v>1</v>
      </c>
      <c r="AO205" s="49"/>
    </row>
    <row r="206" spans="2:41" x14ac:dyDescent="0.3">
      <c r="B206" s="180"/>
      <c r="C206" s="180"/>
      <c r="D206" s="181"/>
      <c r="E206" s="182"/>
      <c r="F206" s="182"/>
      <c r="G206" s="182"/>
      <c r="H206" s="182"/>
      <c r="I206" s="182"/>
      <c r="J206" s="182"/>
      <c r="K206" s="182"/>
      <c r="L206" s="182"/>
      <c r="M206" s="182"/>
      <c r="N206" s="182"/>
      <c r="O206" s="182"/>
      <c r="P206" s="182"/>
      <c r="Q206" s="182"/>
      <c r="R206" s="182"/>
      <c r="S206" s="183"/>
      <c r="U206" s="180"/>
      <c r="V206" s="180"/>
      <c r="W206" s="180"/>
      <c r="X206" s="181"/>
      <c r="Y206" s="184"/>
      <c r="Z206" s="184"/>
      <c r="AA206" s="184"/>
      <c r="AB206" s="184"/>
      <c r="AC206" s="184"/>
      <c r="AD206" s="184"/>
      <c r="AE206" s="184"/>
      <c r="AF206" s="184"/>
      <c r="AG206" s="184"/>
      <c r="AH206" s="184"/>
      <c r="AI206" s="184"/>
      <c r="AJ206" s="184"/>
      <c r="AK206" s="184"/>
      <c r="AL206" s="184"/>
      <c r="AM206" s="185"/>
      <c r="AO206" s="49"/>
    </row>
    <row r="207" spans="2:41" x14ac:dyDescent="0.3">
      <c r="B207" s="175">
        <v>2019</v>
      </c>
      <c r="C207" s="175" t="s">
        <v>478</v>
      </c>
      <c r="D207" s="176" t="s">
        <v>497</v>
      </c>
      <c r="E207" s="177">
        <v>8.1790103158823804E-2</v>
      </c>
      <c r="F207" s="177"/>
      <c r="G207" s="177">
        <v>5.8595894299541498E-2</v>
      </c>
      <c r="H207" s="177">
        <v>0.40213172017946802</v>
      </c>
      <c r="I207" s="177">
        <v>6.4971647823342804E-3</v>
      </c>
      <c r="J207" s="177">
        <v>0</v>
      </c>
      <c r="K207" s="177">
        <v>0</v>
      </c>
      <c r="L207" s="177">
        <v>0</v>
      </c>
      <c r="M207" s="177">
        <v>0</v>
      </c>
      <c r="N207" s="177">
        <v>0</v>
      </c>
      <c r="O207" s="177">
        <v>0.299028640919066</v>
      </c>
      <c r="P207" s="177">
        <v>0</v>
      </c>
      <c r="Q207" s="177">
        <v>0.15194510837917699</v>
      </c>
      <c r="R207" s="177">
        <v>0</v>
      </c>
      <c r="S207" s="178">
        <f>SUM(E207:R207)</f>
        <v>0.99998863171841057</v>
      </c>
      <c r="U207" s="175">
        <v>2019</v>
      </c>
      <c r="V207" s="175" t="s">
        <v>478</v>
      </c>
      <c r="W207" s="175">
        <v>2019</v>
      </c>
      <c r="X207" s="176" t="s">
        <v>497</v>
      </c>
      <c r="Y207" s="186">
        <f t="shared" ref="Y207:AM207" si="20">INDEX(X$40:X$64,MATCH($V207,$V$40:$V$64,0))/INDEX($AL$40:$AL$64,MATCH($V207,$V$40:$V$64,0))</f>
        <v>0.170315869678687</v>
      </c>
      <c r="Z207" s="186">
        <f t="shared" si="20"/>
        <v>0</v>
      </c>
      <c r="AA207" s="186">
        <f t="shared" si="20"/>
        <v>0</v>
      </c>
      <c r="AB207" s="186">
        <f t="shared" si="20"/>
        <v>-2.9233733835709483E-5</v>
      </c>
      <c r="AC207" s="186">
        <f t="shared" si="20"/>
        <v>3.6413531053419303E-2</v>
      </c>
      <c r="AD207" s="186">
        <f t="shared" si="20"/>
        <v>0</v>
      </c>
      <c r="AE207" s="186">
        <f t="shared" si="20"/>
        <v>0</v>
      </c>
      <c r="AF207" s="186">
        <f t="shared" si="20"/>
        <v>0</v>
      </c>
      <c r="AG207" s="186">
        <f t="shared" si="20"/>
        <v>0</v>
      </c>
      <c r="AH207" s="186">
        <f t="shared" si="20"/>
        <v>0</v>
      </c>
      <c r="AI207" s="186">
        <f t="shared" si="20"/>
        <v>0.57581314710275977</v>
      </c>
      <c r="AJ207" s="186">
        <f t="shared" si="20"/>
        <v>0</v>
      </c>
      <c r="AK207" s="186">
        <f t="shared" si="20"/>
        <v>0.21748668589896974</v>
      </c>
      <c r="AL207" s="186">
        <f t="shared" si="20"/>
        <v>0</v>
      </c>
      <c r="AM207" s="172">
        <f t="shared" si="20"/>
        <v>1</v>
      </c>
      <c r="AO207" s="49" t="s">
        <v>527</v>
      </c>
    </row>
    <row r="208" spans="2:41" x14ac:dyDescent="0.3">
      <c r="B208" s="175">
        <v>2025</v>
      </c>
      <c r="C208" s="175" t="s">
        <v>478</v>
      </c>
      <c r="D208" s="176" t="s">
        <v>497</v>
      </c>
      <c r="E208" s="177">
        <v>6.2550627514588494E-2</v>
      </c>
      <c r="F208" s="177">
        <v>0</v>
      </c>
      <c r="G208" s="177">
        <v>5.8595894299541498E-2</v>
      </c>
      <c r="H208" s="177">
        <v>0.39124178724877001</v>
      </c>
      <c r="I208" s="177">
        <v>1.7387097713031801E-2</v>
      </c>
      <c r="J208" s="177">
        <v>0</v>
      </c>
      <c r="K208" s="177">
        <v>0</v>
      </c>
      <c r="L208" s="177">
        <v>0</v>
      </c>
      <c r="M208" s="177">
        <v>0</v>
      </c>
      <c r="N208" s="177">
        <v>0</v>
      </c>
      <c r="O208" s="177">
        <v>0.30482105840411999</v>
      </c>
      <c r="P208" s="177">
        <v>0</v>
      </c>
      <c r="Q208" s="177">
        <v>0.16389187653864901</v>
      </c>
      <c r="R208" s="177">
        <v>0</v>
      </c>
      <c r="S208" s="178">
        <f>SUM(E208:R208)</f>
        <v>0.99848834171870082</v>
      </c>
      <c r="U208" s="175">
        <v>2025</v>
      </c>
      <c r="V208" s="175" t="s">
        <v>478</v>
      </c>
      <c r="W208" s="175">
        <v>2025</v>
      </c>
      <c r="X208" s="176" t="s">
        <v>497</v>
      </c>
      <c r="Y208" s="186">
        <v>0.4</v>
      </c>
      <c r="Z208" s="186">
        <f>+F208</f>
        <v>0</v>
      </c>
      <c r="AA208" s="186">
        <v>0.09</v>
      </c>
      <c r="AB208" s="186">
        <f>AB207+1%</f>
        <v>9.970766266164291E-3</v>
      </c>
      <c r="AC208" s="186">
        <f t="shared" ref="AC208:AH208" si="21">+I208</f>
        <v>1.7387097713031801E-2</v>
      </c>
      <c r="AD208" s="186">
        <f t="shared" si="21"/>
        <v>0</v>
      </c>
      <c r="AE208" s="186">
        <f t="shared" si="21"/>
        <v>0</v>
      </c>
      <c r="AF208" s="186">
        <f t="shared" si="21"/>
        <v>0</v>
      </c>
      <c r="AG208" s="186">
        <f t="shared" si="21"/>
        <v>0</v>
      </c>
      <c r="AH208" s="186">
        <f t="shared" si="21"/>
        <v>0</v>
      </c>
      <c r="AI208" s="186">
        <f>1-SUM(Y208:AH208,AJ208:AL208)</f>
        <v>0.262642136020804</v>
      </c>
      <c r="AJ208" s="186">
        <f>+P208</f>
        <v>0</v>
      </c>
      <c r="AK208" s="186">
        <v>0.22</v>
      </c>
      <c r="AL208" s="186">
        <f>+R208</f>
        <v>0</v>
      </c>
      <c r="AM208" s="172">
        <f>SUM(Y208:AL208)</f>
        <v>1</v>
      </c>
      <c r="AO208" s="49" t="s">
        <v>529</v>
      </c>
    </row>
    <row r="209" spans="2:43" x14ac:dyDescent="0.3">
      <c r="B209" s="175">
        <v>2050</v>
      </c>
      <c r="C209" s="175" t="s">
        <v>478</v>
      </c>
      <c r="D209" s="176" t="s">
        <v>497</v>
      </c>
      <c r="E209" s="177">
        <v>0</v>
      </c>
      <c r="F209" s="177">
        <v>0</v>
      </c>
      <c r="G209" s="177">
        <v>5.8595894299541498E-2</v>
      </c>
      <c r="H209" s="177">
        <v>0.39124178724877001</v>
      </c>
      <c r="I209" s="177">
        <v>1.7387097713031801E-2</v>
      </c>
      <c r="J209" s="177">
        <v>0</v>
      </c>
      <c r="K209" s="177">
        <v>0</v>
      </c>
      <c r="L209" s="177">
        <v>0</v>
      </c>
      <c r="M209" s="177">
        <v>0</v>
      </c>
      <c r="N209" s="177">
        <v>0</v>
      </c>
      <c r="O209" s="177">
        <v>0.32482105840412001</v>
      </c>
      <c r="P209" s="177">
        <v>0</v>
      </c>
      <c r="Q209" s="177">
        <v>0.20795416233453601</v>
      </c>
      <c r="R209" s="177">
        <v>0</v>
      </c>
      <c r="S209" s="178">
        <f>SUM(E209:R209)</f>
        <v>0.99999999999999933</v>
      </c>
      <c r="U209" s="175">
        <v>2050</v>
      </c>
      <c r="V209" s="175" t="s">
        <v>478</v>
      </c>
      <c r="W209" s="175">
        <v>2050</v>
      </c>
      <c r="X209" s="176" t="s">
        <v>497</v>
      </c>
      <c r="Y209" s="186">
        <v>0</v>
      </c>
      <c r="Z209" s="186">
        <f>+F209</f>
        <v>0</v>
      </c>
      <c r="AA209" s="186">
        <f>AA208</f>
        <v>0.09</v>
      </c>
      <c r="AB209" s="186">
        <f>AB208</f>
        <v>9.970766266164291E-3</v>
      </c>
      <c r="AC209" s="186">
        <f>AC208+3%</f>
        <v>4.7387097713031803E-2</v>
      </c>
      <c r="AD209" s="186">
        <f>+J209</f>
        <v>0</v>
      </c>
      <c r="AE209" s="186">
        <f>+K209</f>
        <v>0</v>
      </c>
      <c r="AF209" s="186">
        <f>+L209</f>
        <v>0</v>
      </c>
      <c r="AG209" s="186">
        <f>+M209</f>
        <v>0</v>
      </c>
      <c r="AH209" s="186">
        <f>+N209</f>
        <v>0</v>
      </c>
      <c r="AI209" s="186">
        <f>1-SUM(Y209:AH209,AJ209:AL209)</f>
        <v>0.59515545012183413</v>
      </c>
      <c r="AJ209" s="186">
        <f>+P209</f>
        <v>0</v>
      </c>
      <c r="AK209" s="186">
        <f>AK207+4%</f>
        <v>0.25748668589896972</v>
      </c>
      <c r="AL209" s="186">
        <f>+R209</f>
        <v>0</v>
      </c>
      <c r="AM209" s="172">
        <f>SUM(Y209:AL209)</f>
        <v>1</v>
      </c>
      <c r="AO209" s="49"/>
    </row>
    <row r="210" spans="2:43" x14ac:dyDescent="0.3">
      <c r="B210" s="180"/>
      <c r="C210" s="180"/>
      <c r="D210" s="181"/>
      <c r="E210" s="182"/>
      <c r="F210" s="182"/>
      <c r="G210" s="182"/>
      <c r="H210" s="182"/>
      <c r="I210" s="182"/>
      <c r="J210" s="182"/>
      <c r="K210" s="182"/>
      <c r="L210" s="182"/>
      <c r="M210" s="182"/>
      <c r="N210" s="182"/>
      <c r="O210" s="182"/>
      <c r="P210" s="182"/>
      <c r="Q210" s="182"/>
      <c r="R210" s="182"/>
      <c r="S210" s="183"/>
      <c r="U210" s="180"/>
      <c r="V210" s="180"/>
      <c r="W210" s="180"/>
      <c r="X210" s="181"/>
      <c r="Y210" s="184"/>
      <c r="Z210" s="184"/>
      <c r="AA210" s="184"/>
      <c r="AB210" s="184"/>
      <c r="AC210" s="184"/>
      <c r="AD210" s="184"/>
      <c r="AE210" s="184"/>
      <c r="AF210" s="184"/>
      <c r="AG210" s="184"/>
      <c r="AH210" s="184"/>
      <c r="AI210" s="184"/>
      <c r="AJ210" s="184"/>
      <c r="AK210" s="184"/>
      <c r="AL210" s="184"/>
      <c r="AM210" s="185"/>
      <c r="AO210" s="49"/>
    </row>
    <row r="211" spans="2:43" x14ac:dyDescent="0.3">
      <c r="B211" s="170"/>
      <c r="C211" s="170" t="s">
        <v>479</v>
      </c>
      <c r="D211" s="170"/>
      <c r="E211" s="188"/>
      <c r="F211" s="188"/>
      <c r="G211" s="188"/>
      <c r="H211" s="188"/>
      <c r="I211" s="188"/>
      <c r="J211" s="188"/>
      <c r="K211" s="188"/>
      <c r="L211" s="188"/>
      <c r="M211" s="188"/>
      <c r="N211" s="188"/>
      <c r="O211" s="188"/>
      <c r="P211" s="188"/>
      <c r="Q211" s="188"/>
      <c r="R211" s="188"/>
      <c r="S211" s="178"/>
      <c r="U211" s="170"/>
      <c r="V211" s="634" t="s">
        <v>479</v>
      </c>
      <c r="W211" s="634"/>
      <c r="X211" s="634"/>
      <c r="Y211" s="171"/>
      <c r="Z211" s="171"/>
      <c r="AA211" s="171"/>
      <c r="AB211" s="171"/>
      <c r="AC211" s="171"/>
      <c r="AD211" s="171"/>
      <c r="AE211" s="171"/>
      <c r="AF211" s="171"/>
      <c r="AG211" s="171"/>
      <c r="AH211" s="171"/>
      <c r="AI211" s="171"/>
      <c r="AJ211" s="171"/>
      <c r="AK211" s="171"/>
      <c r="AL211" s="171"/>
      <c r="AM211" s="172"/>
      <c r="AO211" s="49"/>
    </row>
    <row r="212" spans="2:43" x14ac:dyDescent="0.3">
      <c r="B212" s="175">
        <v>2019</v>
      </c>
      <c r="C212" s="175" t="s">
        <v>480</v>
      </c>
      <c r="D212" s="176" t="s">
        <v>497</v>
      </c>
      <c r="E212" s="177">
        <v>0.14000000000000001</v>
      </c>
      <c r="F212" s="177"/>
      <c r="G212" s="177">
        <v>0.38500000000000001</v>
      </c>
      <c r="H212" s="177">
        <v>0.02</v>
      </c>
      <c r="I212" s="177">
        <v>0.42499999999999999</v>
      </c>
      <c r="J212" s="177">
        <v>0</v>
      </c>
      <c r="K212" s="177">
        <v>0</v>
      </c>
      <c r="L212" s="177">
        <v>0</v>
      </c>
      <c r="M212" s="177">
        <v>0</v>
      </c>
      <c r="N212" s="177">
        <v>0</v>
      </c>
      <c r="O212" s="177">
        <v>0.03</v>
      </c>
      <c r="P212" s="177">
        <v>0</v>
      </c>
      <c r="Q212" s="177">
        <v>0</v>
      </c>
      <c r="R212" s="177">
        <v>0</v>
      </c>
      <c r="S212" s="178">
        <f>SUM(E212:R212)</f>
        <v>1</v>
      </c>
      <c r="U212" s="175">
        <v>2019</v>
      </c>
      <c r="V212" s="175" t="s">
        <v>480</v>
      </c>
      <c r="W212" s="175">
        <v>2019</v>
      </c>
      <c r="X212" s="176" t="s">
        <v>497</v>
      </c>
      <c r="Y212" s="186">
        <f t="shared" ref="Y212:AM212" si="22">INDEX(X$40:X$64,MATCH($V212,$V$40:$V$64,0))/INDEX($AL$40:$AL$64,MATCH($V212,$V$40:$V$64,0))</f>
        <v>0.14000000000000001</v>
      </c>
      <c r="Z212" s="186">
        <f t="shared" si="22"/>
        <v>0</v>
      </c>
      <c r="AA212" s="186">
        <f t="shared" si="22"/>
        <v>0.38499999999999995</v>
      </c>
      <c r="AB212" s="186">
        <f t="shared" si="22"/>
        <v>1.9999999999999997E-2</v>
      </c>
      <c r="AC212" s="186">
        <f t="shared" si="22"/>
        <v>0.16999999999999998</v>
      </c>
      <c r="AD212" s="186">
        <f t="shared" si="22"/>
        <v>0.25499999999999995</v>
      </c>
      <c r="AE212" s="186">
        <f t="shared" si="22"/>
        <v>0</v>
      </c>
      <c r="AF212" s="186">
        <f t="shared" si="22"/>
        <v>0</v>
      </c>
      <c r="AG212" s="186">
        <f t="shared" si="22"/>
        <v>0</v>
      </c>
      <c r="AH212" s="186">
        <f t="shared" si="22"/>
        <v>0</v>
      </c>
      <c r="AI212" s="186">
        <f t="shared" si="22"/>
        <v>2.9999999999999995E-2</v>
      </c>
      <c r="AJ212" s="186">
        <f t="shared" si="22"/>
        <v>0</v>
      </c>
      <c r="AK212" s="186">
        <f t="shared" si="22"/>
        <v>0</v>
      </c>
      <c r="AL212" s="186">
        <f t="shared" si="22"/>
        <v>0</v>
      </c>
      <c r="AM212" s="172">
        <f t="shared" si="22"/>
        <v>1</v>
      </c>
      <c r="AO212" s="49" t="s">
        <v>527</v>
      </c>
      <c r="AP212" s="3"/>
      <c r="AQ212" s="3"/>
    </row>
    <row r="213" spans="2:43" x14ac:dyDescent="0.3">
      <c r="B213" s="175">
        <v>2025</v>
      </c>
      <c r="C213" s="175" t="s">
        <v>480</v>
      </c>
      <c r="D213" s="176" t="s">
        <v>497</v>
      </c>
      <c r="E213" s="177">
        <v>0.13806751208555099</v>
      </c>
      <c r="F213" s="177">
        <v>0</v>
      </c>
      <c r="G213" s="177">
        <v>0.38500000000000001</v>
      </c>
      <c r="H213" s="177">
        <v>0.02</v>
      </c>
      <c r="I213" s="177">
        <v>0.42693248791444899</v>
      </c>
      <c r="J213" s="177">
        <v>0</v>
      </c>
      <c r="K213" s="177">
        <v>0</v>
      </c>
      <c r="L213" s="177">
        <v>0</v>
      </c>
      <c r="M213" s="177">
        <v>0</v>
      </c>
      <c r="N213" s="177">
        <v>0</v>
      </c>
      <c r="O213" s="177">
        <v>0.03</v>
      </c>
      <c r="P213" s="177">
        <v>0</v>
      </c>
      <c r="Q213" s="177">
        <v>0</v>
      </c>
      <c r="R213" s="177">
        <v>0</v>
      </c>
      <c r="S213" s="178">
        <f>SUM(E213:R213)</f>
        <v>1</v>
      </c>
      <c r="U213" s="175">
        <v>2025</v>
      </c>
      <c r="V213" s="175" t="s">
        <v>480</v>
      </c>
      <c r="W213" s="175">
        <v>2025</v>
      </c>
      <c r="X213" s="176" t="s">
        <v>497</v>
      </c>
      <c r="Y213" s="186">
        <v>0.09</v>
      </c>
      <c r="Z213" s="186">
        <f>+F213</f>
        <v>0</v>
      </c>
      <c r="AA213" s="186">
        <f>AA212</f>
        <v>0.38499999999999995</v>
      </c>
      <c r="AB213" s="186">
        <f>+H213</f>
        <v>0.02</v>
      </c>
      <c r="AC213" s="186">
        <v>0.17</v>
      </c>
      <c r="AD213" s="186">
        <v>0.24</v>
      </c>
      <c r="AE213" s="186">
        <f t="shared" ref="AE213:AH214" si="23">+K213</f>
        <v>0</v>
      </c>
      <c r="AF213" s="186">
        <f t="shared" si="23"/>
        <v>0</v>
      </c>
      <c r="AG213" s="186">
        <f t="shared" si="23"/>
        <v>0</v>
      </c>
      <c r="AH213" s="186">
        <f t="shared" si="23"/>
        <v>0</v>
      </c>
      <c r="AI213" s="186">
        <f>1-SUM(Y213:AH213)</f>
        <v>9.4999999999999973E-2</v>
      </c>
      <c r="AJ213" s="186">
        <f t="shared" ref="AJ213:AL214" si="24">+P213</f>
        <v>0</v>
      </c>
      <c r="AK213" s="186">
        <f t="shared" si="24"/>
        <v>0</v>
      </c>
      <c r="AL213" s="186">
        <f t="shared" si="24"/>
        <v>0</v>
      </c>
      <c r="AM213" s="172">
        <f>SUM(Y213:AL213)</f>
        <v>1</v>
      </c>
      <c r="AO213" s="49" t="s">
        <v>529</v>
      </c>
      <c r="AP213" s="3"/>
      <c r="AQ213" s="3"/>
    </row>
    <row r="214" spans="2:43" x14ac:dyDescent="0.3">
      <c r="B214" s="175">
        <v>2050</v>
      </c>
      <c r="C214" s="175" t="s">
        <v>480</v>
      </c>
      <c r="D214" s="176" t="s">
        <v>497</v>
      </c>
      <c r="E214" s="177">
        <v>8.8067512085551095E-2</v>
      </c>
      <c r="F214" s="177">
        <v>0</v>
      </c>
      <c r="G214" s="177">
        <v>0.33500000000000002</v>
      </c>
      <c r="H214" s="177">
        <v>0</v>
      </c>
      <c r="I214" s="177">
        <v>0.52693248791444902</v>
      </c>
      <c r="J214" s="177">
        <v>0</v>
      </c>
      <c r="K214" s="177">
        <v>0</v>
      </c>
      <c r="L214" s="177">
        <v>0</v>
      </c>
      <c r="M214" s="177">
        <v>0</v>
      </c>
      <c r="N214" s="177">
        <v>0</v>
      </c>
      <c r="O214" s="177">
        <v>0.03</v>
      </c>
      <c r="P214" s="177">
        <v>0</v>
      </c>
      <c r="Q214" s="177">
        <v>0</v>
      </c>
      <c r="R214" s="177">
        <v>0</v>
      </c>
      <c r="S214" s="178">
        <f>SUM(E214:R214)</f>
        <v>0.9800000000000002</v>
      </c>
      <c r="U214" s="175">
        <v>2050</v>
      </c>
      <c r="V214" s="175" t="s">
        <v>480</v>
      </c>
      <c r="W214" s="175">
        <v>2050</v>
      </c>
      <c r="X214" s="176" t="s">
        <v>497</v>
      </c>
      <c r="Y214" s="186">
        <f>+E214</f>
        <v>8.8067512085551095E-2</v>
      </c>
      <c r="Z214" s="186">
        <f>+F214</f>
        <v>0</v>
      </c>
      <c r="AA214" s="186">
        <f>AA213-5%</f>
        <v>0.33499999999999996</v>
      </c>
      <c r="AB214" s="186">
        <f>+H214</f>
        <v>0</v>
      </c>
      <c r="AC214" s="186">
        <f>AC213+4%</f>
        <v>0.21000000000000002</v>
      </c>
      <c r="AD214" s="186">
        <f>AD213+3%</f>
        <v>0.27</v>
      </c>
      <c r="AE214" s="186">
        <f t="shared" si="23"/>
        <v>0</v>
      </c>
      <c r="AF214" s="186">
        <f t="shared" si="23"/>
        <v>0</v>
      </c>
      <c r="AG214" s="186">
        <f t="shared" si="23"/>
        <v>0</v>
      </c>
      <c r="AH214" s="186">
        <f t="shared" si="23"/>
        <v>0</v>
      </c>
      <c r="AI214" s="186">
        <f>1-SUM(Y214:AH214)</f>
        <v>9.6932487914448862E-2</v>
      </c>
      <c r="AJ214" s="186">
        <f t="shared" si="24"/>
        <v>0</v>
      </c>
      <c r="AK214" s="186">
        <f t="shared" si="24"/>
        <v>0</v>
      </c>
      <c r="AL214" s="186">
        <f t="shared" si="24"/>
        <v>0</v>
      </c>
      <c r="AM214" s="172">
        <f>SUM(Y214:AL214)</f>
        <v>1</v>
      </c>
      <c r="AO214" s="49"/>
      <c r="AP214" s="3"/>
      <c r="AQ214" s="3"/>
    </row>
    <row r="215" spans="2:43" x14ac:dyDescent="0.3">
      <c r="B215" s="180"/>
      <c r="C215" s="180"/>
      <c r="D215" s="181"/>
      <c r="E215" s="182"/>
      <c r="F215" s="182"/>
      <c r="G215" s="182"/>
      <c r="H215" s="182"/>
      <c r="I215" s="182"/>
      <c r="J215" s="182"/>
      <c r="K215" s="182"/>
      <c r="L215" s="182"/>
      <c r="M215" s="182"/>
      <c r="N215" s="182"/>
      <c r="O215" s="182"/>
      <c r="P215" s="182"/>
      <c r="Q215" s="182"/>
      <c r="R215" s="182"/>
      <c r="S215" s="183"/>
      <c r="U215" s="180"/>
      <c r="V215" s="180"/>
      <c r="W215" s="180"/>
      <c r="X215" s="181"/>
      <c r="Y215" s="184"/>
      <c r="Z215" s="184"/>
      <c r="AA215" s="184"/>
      <c r="AB215" s="184"/>
      <c r="AC215" s="184"/>
      <c r="AD215" s="184"/>
      <c r="AE215" s="184"/>
      <c r="AF215" s="184"/>
      <c r="AG215" s="184"/>
      <c r="AH215" s="184"/>
      <c r="AI215" s="184"/>
      <c r="AJ215" s="184"/>
      <c r="AK215" s="184"/>
      <c r="AL215" s="184"/>
      <c r="AM215" s="185"/>
      <c r="AO215" s="49"/>
    </row>
    <row r="216" spans="2:43" x14ac:dyDescent="0.3">
      <c r="B216" s="175">
        <v>2019</v>
      </c>
      <c r="C216" s="175" t="s">
        <v>481</v>
      </c>
      <c r="D216" s="176" t="s">
        <v>497</v>
      </c>
      <c r="E216" s="177">
        <v>0</v>
      </c>
      <c r="F216" s="177"/>
      <c r="G216" s="177">
        <v>0.09</v>
      </c>
      <c r="H216" s="177">
        <v>0.67</v>
      </c>
      <c r="I216" s="177">
        <v>0</v>
      </c>
      <c r="J216" s="177">
        <v>0</v>
      </c>
      <c r="K216" s="177">
        <v>0</v>
      </c>
      <c r="L216" s="177">
        <v>0</v>
      </c>
      <c r="M216" s="177">
        <v>0</v>
      </c>
      <c r="N216" s="177">
        <v>0</v>
      </c>
      <c r="O216" s="177">
        <v>0.24</v>
      </c>
      <c r="P216" s="177">
        <v>0</v>
      </c>
      <c r="Q216" s="177">
        <v>0</v>
      </c>
      <c r="R216" s="177">
        <v>0</v>
      </c>
      <c r="S216" s="178">
        <f>SUM(E216:R216)</f>
        <v>1</v>
      </c>
      <c r="U216" s="175">
        <v>2019</v>
      </c>
      <c r="V216" s="175" t="s">
        <v>481</v>
      </c>
      <c r="W216" s="175">
        <v>2019</v>
      </c>
      <c r="X216" s="176" t="s">
        <v>497</v>
      </c>
      <c r="Y216" s="186">
        <f t="shared" ref="Y216:AM216" si="25">INDEX(X$40:X$64,MATCH($V216,$V$40:$V$64,0))/INDEX($AL$40:$AL$64,MATCH($V216,$V$40:$V$64,0))</f>
        <v>0</v>
      </c>
      <c r="Z216" s="186">
        <f t="shared" si="25"/>
        <v>0</v>
      </c>
      <c r="AA216" s="186">
        <f t="shared" si="25"/>
        <v>0.09</v>
      </c>
      <c r="AB216" s="186">
        <f t="shared" si="25"/>
        <v>0.67</v>
      </c>
      <c r="AC216" s="186">
        <f t="shared" si="25"/>
        <v>0</v>
      </c>
      <c r="AD216" s="186">
        <f t="shared" si="25"/>
        <v>0</v>
      </c>
      <c r="AE216" s="186">
        <f t="shared" si="25"/>
        <v>0</v>
      </c>
      <c r="AF216" s="186">
        <f t="shared" si="25"/>
        <v>0</v>
      </c>
      <c r="AG216" s="186">
        <f t="shared" si="25"/>
        <v>0</v>
      </c>
      <c r="AH216" s="186">
        <f t="shared" si="25"/>
        <v>0</v>
      </c>
      <c r="AI216" s="186">
        <f t="shared" si="25"/>
        <v>0.24</v>
      </c>
      <c r="AJ216" s="186">
        <f t="shared" si="25"/>
        <v>0</v>
      </c>
      <c r="AK216" s="186">
        <f t="shared" si="25"/>
        <v>0</v>
      </c>
      <c r="AL216" s="186">
        <f t="shared" si="25"/>
        <v>0</v>
      </c>
      <c r="AM216" s="172">
        <f t="shared" si="25"/>
        <v>1</v>
      </c>
      <c r="AO216" s="49" t="s">
        <v>505</v>
      </c>
    </row>
    <row r="217" spans="2:43" x14ac:dyDescent="0.3">
      <c r="B217" s="175">
        <v>2025</v>
      </c>
      <c r="C217" s="175" t="s">
        <v>481</v>
      </c>
      <c r="D217" s="176" t="s">
        <v>497</v>
      </c>
      <c r="E217" s="177">
        <v>0</v>
      </c>
      <c r="F217" s="177">
        <v>0</v>
      </c>
      <c r="G217" s="177">
        <v>0.09</v>
      </c>
      <c r="H217" s="177">
        <v>0.67</v>
      </c>
      <c r="I217" s="177">
        <v>0</v>
      </c>
      <c r="J217" s="177">
        <v>0</v>
      </c>
      <c r="K217" s="177">
        <v>0</v>
      </c>
      <c r="L217" s="177">
        <v>0</v>
      </c>
      <c r="M217" s="177">
        <v>0</v>
      </c>
      <c r="N217" s="177">
        <v>0</v>
      </c>
      <c r="O217" s="177">
        <v>0.24</v>
      </c>
      <c r="P217" s="177">
        <v>0</v>
      </c>
      <c r="Q217" s="177">
        <v>0</v>
      </c>
      <c r="R217" s="177">
        <v>0</v>
      </c>
      <c r="S217" s="178">
        <f>SUM(E217:R217)</f>
        <v>1</v>
      </c>
      <c r="U217" s="175">
        <v>2025</v>
      </c>
      <c r="V217" s="175" t="s">
        <v>481</v>
      </c>
      <c r="W217" s="175">
        <v>2025</v>
      </c>
      <c r="X217" s="176" t="s">
        <v>497</v>
      </c>
      <c r="Y217" s="186">
        <f t="shared" ref="Y217:AL218" si="26">+E217</f>
        <v>0</v>
      </c>
      <c r="Z217" s="186">
        <f t="shared" si="26"/>
        <v>0</v>
      </c>
      <c r="AA217" s="186">
        <f t="shared" si="26"/>
        <v>0.09</v>
      </c>
      <c r="AB217" s="186">
        <f t="shared" si="26"/>
        <v>0.67</v>
      </c>
      <c r="AC217" s="186">
        <f t="shared" si="26"/>
        <v>0</v>
      </c>
      <c r="AD217" s="186">
        <f t="shared" si="26"/>
        <v>0</v>
      </c>
      <c r="AE217" s="186">
        <f t="shared" si="26"/>
        <v>0</v>
      </c>
      <c r="AF217" s="186">
        <f t="shared" si="26"/>
        <v>0</v>
      </c>
      <c r="AG217" s="186">
        <f t="shared" si="26"/>
        <v>0</v>
      </c>
      <c r="AH217" s="186">
        <f t="shared" si="26"/>
        <v>0</v>
      </c>
      <c r="AI217" s="186">
        <f t="shared" si="26"/>
        <v>0.24</v>
      </c>
      <c r="AJ217" s="186">
        <f t="shared" si="26"/>
        <v>0</v>
      </c>
      <c r="AK217" s="186">
        <f t="shared" si="26"/>
        <v>0</v>
      </c>
      <c r="AL217" s="186">
        <f t="shared" si="26"/>
        <v>0</v>
      </c>
      <c r="AM217" s="172">
        <f>SUM(Y217:AL217)</f>
        <v>1</v>
      </c>
      <c r="AO217" s="49"/>
    </row>
    <row r="218" spans="2:43" x14ac:dyDescent="0.3">
      <c r="B218" s="175">
        <v>2050</v>
      </c>
      <c r="C218" s="175" t="s">
        <v>481</v>
      </c>
      <c r="D218" s="176" t="s">
        <v>497</v>
      </c>
      <c r="E218" s="177">
        <v>0</v>
      </c>
      <c r="F218" s="177">
        <v>0</v>
      </c>
      <c r="G218" s="177">
        <v>0.02</v>
      </c>
      <c r="H218" s="177">
        <v>0.67</v>
      </c>
      <c r="I218" s="177">
        <v>0</v>
      </c>
      <c r="J218" s="177">
        <v>0</v>
      </c>
      <c r="K218" s="177">
        <v>0</v>
      </c>
      <c r="L218" s="177">
        <v>0</v>
      </c>
      <c r="M218" s="177">
        <v>0</v>
      </c>
      <c r="N218" s="177">
        <v>0</v>
      </c>
      <c r="O218" s="177">
        <v>0.31</v>
      </c>
      <c r="P218" s="177">
        <v>0</v>
      </c>
      <c r="Q218" s="177">
        <v>0</v>
      </c>
      <c r="R218" s="177">
        <v>0</v>
      </c>
      <c r="S218" s="178">
        <f>SUM(E218:R218)</f>
        <v>1</v>
      </c>
      <c r="U218" s="175">
        <v>2050</v>
      </c>
      <c r="V218" s="175" t="s">
        <v>481</v>
      </c>
      <c r="W218" s="175">
        <v>2050</v>
      </c>
      <c r="X218" s="176" t="s">
        <v>497</v>
      </c>
      <c r="Y218" s="186">
        <f t="shared" si="26"/>
        <v>0</v>
      </c>
      <c r="Z218" s="186">
        <f t="shared" si="26"/>
        <v>0</v>
      </c>
      <c r="AA218" s="186">
        <f t="shared" si="26"/>
        <v>0.02</v>
      </c>
      <c r="AB218" s="186">
        <f t="shared" si="26"/>
        <v>0.67</v>
      </c>
      <c r="AC218" s="186">
        <f t="shared" si="26"/>
        <v>0</v>
      </c>
      <c r="AD218" s="186">
        <f t="shared" si="26"/>
        <v>0</v>
      </c>
      <c r="AE218" s="186">
        <f t="shared" si="26"/>
        <v>0</v>
      </c>
      <c r="AF218" s="186">
        <f t="shared" si="26"/>
        <v>0</v>
      </c>
      <c r="AG218" s="186">
        <f t="shared" si="26"/>
        <v>0</v>
      </c>
      <c r="AH218" s="186">
        <f t="shared" si="26"/>
        <v>0</v>
      </c>
      <c r="AI218" s="186">
        <f t="shared" si="26"/>
        <v>0.31</v>
      </c>
      <c r="AJ218" s="186">
        <f t="shared" si="26"/>
        <v>0</v>
      </c>
      <c r="AK218" s="186">
        <f t="shared" si="26"/>
        <v>0</v>
      </c>
      <c r="AL218" s="186">
        <f t="shared" si="26"/>
        <v>0</v>
      </c>
      <c r="AM218" s="172">
        <f>SUM(Y218:AL218)</f>
        <v>1</v>
      </c>
      <c r="AO218" s="49"/>
    </row>
    <row r="219" spans="2:43" x14ac:dyDescent="0.3">
      <c r="B219" s="180"/>
      <c r="C219" s="180"/>
      <c r="D219" s="181"/>
      <c r="E219" s="182"/>
      <c r="F219" s="182"/>
      <c r="G219" s="182"/>
      <c r="H219" s="182"/>
      <c r="I219" s="182"/>
      <c r="J219" s="182"/>
      <c r="K219" s="182"/>
      <c r="L219" s="182"/>
      <c r="M219" s="182"/>
      <c r="N219" s="182"/>
      <c r="O219" s="182"/>
      <c r="P219" s="182"/>
      <c r="Q219" s="182"/>
      <c r="R219" s="182"/>
      <c r="S219" s="183"/>
      <c r="U219" s="180"/>
      <c r="V219" s="180"/>
      <c r="W219" s="180"/>
      <c r="X219" s="181"/>
      <c r="Y219" s="184"/>
      <c r="Z219" s="184"/>
      <c r="AA219" s="184"/>
      <c r="AB219" s="184"/>
      <c r="AC219" s="184"/>
      <c r="AD219" s="184"/>
      <c r="AE219" s="184"/>
      <c r="AF219" s="184"/>
      <c r="AG219" s="184"/>
      <c r="AH219" s="184"/>
      <c r="AI219" s="184"/>
      <c r="AJ219" s="184"/>
      <c r="AK219" s="184"/>
      <c r="AL219" s="184"/>
      <c r="AM219" s="185"/>
      <c r="AO219" s="49"/>
    </row>
    <row r="220" spans="2:43" x14ac:dyDescent="0.3">
      <c r="B220" s="175">
        <v>2019</v>
      </c>
      <c r="C220" s="175" t="s">
        <v>482</v>
      </c>
      <c r="D220" s="176" t="s">
        <v>497</v>
      </c>
      <c r="E220" s="177">
        <v>7.2272284052321403E-2</v>
      </c>
      <c r="F220" s="177"/>
      <c r="G220" s="177">
        <v>2.01689588256188E-2</v>
      </c>
      <c r="H220" s="177">
        <v>0.59944091663669197</v>
      </c>
      <c r="I220" s="177">
        <v>1.9519577919500101E-2</v>
      </c>
      <c r="J220" s="177">
        <v>0</v>
      </c>
      <c r="K220" s="177">
        <v>0</v>
      </c>
      <c r="L220" s="177">
        <v>0</v>
      </c>
      <c r="M220" s="177">
        <v>0</v>
      </c>
      <c r="N220" s="177">
        <v>0</v>
      </c>
      <c r="O220" s="177">
        <v>0.28856456772665201</v>
      </c>
      <c r="P220" s="177">
        <v>0</v>
      </c>
      <c r="Q220" s="177">
        <v>0</v>
      </c>
      <c r="R220" s="177">
        <v>0</v>
      </c>
      <c r="S220" s="178">
        <f>SUM(E220:R220)</f>
        <v>0.99996630516078433</v>
      </c>
      <c r="U220" s="175">
        <v>2019</v>
      </c>
      <c r="V220" s="175" t="s">
        <v>482</v>
      </c>
      <c r="W220" s="175">
        <v>2019</v>
      </c>
      <c r="X220" s="176" t="s">
        <v>497</v>
      </c>
      <c r="Y220" s="186">
        <f t="shared" ref="Y220:AM220" si="27">INDEX(X$40:X$64,MATCH($V220,$V$40:$V$64,0))/INDEX($AL$40:$AL$64,MATCH($V220,$V$40:$V$64,0))</f>
        <v>5.8824428211733226E-2</v>
      </c>
      <c r="Z220" s="186">
        <f t="shared" si="27"/>
        <v>2.3692803972379425E-2</v>
      </c>
      <c r="AA220" s="186">
        <f t="shared" si="27"/>
        <v>0.12818758280126549</v>
      </c>
      <c r="AB220" s="186">
        <f t="shared" si="27"/>
        <v>0.3694993728006245</v>
      </c>
      <c r="AC220" s="186">
        <f t="shared" si="27"/>
        <v>0.18685925692665384</v>
      </c>
      <c r="AD220" s="186">
        <f t="shared" si="27"/>
        <v>0</v>
      </c>
      <c r="AE220" s="186">
        <f t="shared" si="27"/>
        <v>0</v>
      </c>
      <c r="AF220" s="186">
        <f t="shared" si="27"/>
        <v>0</v>
      </c>
      <c r="AG220" s="186">
        <f t="shared" si="27"/>
        <v>0</v>
      </c>
      <c r="AH220" s="186">
        <f t="shared" si="27"/>
        <v>0</v>
      </c>
      <c r="AI220" s="186">
        <f t="shared" si="27"/>
        <v>0.2229644852361167</v>
      </c>
      <c r="AJ220" s="186">
        <f t="shared" si="27"/>
        <v>0</v>
      </c>
      <c r="AK220" s="186">
        <f t="shared" si="27"/>
        <v>9.9720700512267117E-3</v>
      </c>
      <c r="AL220" s="186">
        <f t="shared" si="27"/>
        <v>0</v>
      </c>
      <c r="AM220" s="172">
        <f t="shared" si="27"/>
        <v>1</v>
      </c>
      <c r="AO220" s="49" t="s">
        <v>530</v>
      </c>
    </row>
    <row r="221" spans="2:43" x14ac:dyDescent="0.3">
      <c r="B221" s="175">
        <v>2025</v>
      </c>
      <c r="C221" s="175" t="s">
        <v>482</v>
      </c>
      <c r="D221" s="176" t="s">
        <v>497</v>
      </c>
      <c r="E221" s="177">
        <v>7.18828948153757E-2</v>
      </c>
      <c r="F221" s="177">
        <v>0</v>
      </c>
      <c r="G221" s="177">
        <v>2.01689588256188E-2</v>
      </c>
      <c r="H221" s="177">
        <v>0.59670049547708004</v>
      </c>
      <c r="I221" s="177">
        <v>2.2259999079112702E-2</v>
      </c>
      <c r="J221" s="177">
        <v>0</v>
      </c>
      <c r="K221" s="177">
        <v>0</v>
      </c>
      <c r="L221" s="177">
        <v>0</v>
      </c>
      <c r="M221" s="177">
        <v>0</v>
      </c>
      <c r="N221" s="177">
        <v>0</v>
      </c>
      <c r="O221" s="177">
        <v>0.28886443240466703</v>
      </c>
      <c r="P221" s="177">
        <v>0</v>
      </c>
      <c r="Q221" s="177">
        <v>0</v>
      </c>
      <c r="R221" s="177">
        <v>0</v>
      </c>
      <c r="S221" s="178">
        <f>SUM(E221:R221)</f>
        <v>0.99987678060185425</v>
      </c>
      <c r="U221" s="175">
        <v>2025</v>
      </c>
      <c r="V221" s="175" t="s">
        <v>482</v>
      </c>
      <c r="W221" s="175">
        <v>2025</v>
      </c>
      <c r="X221" s="176" t="s">
        <v>497</v>
      </c>
      <c r="Y221" s="186">
        <v>4.4999999999999998E-2</v>
      </c>
      <c r="Z221" s="186">
        <f>+F221</f>
        <v>0</v>
      </c>
      <c r="AA221" s="186">
        <f>+G221</f>
        <v>2.01689588256188E-2</v>
      </c>
      <c r="AB221" s="186">
        <v>0.64500000000000002</v>
      </c>
      <c r="AC221" s="186">
        <v>0.04</v>
      </c>
      <c r="AD221" s="186">
        <f t="shared" ref="AD221:AH222" si="28">+J221</f>
        <v>0</v>
      </c>
      <c r="AE221" s="186">
        <f t="shared" si="28"/>
        <v>0</v>
      </c>
      <c r="AF221" s="186">
        <f t="shared" si="28"/>
        <v>0</v>
      </c>
      <c r="AG221" s="186">
        <f t="shared" si="28"/>
        <v>0</v>
      </c>
      <c r="AH221" s="186">
        <f t="shared" si="28"/>
        <v>0</v>
      </c>
      <c r="AI221" s="186">
        <v>0.25</v>
      </c>
      <c r="AJ221" s="186">
        <f t="shared" ref="AJ221:AL222" si="29">+P221</f>
        <v>0</v>
      </c>
      <c r="AK221" s="186">
        <f t="shared" si="29"/>
        <v>0</v>
      </c>
      <c r="AL221" s="186">
        <f t="shared" si="29"/>
        <v>0</v>
      </c>
      <c r="AM221" s="172">
        <f>SUM(Y221:AL221)</f>
        <v>1.0001689588256188</v>
      </c>
      <c r="AO221" s="49" t="s">
        <v>529</v>
      </c>
    </row>
    <row r="222" spans="2:43" x14ac:dyDescent="0.3">
      <c r="B222" s="175">
        <v>2050</v>
      </c>
      <c r="C222" s="175" t="s">
        <v>482</v>
      </c>
      <c r="D222" s="176" t="s">
        <v>497</v>
      </c>
      <c r="E222" s="177">
        <v>7.18828948153757E-2</v>
      </c>
      <c r="F222" s="177">
        <v>0</v>
      </c>
      <c r="G222" s="177">
        <v>2.01689588256188E-2</v>
      </c>
      <c r="H222" s="177">
        <v>0.58907901911512295</v>
      </c>
      <c r="I222" s="177">
        <v>0</v>
      </c>
      <c r="J222" s="177">
        <v>0</v>
      </c>
      <c r="K222" s="177">
        <v>0</v>
      </c>
      <c r="L222" s="177">
        <v>0</v>
      </c>
      <c r="M222" s="177">
        <v>0</v>
      </c>
      <c r="N222" s="177">
        <v>0</v>
      </c>
      <c r="O222" s="177">
        <v>0.318864432404667</v>
      </c>
      <c r="P222" s="177">
        <v>0</v>
      </c>
      <c r="Q222" s="177">
        <v>0</v>
      </c>
      <c r="R222" s="177">
        <v>0</v>
      </c>
      <c r="S222" s="178">
        <f>SUM(E222:R222)</f>
        <v>0.99999530516078439</v>
      </c>
      <c r="U222" s="175">
        <v>2050</v>
      </c>
      <c r="V222" s="175" t="s">
        <v>482</v>
      </c>
      <c r="W222" s="175">
        <v>2050</v>
      </c>
      <c r="X222" s="176" t="s">
        <v>497</v>
      </c>
      <c r="Y222" s="186">
        <v>0</v>
      </c>
      <c r="Z222" s="186">
        <f>+F222</f>
        <v>0</v>
      </c>
      <c r="AA222" s="186">
        <v>0.01</v>
      </c>
      <c r="AB222" s="186">
        <v>0.59</v>
      </c>
      <c r="AC222" s="186">
        <v>0.05</v>
      </c>
      <c r="AD222" s="186">
        <f t="shared" si="28"/>
        <v>0</v>
      </c>
      <c r="AE222" s="186">
        <f t="shared" si="28"/>
        <v>0</v>
      </c>
      <c r="AF222" s="186">
        <f t="shared" si="28"/>
        <v>0</v>
      </c>
      <c r="AG222" s="186">
        <f t="shared" si="28"/>
        <v>0</v>
      </c>
      <c r="AH222" s="186">
        <f t="shared" si="28"/>
        <v>0</v>
      </c>
      <c r="AI222" s="186">
        <v>0.64</v>
      </c>
      <c r="AJ222" s="186">
        <f t="shared" si="29"/>
        <v>0</v>
      </c>
      <c r="AK222" s="186">
        <f t="shared" si="29"/>
        <v>0</v>
      </c>
      <c r="AL222" s="186">
        <f t="shared" si="29"/>
        <v>0</v>
      </c>
      <c r="AM222" s="172">
        <f>SUM(Y222:AL222)</f>
        <v>1.29</v>
      </c>
      <c r="AO222" s="49"/>
    </row>
    <row r="223" spans="2:43" x14ac:dyDescent="0.3">
      <c r="B223" s="180"/>
      <c r="C223" s="180"/>
      <c r="D223" s="181"/>
      <c r="E223" s="182"/>
      <c r="F223" s="182"/>
      <c r="G223" s="182"/>
      <c r="H223" s="182"/>
      <c r="I223" s="182"/>
      <c r="J223" s="182"/>
      <c r="K223" s="182"/>
      <c r="L223" s="182"/>
      <c r="M223" s="182"/>
      <c r="N223" s="182"/>
      <c r="O223" s="182"/>
      <c r="P223" s="182"/>
      <c r="Q223" s="182"/>
      <c r="R223" s="182"/>
      <c r="S223" s="183"/>
      <c r="U223" s="180"/>
      <c r="V223" s="180"/>
      <c r="W223" s="180"/>
      <c r="X223" s="181"/>
      <c r="Y223" s="184"/>
      <c r="Z223" s="184"/>
      <c r="AA223" s="184"/>
      <c r="AB223" s="184"/>
      <c r="AC223" s="184"/>
      <c r="AD223" s="184"/>
      <c r="AE223" s="184"/>
      <c r="AF223" s="184"/>
      <c r="AG223" s="184"/>
      <c r="AH223" s="184"/>
      <c r="AI223" s="184"/>
      <c r="AJ223" s="184"/>
      <c r="AK223" s="184"/>
      <c r="AL223" s="184"/>
      <c r="AM223" s="185"/>
      <c r="AO223" s="49"/>
    </row>
    <row r="224" spans="2:43" x14ac:dyDescent="0.3">
      <c r="B224" s="170"/>
      <c r="C224" s="170" t="s">
        <v>483</v>
      </c>
      <c r="D224" s="170"/>
      <c r="E224" s="188"/>
      <c r="F224" s="188"/>
      <c r="G224" s="188"/>
      <c r="H224" s="188"/>
      <c r="I224" s="188"/>
      <c r="J224" s="188"/>
      <c r="K224" s="188"/>
      <c r="L224" s="188"/>
      <c r="M224" s="188"/>
      <c r="N224" s="188"/>
      <c r="O224" s="188"/>
      <c r="P224" s="188"/>
      <c r="Q224" s="188"/>
      <c r="R224" s="188"/>
      <c r="S224" s="178"/>
      <c r="U224" s="170"/>
      <c r="V224" s="634" t="s">
        <v>483</v>
      </c>
      <c r="W224" s="634"/>
      <c r="X224" s="634"/>
      <c r="Y224" s="171"/>
      <c r="Z224" s="171"/>
      <c r="AA224" s="171"/>
      <c r="AB224" s="171"/>
      <c r="AC224" s="171"/>
      <c r="AD224" s="171"/>
      <c r="AE224" s="171"/>
      <c r="AF224" s="171"/>
      <c r="AG224" s="171"/>
      <c r="AH224" s="171"/>
      <c r="AI224" s="171"/>
      <c r="AJ224" s="171"/>
      <c r="AK224" s="171"/>
      <c r="AL224" s="171"/>
      <c r="AM224" s="172"/>
      <c r="AO224" s="49"/>
    </row>
    <row r="225" spans="2:41" x14ac:dyDescent="0.3">
      <c r="B225" s="175">
        <v>2019</v>
      </c>
      <c r="C225" s="175" t="s">
        <v>484</v>
      </c>
      <c r="D225" s="176" t="s">
        <v>497</v>
      </c>
      <c r="E225" s="177">
        <v>0.186</v>
      </c>
      <c r="F225" s="177"/>
      <c r="G225" s="177">
        <v>0.09</v>
      </c>
      <c r="H225" s="177">
        <v>0.67</v>
      </c>
      <c r="I225" s="177">
        <v>4.0000000000000001E-3</v>
      </c>
      <c r="J225" s="177">
        <v>0</v>
      </c>
      <c r="K225" s="177">
        <v>0</v>
      </c>
      <c r="L225" s="177">
        <v>0</v>
      </c>
      <c r="M225" s="177">
        <v>0</v>
      </c>
      <c r="N225" s="177">
        <v>0</v>
      </c>
      <c r="O225" s="177">
        <v>0.05</v>
      </c>
      <c r="P225" s="177">
        <v>0</v>
      </c>
      <c r="Q225" s="177">
        <v>0</v>
      </c>
      <c r="R225" s="177">
        <v>0</v>
      </c>
      <c r="S225" s="178">
        <f>SUM(E225:R225)</f>
        <v>1</v>
      </c>
      <c r="U225" s="175">
        <v>2019</v>
      </c>
      <c r="V225" s="175" t="s">
        <v>484</v>
      </c>
      <c r="W225" s="175">
        <v>2019</v>
      </c>
      <c r="X225" s="176" t="s">
        <v>497</v>
      </c>
      <c r="Y225" s="186">
        <f t="shared" ref="Y225:AM225" si="30">INDEX(X$40:X$64,MATCH($V225,$V$40:$V$64,0))/INDEX($AL$40:$AL$64,MATCH($V225,$V$40:$V$64,0))</f>
        <v>0.186</v>
      </c>
      <c r="Z225" s="186">
        <f t="shared" si="30"/>
        <v>0</v>
      </c>
      <c r="AA225" s="186">
        <f t="shared" si="30"/>
        <v>0.09</v>
      </c>
      <c r="AB225" s="186">
        <f t="shared" si="30"/>
        <v>0.67</v>
      </c>
      <c r="AC225" s="186">
        <f t="shared" si="30"/>
        <v>4.0000000000000001E-3</v>
      </c>
      <c r="AD225" s="186">
        <f t="shared" si="30"/>
        <v>0</v>
      </c>
      <c r="AE225" s="186">
        <f t="shared" si="30"/>
        <v>0</v>
      </c>
      <c r="AF225" s="186">
        <f t="shared" si="30"/>
        <v>0</v>
      </c>
      <c r="AG225" s="186">
        <f t="shared" si="30"/>
        <v>0</v>
      </c>
      <c r="AH225" s="186">
        <f t="shared" si="30"/>
        <v>0</v>
      </c>
      <c r="AI225" s="186">
        <f t="shared" si="30"/>
        <v>0.05</v>
      </c>
      <c r="AJ225" s="186">
        <f t="shared" si="30"/>
        <v>0</v>
      </c>
      <c r="AK225" s="186">
        <f t="shared" si="30"/>
        <v>0</v>
      </c>
      <c r="AL225" s="186">
        <f t="shared" si="30"/>
        <v>0</v>
      </c>
      <c r="AM225" s="172">
        <f t="shared" si="30"/>
        <v>1</v>
      </c>
      <c r="AO225" s="49" t="s">
        <v>531</v>
      </c>
    </row>
    <row r="226" spans="2:41" x14ac:dyDescent="0.3">
      <c r="B226" s="175">
        <v>2025</v>
      </c>
      <c r="C226" s="175" t="s">
        <v>484</v>
      </c>
      <c r="D226" s="176" t="s">
        <v>497</v>
      </c>
      <c r="E226" s="177">
        <v>0.15175876436862501</v>
      </c>
      <c r="F226" s="177">
        <v>0</v>
      </c>
      <c r="G226" s="177">
        <v>0.09</v>
      </c>
      <c r="H226" s="177">
        <v>0.67</v>
      </c>
      <c r="I226" s="177">
        <v>0</v>
      </c>
      <c r="J226" s="177">
        <v>0</v>
      </c>
      <c r="K226" s="177">
        <v>0</v>
      </c>
      <c r="L226" s="177">
        <v>0</v>
      </c>
      <c r="M226" s="177">
        <v>0</v>
      </c>
      <c r="N226" s="177">
        <v>0</v>
      </c>
      <c r="O226" s="177">
        <v>7.4778557978260093E-2</v>
      </c>
      <c r="P226" s="177">
        <v>0</v>
      </c>
      <c r="Q226" s="177">
        <v>9.4626776531150699E-3</v>
      </c>
      <c r="R226" s="177">
        <v>0</v>
      </c>
      <c r="S226" s="178">
        <f>SUM(E226:R226)</f>
        <v>0.99600000000000011</v>
      </c>
      <c r="U226" s="175">
        <v>2025</v>
      </c>
      <c r="V226" s="175" t="s">
        <v>484</v>
      </c>
      <c r="W226" s="175">
        <v>2025</v>
      </c>
      <c r="X226" s="176" t="s">
        <v>497</v>
      </c>
      <c r="Y226" s="186">
        <v>0.16</v>
      </c>
      <c r="Z226" s="186">
        <f>+F226</f>
        <v>0</v>
      </c>
      <c r="AA226" s="186">
        <f>8.5%</f>
        <v>8.5000000000000006E-2</v>
      </c>
      <c r="AB226" s="186">
        <v>0.66600000000000004</v>
      </c>
      <c r="AC226" s="186">
        <v>0.02</v>
      </c>
      <c r="AD226" s="186">
        <f t="shared" ref="AD226:AH227" si="31">+J226</f>
        <v>0</v>
      </c>
      <c r="AE226" s="186">
        <f t="shared" si="31"/>
        <v>0</v>
      </c>
      <c r="AF226" s="186">
        <f t="shared" si="31"/>
        <v>0</v>
      </c>
      <c r="AG226" s="186">
        <f t="shared" si="31"/>
        <v>0</v>
      </c>
      <c r="AH226" s="186">
        <f t="shared" si="31"/>
        <v>0</v>
      </c>
      <c r="AI226" s="186">
        <v>0.06</v>
      </c>
      <c r="AJ226" s="186">
        <f t="shared" ref="AJ226:AL227" si="32">+P226</f>
        <v>0</v>
      </c>
      <c r="AK226" s="186">
        <f t="shared" si="32"/>
        <v>9.4626776531150699E-3</v>
      </c>
      <c r="AL226" s="186">
        <f t="shared" si="32"/>
        <v>0</v>
      </c>
      <c r="AM226" s="172">
        <f>SUM(Y226:AL226)</f>
        <v>1.0004626776531151</v>
      </c>
      <c r="AO226" s="49" t="s">
        <v>529</v>
      </c>
    </row>
    <row r="227" spans="2:41" x14ac:dyDescent="0.3">
      <c r="B227" s="175">
        <v>2050</v>
      </c>
      <c r="C227" s="175" t="s">
        <v>484</v>
      </c>
      <c r="D227" s="176" t="s">
        <v>497</v>
      </c>
      <c r="E227" s="177">
        <v>0</v>
      </c>
      <c r="F227" s="177">
        <v>0</v>
      </c>
      <c r="G227" s="177">
        <v>4.4999999999999998E-2</v>
      </c>
      <c r="H227" s="177">
        <v>0.766758764368625</v>
      </c>
      <c r="I227" s="177">
        <v>0</v>
      </c>
      <c r="J227" s="177">
        <v>0</v>
      </c>
      <c r="K227" s="177">
        <v>0</v>
      </c>
      <c r="L227" s="177">
        <v>0</v>
      </c>
      <c r="M227" s="177">
        <v>0</v>
      </c>
      <c r="N227" s="177">
        <v>0</v>
      </c>
      <c r="O227" s="177">
        <v>0.17477855797826</v>
      </c>
      <c r="P227" s="177">
        <v>0</v>
      </c>
      <c r="Q227" s="177">
        <v>9.4626776531150699E-3</v>
      </c>
      <c r="R227" s="177">
        <v>0</v>
      </c>
      <c r="S227" s="178">
        <f>SUM(E227:R227)</f>
        <v>0.99600000000000011</v>
      </c>
      <c r="U227" s="175">
        <v>2050</v>
      </c>
      <c r="V227" s="175" t="s">
        <v>484</v>
      </c>
      <c r="W227" s="175">
        <v>2050</v>
      </c>
      <c r="X227" s="176" t="s">
        <v>497</v>
      </c>
      <c r="Y227" s="186">
        <f>+E227</f>
        <v>0</v>
      </c>
      <c r="Z227" s="186">
        <f>+F227</f>
        <v>0</v>
      </c>
      <c r="AA227" s="186">
        <v>0.02</v>
      </c>
      <c r="AB227" s="186">
        <v>0.746</v>
      </c>
      <c r="AC227" s="186">
        <v>0.05</v>
      </c>
      <c r="AD227" s="186">
        <f t="shared" si="31"/>
        <v>0</v>
      </c>
      <c r="AE227" s="186">
        <f t="shared" si="31"/>
        <v>0</v>
      </c>
      <c r="AF227" s="186">
        <f t="shared" si="31"/>
        <v>0</v>
      </c>
      <c r="AG227" s="186">
        <f t="shared" si="31"/>
        <v>0</v>
      </c>
      <c r="AH227" s="186">
        <f t="shared" si="31"/>
        <v>0</v>
      </c>
      <c r="AI227" s="186">
        <f>+O227</f>
        <v>0.17477855797826</v>
      </c>
      <c r="AJ227" s="186">
        <f t="shared" si="32"/>
        <v>0</v>
      </c>
      <c r="AK227" s="186">
        <f t="shared" si="32"/>
        <v>9.4626776531150699E-3</v>
      </c>
      <c r="AL227" s="186">
        <f t="shared" si="32"/>
        <v>0</v>
      </c>
      <c r="AM227" s="172">
        <f>SUM(Y227:AL227)</f>
        <v>1.0002412356313752</v>
      </c>
      <c r="AO227" s="49"/>
    </row>
    <row r="228" spans="2:41" x14ac:dyDescent="0.3">
      <c r="B228" s="180"/>
      <c r="C228" s="180"/>
      <c r="D228" s="181"/>
      <c r="E228" s="182"/>
      <c r="F228" s="182"/>
      <c r="G228" s="182"/>
      <c r="H228" s="182"/>
      <c r="I228" s="182"/>
      <c r="J228" s="182"/>
      <c r="K228" s="182"/>
      <c r="L228" s="182"/>
      <c r="M228" s="182"/>
      <c r="N228" s="182"/>
      <c r="O228" s="182"/>
      <c r="P228" s="182"/>
      <c r="Q228" s="182"/>
      <c r="R228" s="182"/>
      <c r="S228" s="183"/>
      <c r="U228" s="180"/>
      <c r="V228" s="180"/>
      <c r="W228" s="180"/>
      <c r="X228" s="181"/>
      <c r="Y228" s="184"/>
      <c r="Z228" s="184"/>
      <c r="AA228" s="184"/>
      <c r="AB228" s="184"/>
      <c r="AC228" s="184"/>
      <c r="AD228" s="184"/>
      <c r="AE228" s="184"/>
      <c r="AF228" s="184"/>
      <c r="AG228" s="184"/>
      <c r="AH228" s="184"/>
      <c r="AI228" s="184"/>
      <c r="AJ228" s="184"/>
      <c r="AK228" s="184"/>
      <c r="AL228" s="184"/>
      <c r="AM228" s="185"/>
      <c r="AO228" s="49"/>
    </row>
    <row r="229" spans="2:41" x14ac:dyDescent="0.3">
      <c r="B229" s="175">
        <v>2019</v>
      </c>
      <c r="C229" s="175" t="s">
        <v>485</v>
      </c>
      <c r="D229" s="176" t="s">
        <v>497</v>
      </c>
      <c r="E229" s="177">
        <v>8.0396422478601296E-3</v>
      </c>
      <c r="F229" s="177"/>
      <c r="G229" s="177">
        <v>4.0987243078700303E-2</v>
      </c>
      <c r="H229" s="177">
        <v>0.39554572706645102</v>
      </c>
      <c r="I229" s="177">
        <v>4.6457005701464299E-2</v>
      </c>
      <c r="J229" s="177">
        <v>0</v>
      </c>
      <c r="K229" s="177">
        <v>0</v>
      </c>
      <c r="L229" s="177">
        <v>0</v>
      </c>
      <c r="M229" s="177">
        <v>0</v>
      </c>
      <c r="N229" s="177">
        <v>0</v>
      </c>
      <c r="O229" s="177">
        <v>0.45612245802627299</v>
      </c>
      <c r="P229" s="177">
        <v>0</v>
      </c>
      <c r="Q229" s="177">
        <v>5.5782681281329703E-2</v>
      </c>
      <c r="R229" s="177">
        <v>0</v>
      </c>
      <c r="S229" s="178">
        <f>SUM(E229:R229)</f>
        <v>1.0029347574020786</v>
      </c>
      <c r="U229" s="175">
        <v>2019</v>
      </c>
      <c r="V229" s="175" t="s">
        <v>485</v>
      </c>
      <c r="W229" s="175">
        <v>2019</v>
      </c>
      <c r="X229" s="176" t="s">
        <v>497</v>
      </c>
      <c r="Y229" s="186">
        <f t="shared" ref="Y229:AM229" si="33">INDEX(X$40:X$64,MATCH($V229,$V$40:$V$64,0))/INDEX($AL$40:$AL$64,MATCH($V229,$V$40:$V$64,0))</f>
        <v>2.2225402622000442E-2</v>
      </c>
      <c r="Z229" s="186">
        <f t="shared" si="33"/>
        <v>2.3519892243492172E-3</v>
      </c>
      <c r="AA229" s="186">
        <f t="shared" si="33"/>
        <v>4.6066563404915439E-2</v>
      </c>
      <c r="AB229" s="186">
        <f t="shared" si="33"/>
        <v>0.38199565523654433</v>
      </c>
      <c r="AC229" s="186">
        <f t="shared" si="33"/>
        <v>3.6285740635702668E-2</v>
      </c>
      <c r="AD229" s="186">
        <f t="shared" si="33"/>
        <v>0</v>
      </c>
      <c r="AE229" s="186">
        <f t="shared" si="33"/>
        <v>0</v>
      </c>
      <c r="AF229" s="186">
        <f t="shared" si="33"/>
        <v>0</v>
      </c>
      <c r="AG229" s="186">
        <f t="shared" si="33"/>
        <v>0</v>
      </c>
      <c r="AH229" s="186">
        <f t="shared" si="33"/>
        <v>0</v>
      </c>
      <c r="AI229" s="186">
        <f t="shared" si="33"/>
        <v>0.43290371304474523</v>
      </c>
      <c r="AJ229" s="186">
        <f t="shared" si="33"/>
        <v>0</v>
      </c>
      <c r="AK229" s="186">
        <f t="shared" si="33"/>
        <v>7.8170935831742727E-2</v>
      </c>
      <c r="AL229" s="186">
        <f t="shared" si="33"/>
        <v>0</v>
      </c>
      <c r="AM229" s="172">
        <f t="shared" si="33"/>
        <v>1</v>
      </c>
      <c r="AO229" s="49"/>
    </row>
    <row r="230" spans="2:41" x14ac:dyDescent="0.3">
      <c r="B230" s="175">
        <v>2025</v>
      </c>
      <c r="C230" s="175" t="s">
        <v>485</v>
      </c>
      <c r="D230" s="176" t="s">
        <v>497</v>
      </c>
      <c r="E230" s="177">
        <v>0</v>
      </c>
      <c r="F230" s="177">
        <v>0</v>
      </c>
      <c r="G230" s="177">
        <v>2.7540056386653699E-2</v>
      </c>
      <c r="H230" s="177">
        <v>0.379441691839836</v>
      </c>
      <c r="I230" s="177">
        <v>7.7366489552603099E-2</v>
      </c>
      <c r="J230" s="177">
        <v>0</v>
      </c>
      <c r="K230" s="177">
        <v>0</v>
      </c>
      <c r="L230" s="177">
        <v>0</v>
      </c>
      <c r="M230" s="177">
        <v>0</v>
      </c>
      <c r="N230" s="177">
        <v>0</v>
      </c>
      <c r="O230" s="177">
        <v>0.45636348652369502</v>
      </c>
      <c r="P230" s="177">
        <v>0</v>
      </c>
      <c r="Q230" s="177">
        <v>5.5823099680444598E-2</v>
      </c>
      <c r="R230" s="177">
        <v>0</v>
      </c>
      <c r="S230" s="178">
        <f>SUM(E230:R230)</f>
        <v>0.99653482398323245</v>
      </c>
      <c r="U230" s="175">
        <v>2025</v>
      </c>
      <c r="V230" s="175" t="s">
        <v>485</v>
      </c>
      <c r="W230" s="175">
        <v>2025</v>
      </c>
      <c r="X230" s="176" t="s">
        <v>497</v>
      </c>
      <c r="Y230" s="186">
        <f>+E230</f>
        <v>0</v>
      </c>
      <c r="Z230" s="186">
        <f>+F230</f>
        <v>0</v>
      </c>
      <c r="AA230" s="186">
        <v>2.5000000000000001E-2</v>
      </c>
      <c r="AB230" s="186">
        <f>+H230</f>
        <v>0.379441691839836</v>
      </c>
      <c r="AC230" s="186">
        <v>0.06</v>
      </c>
      <c r="AD230" s="186">
        <f t="shared" ref="AD230:AH231" si="34">+J230</f>
        <v>0</v>
      </c>
      <c r="AE230" s="186">
        <f t="shared" si="34"/>
        <v>0</v>
      </c>
      <c r="AF230" s="186">
        <f t="shared" si="34"/>
        <v>0</v>
      </c>
      <c r="AG230" s="186">
        <f t="shared" si="34"/>
        <v>0</v>
      </c>
      <c r="AH230" s="186">
        <f t="shared" si="34"/>
        <v>0</v>
      </c>
      <c r="AI230" s="186">
        <v>0.48</v>
      </c>
      <c r="AJ230" s="186">
        <f t="shared" ref="AJ230:AL231" si="35">+P230</f>
        <v>0</v>
      </c>
      <c r="AK230" s="186">
        <f t="shared" si="35"/>
        <v>5.5823099680444598E-2</v>
      </c>
      <c r="AL230" s="186">
        <f t="shared" si="35"/>
        <v>0</v>
      </c>
      <c r="AM230" s="172">
        <f>SUM(Y230:AL230)</f>
        <v>1.0002647915202805</v>
      </c>
      <c r="AO230" s="49"/>
    </row>
    <row r="231" spans="2:41" x14ac:dyDescent="0.3">
      <c r="B231" s="175">
        <v>2050</v>
      </c>
      <c r="C231" s="175" t="s">
        <v>485</v>
      </c>
      <c r="D231" s="176" t="s">
        <v>497</v>
      </c>
      <c r="E231" s="177">
        <v>0</v>
      </c>
      <c r="F231" s="177">
        <v>0</v>
      </c>
      <c r="G231" s="177">
        <v>0</v>
      </c>
      <c r="H231" s="177">
        <v>0.38</v>
      </c>
      <c r="I231" s="177">
        <v>0.1</v>
      </c>
      <c r="J231" s="177">
        <v>0</v>
      </c>
      <c r="K231" s="177">
        <v>0</v>
      </c>
      <c r="L231" s="177">
        <v>0</v>
      </c>
      <c r="M231" s="177">
        <v>0</v>
      </c>
      <c r="N231" s="177">
        <v>0</v>
      </c>
      <c r="O231" s="177">
        <v>0.464176900319556</v>
      </c>
      <c r="P231" s="177">
        <v>0</v>
      </c>
      <c r="Q231" s="177">
        <v>5.5823099680444598E-2</v>
      </c>
      <c r="R231" s="177">
        <v>0</v>
      </c>
      <c r="S231" s="178">
        <f>SUM(E231:R231)</f>
        <v>1.0000000000000004</v>
      </c>
      <c r="U231" s="175">
        <v>2050</v>
      </c>
      <c r="V231" s="175" t="s">
        <v>485</v>
      </c>
      <c r="W231" s="175">
        <v>2050</v>
      </c>
      <c r="X231" s="176" t="s">
        <v>497</v>
      </c>
      <c r="Y231" s="186">
        <f>+E231</f>
        <v>0</v>
      </c>
      <c r="Z231" s="186">
        <f>+F231</f>
        <v>0</v>
      </c>
      <c r="AA231" s="186">
        <f>+G231</f>
        <v>0</v>
      </c>
      <c r="AB231" s="186">
        <f>+H231</f>
        <v>0.38</v>
      </c>
      <c r="AC231" s="186">
        <f>8%</f>
        <v>0.08</v>
      </c>
      <c r="AD231" s="186">
        <f t="shared" si="34"/>
        <v>0</v>
      </c>
      <c r="AE231" s="186">
        <f t="shared" si="34"/>
        <v>0</v>
      </c>
      <c r="AF231" s="186">
        <f t="shared" si="34"/>
        <v>0</v>
      </c>
      <c r="AG231" s="186">
        <f t="shared" si="34"/>
        <v>0</v>
      </c>
      <c r="AH231" s="186">
        <f t="shared" si="34"/>
        <v>0</v>
      </c>
      <c r="AI231" s="186">
        <v>0.48399999999999999</v>
      </c>
      <c r="AJ231" s="186">
        <f t="shared" si="35"/>
        <v>0</v>
      </c>
      <c r="AK231" s="186">
        <f t="shared" si="35"/>
        <v>5.5823099680444598E-2</v>
      </c>
      <c r="AL231" s="186">
        <f t="shared" si="35"/>
        <v>0</v>
      </c>
      <c r="AM231" s="172">
        <f>SUM(Y231:AL231)</f>
        <v>0.99982309968044458</v>
      </c>
      <c r="AO231" s="49"/>
    </row>
    <row r="232" spans="2:41" x14ac:dyDescent="0.3">
      <c r="B232" s="180"/>
      <c r="C232" s="180"/>
      <c r="D232" s="181"/>
      <c r="E232" s="182"/>
      <c r="F232" s="182"/>
      <c r="G232" s="182"/>
      <c r="H232" s="182"/>
      <c r="I232" s="182"/>
      <c r="J232" s="182"/>
      <c r="K232" s="182"/>
      <c r="L232" s="182"/>
      <c r="M232" s="182"/>
      <c r="N232" s="182"/>
      <c r="O232" s="182"/>
      <c r="P232" s="182"/>
      <c r="Q232" s="182"/>
      <c r="R232" s="182"/>
      <c r="S232" s="183"/>
      <c r="U232" s="180"/>
      <c r="V232" s="180"/>
      <c r="W232" s="180"/>
      <c r="X232" s="181"/>
      <c r="Y232" s="171"/>
      <c r="Z232" s="171"/>
      <c r="AA232" s="171"/>
      <c r="AB232" s="171"/>
      <c r="AC232" s="171"/>
      <c r="AD232" s="171"/>
      <c r="AE232" s="171"/>
      <c r="AF232" s="171"/>
      <c r="AG232" s="171"/>
      <c r="AH232" s="171"/>
      <c r="AI232" s="171"/>
      <c r="AJ232" s="171"/>
      <c r="AK232" s="171"/>
      <c r="AL232" s="171"/>
      <c r="AM232" s="185"/>
      <c r="AO232" s="49"/>
    </row>
    <row r="233" spans="2:41" x14ac:dyDescent="0.3">
      <c r="B233" s="170">
        <v>2019</v>
      </c>
      <c r="C233" s="170" t="s">
        <v>486</v>
      </c>
      <c r="D233" s="170"/>
      <c r="E233" s="177">
        <v>9.7767349260523308E-3</v>
      </c>
      <c r="F233" s="177"/>
      <c r="G233" s="177">
        <v>4.5328498296415401E-2</v>
      </c>
      <c r="H233" s="177">
        <v>0.366218714448237</v>
      </c>
      <c r="I233" s="177">
        <v>3.4129692832764501E-3</v>
      </c>
      <c r="J233" s="177">
        <v>0</v>
      </c>
      <c r="K233" s="177">
        <v>0</v>
      </c>
      <c r="L233" s="177">
        <v>0</v>
      </c>
      <c r="M233" s="177">
        <v>0</v>
      </c>
      <c r="N233" s="177">
        <v>0</v>
      </c>
      <c r="O233" s="177">
        <v>0.57416097838452795</v>
      </c>
      <c r="P233" s="177">
        <v>0</v>
      </c>
      <c r="Q233" s="177">
        <v>1.10210466439164E-3</v>
      </c>
      <c r="R233" s="177">
        <v>0</v>
      </c>
      <c r="S233" s="178">
        <f>SUM(E233:R233)</f>
        <v>1.0000000000029008</v>
      </c>
      <c r="U233" s="170">
        <v>2019</v>
      </c>
      <c r="V233" s="170" t="s">
        <v>486</v>
      </c>
      <c r="W233" s="193">
        <v>2019</v>
      </c>
      <c r="X233" s="170"/>
      <c r="Y233" s="186">
        <f t="shared" ref="Y233:AM233" si="36">INDEX(X$40:X$64,MATCH($V233,$V$40:$V$64,0))/INDEX($AL$40:$AL$64,MATCH($V233,$V$40:$V$64,0))</f>
        <v>8.3013990767005202E-3</v>
      </c>
      <c r="Z233" s="186">
        <f t="shared" si="36"/>
        <v>8.3013990767005202E-3</v>
      </c>
      <c r="AA233" s="186">
        <f t="shared" si="36"/>
        <v>4.0460377582643842E-2</v>
      </c>
      <c r="AB233" s="186">
        <f t="shared" si="36"/>
        <v>0.34027899928580496</v>
      </c>
      <c r="AC233" s="186">
        <f t="shared" si="36"/>
        <v>1.0248979091153257E-2</v>
      </c>
      <c r="AD233" s="186">
        <f t="shared" si="36"/>
        <v>0</v>
      </c>
      <c r="AE233" s="186">
        <f t="shared" si="36"/>
        <v>0</v>
      </c>
      <c r="AF233" s="186">
        <f t="shared" si="36"/>
        <v>0</v>
      </c>
      <c r="AG233" s="186">
        <f t="shared" si="36"/>
        <v>0</v>
      </c>
      <c r="AH233" s="186">
        <f t="shared" si="36"/>
        <v>0</v>
      </c>
      <c r="AI233" s="186">
        <f t="shared" si="36"/>
        <v>0.58049486383623083</v>
      </c>
      <c r="AJ233" s="186">
        <f t="shared" si="36"/>
        <v>0</v>
      </c>
      <c r="AK233" s="186">
        <f t="shared" si="36"/>
        <v>1.1913982050766009E-2</v>
      </c>
      <c r="AL233" s="186">
        <f t="shared" si="36"/>
        <v>0</v>
      </c>
      <c r="AM233" s="172">
        <f t="shared" si="36"/>
        <v>1</v>
      </c>
      <c r="AO233" s="49" t="s">
        <v>532</v>
      </c>
    </row>
    <row r="234" spans="2:41" x14ac:dyDescent="0.3">
      <c r="B234" s="170">
        <v>2025</v>
      </c>
      <c r="C234" s="170" t="s">
        <v>486</v>
      </c>
      <c r="D234" s="170"/>
      <c r="E234" s="177">
        <v>9.6145620022753207E-3</v>
      </c>
      <c r="F234" s="177">
        <v>0</v>
      </c>
      <c r="G234" s="177">
        <v>4.5328498296415401E-2</v>
      </c>
      <c r="H234" s="177">
        <v>0.36181179367236099</v>
      </c>
      <c r="I234" s="177">
        <v>7.8198900591522694E-3</v>
      </c>
      <c r="J234" s="177">
        <v>0</v>
      </c>
      <c r="K234" s="177">
        <v>0</v>
      </c>
      <c r="L234" s="177">
        <v>0</v>
      </c>
      <c r="M234" s="177">
        <v>0</v>
      </c>
      <c r="N234" s="177">
        <v>0</v>
      </c>
      <c r="O234" s="177">
        <v>0.57419922022113401</v>
      </c>
      <c r="P234" s="177">
        <v>0</v>
      </c>
      <c r="Q234" s="177">
        <v>1.2597185009542401E-3</v>
      </c>
      <c r="R234" s="177">
        <v>0</v>
      </c>
      <c r="S234" s="178">
        <f>SUM(E234:R234)</f>
        <v>1.0000336827522922</v>
      </c>
      <c r="U234" s="170">
        <v>2025</v>
      </c>
      <c r="V234" s="170" t="s">
        <v>486</v>
      </c>
      <c r="W234" s="193">
        <v>2025</v>
      </c>
      <c r="X234" s="170"/>
      <c r="Y234" s="186">
        <v>0</v>
      </c>
      <c r="Z234" s="186">
        <f>+F234</f>
        <v>0</v>
      </c>
      <c r="AA234" s="186">
        <f>+G234</f>
        <v>4.5328498296415401E-2</v>
      </c>
      <c r="AB234" s="186">
        <v>0.36499999999999999</v>
      </c>
      <c r="AC234" s="186">
        <f>0.8%</f>
        <v>8.0000000000000002E-3</v>
      </c>
      <c r="AD234" s="186">
        <f t="shared" ref="AD234:AH234" si="37">+J234</f>
        <v>0</v>
      </c>
      <c r="AE234" s="186">
        <f t="shared" si="37"/>
        <v>0</v>
      </c>
      <c r="AF234" s="186">
        <f t="shared" si="37"/>
        <v>0</v>
      </c>
      <c r="AG234" s="186">
        <f t="shared" si="37"/>
        <v>0</v>
      </c>
      <c r="AH234" s="186">
        <f t="shared" si="37"/>
        <v>0</v>
      </c>
      <c r="AI234" s="186">
        <f>58%</f>
        <v>0.57999999999999996</v>
      </c>
      <c r="AJ234" s="186">
        <f>+P234</f>
        <v>0</v>
      </c>
      <c r="AK234" s="186">
        <f>+Q234</f>
        <v>1.2597185009542401E-3</v>
      </c>
      <c r="AL234" s="186">
        <f>+R234</f>
        <v>0</v>
      </c>
      <c r="AM234" s="172">
        <f>SUM(Y234:AL234)</f>
        <v>0.99958821679736953</v>
      </c>
      <c r="AO234" s="49" t="s">
        <v>529</v>
      </c>
    </row>
    <row r="235" spans="2:41" x14ac:dyDescent="0.3">
      <c r="B235" s="170">
        <v>2050</v>
      </c>
      <c r="C235" s="170" t="s">
        <v>486</v>
      </c>
      <c r="D235" s="170"/>
      <c r="E235" s="177">
        <v>9.3145620022753207E-3</v>
      </c>
      <c r="F235" s="177">
        <v>0</v>
      </c>
      <c r="G235" s="177">
        <v>1.3414705603275699E-2</v>
      </c>
      <c r="H235" s="177">
        <v>0.32181179367236101</v>
      </c>
      <c r="I235" s="177">
        <v>0.03</v>
      </c>
      <c r="J235" s="177">
        <v>0</v>
      </c>
      <c r="K235" s="177">
        <v>0</v>
      </c>
      <c r="L235" s="177">
        <v>0</v>
      </c>
      <c r="M235" s="177">
        <v>0</v>
      </c>
      <c r="N235" s="177">
        <v>0</v>
      </c>
      <c r="O235" s="177">
        <v>0.62419922022113405</v>
      </c>
      <c r="P235" s="177">
        <v>0</v>
      </c>
      <c r="Q235" s="177">
        <v>0</v>
      </c>
      <c r="R235" s="177">
        <v>0</v>
      </c>
      <c r="S235" s="178">
        <f>SUM(E264:R264)</f>
        <v>0</v>
      </c>
      <c r="U235" s="170">
        <v>2050</v>
      </c>
      <c r="V235" s="170" t="s">
        <v>486</v>
      </c>
      <c r="W235" s="193">
        <v>2050</v>
      </c>
      <c r="X235" s="170"/>
      <c r="Y235" s="186">
        <v>0</v>
      </c>
      <c r="Z235" s="186">
        <f>+F264</f>
        <v>0</v>
      </c>
      <c r="AA235" s="186">
        <f>+G264</f>
        <v>0</v>
      </c>
      <c r="AB235" s="186">
        <f>+H264+1%</f>
        <v>0.01</v>
      </c>
      <c r="AC235" s="186">
        <f t="shared" ref="AC235:AH235" si="38">+I264</f>
        <v>0</v>
      </c>
      <c r="AD235" s="186">
        <f t="shared" si="38"/>
        <v>0</v>
      </c>
      <c r="AE235" s="186">
        <f t="shared" si="38"/>
        <v>0</v>
      </c>
      <c r="AF235" s="186">
        <f t="shared" si="38"/>
        <v>0</v>
      </c>
      <c r="AG235" s="186">
        <f t="shared" si="38"/>
        <v>0</v>
      </c>
      <c r="AH235" s="186">
        <f t="shared" si="38"/>
        <v>0</v>
      </c>
      <c r="AI235" s="186">
        <f>O264</f>
        <v>0</v>
      </c>
      <c r="AJ235" s="186">
        <f>+P264</f>
        <v>0</v>
      </c>
      <c r="AK235" s="186">
        <v>1E-3</v>
      </c>
      <c r="AL235" s="186">
        <f>+R264</f>
        <v>0</v>
      </c>
      <c r="AM235" s="172">
        <f>SUM(Y264:AL264)</f>
        <v>0</v>
      </c>
      <c r="AO235" s="49"/>
    </row>
    <row r="236" spans="2:41" x14ac:dyDescent="0.3">
      <c r="B236" s="180"/>
      <c r="C236" s="180"/>
      <c r="D236" s="181"/>
      <c r="E236" s="182"/>
      <c r="F236" s="182"/>
      <c r="G236" s="182"/>
      <c r="H236" s="182"/>
      <c r="I236" s="182"/>
      <c r="J236" s="182"/>
      <c r="K236" s="182"/>
      <c r="L236" s="182"/>
      <c r="M236" s="182"/>
      <c r="N236" s="182"/>
      <c r="O236" s="182"/>
      <c r="P236" s="182"/>
      <c r="Q236" s="182"/>
      <c r="R236" s="182"/>
      <c r="S236" s="183"/>
      <c r="U236" s="180"/>
      <c r="V236" s="180"/>
      <c r="W236" s="194"/>
      <c r="X236" s="181"/>
      <c r="Y236" s="184"/>
      <c r="Z236" s="184"/>
      <c r="AA236" s="184"/>
      <c r="AB236" s="184"/>
      <c r="AC236" s="184"/>
      <c r="AD236" s="184"/>
      <c r="AE236" s="184"/>
      <c r="AF236" s="184"/>
      <c r="AG236" s="184"/>
      <c r="AH236" s="184"/>
      <c r="AI236" s="184"/>
      <c r="AJ236" s="184"/>
      <c r="AK236" s="184"/>
      <c r="AL236" s="184"/>
      <c r="AM236" s="185"/>
      <c r="AO236" s="49"/>
    </row>
    <row r="237" spans="2:41" x14ac:dyDescent="0.3">
      <c r="B237" s="170">
        <v>2019</v>
      </c>
      <c r="C237" s="170" t="s">
        <v>31</v>
      </c>
      <c r="D237" s="191"/>
      <c r="E237" s="177">
        <v>0</v>
      </c>
      <c r="F237" s="177"/>
      <c r="G237" s="177">
        <v>0.60548661005878501</v>
      </c>
      <c r="H237" s="177">
        <v>0.12495101241018899</v>
      </c>
      <c r="I237" s="177">
        <v>3.74265186152841E-2</v>
      </c>
      <c r="J237" s="177">
        <v>0</v>
      </c>
      <c r="K237" s="177">
        <v>0</v>
      </c>
      <c r="L237" s="177">
        <v>0</v>
      </c>
      <c r="M237" s="177">
        <v>0</v>
      </c>
      <c r="N237" s="177">
        <v>0</v>
      </c>
      <c r="O237" s="177">
        <v>0.23216485891574101</v>
      </c>
      <c r="P237" s="177">
        <v>0</v>
      </c>
      <c r="Q237" s="177">
        <v>0</v>
      </c>
      <c r="R237" s="177">
        <v>0</v>
      </c>
      <c r="S237" s="178">
        <f>SUM(E237:R237)</f>
        <v>1.0000289999999992</v>
      </c>
      <c r="U237" s="170">
        <v>2019</v>
      </c>
      <c r="V237" s="170" t="s">
        <v>31</v>
      </c>
      <c r="W237" s="193">
        <v>2019</v>
      </c>
      <c r="X237" s="191"/>
      <c r="Y237" s="186">
        <f t="shared" ref="Y237:AM237" si="39">INDEX(X$40:X$64,MATCH($V237,$V$40:$V$64,0))/INDEX($AL$40:$AL$64,MATCH($V237,$V$40:$V$64,0))</f>
        <v>0</v>
      </c>
      <c r="Z237" s="186">
        <f t="shared" si="39"/>
        <v>0</v>
      </c>
      <c r="AA237" s="186">
        <f t="shared" si="39"/>
        <v>0.60033111051396904</v>
      </c>
      <c r="AB237" s="186">
        <f t="shared" si="39"/>
        <v>0.15234285737018208</v>
      </c>
      <c r="AC237" s="186">
        <f t="shared" si="39"/>
        <v>9.6699525508950118E-4</v>
      </c>
      <c r="AD237" s="186">
        <f t="shared" si="39"/>
        <v>0</v>
      </c>
      <c r="AE237" s="186">
        <f t="shared" si="39"/>
        <v>0</v>
      </c>
      <c r="AF237" s="186">
        <f t="shared" si="39"/>
        <v>0</v>
      </c>
      <c r="AG237" s="186">
        <f t="shared" si="39"/>
        <v>0</v>
      </c>
      <c r="AH237" s="186">
        <f t="shared" si="39"/>
        <v>0</v>
      </c>
      <c r="AI237" s="186">
        <f t="shared" si="39"/>
        <v>0.24635903686075952</v>
      </c>
      <c r="AJ237" s="186">
        <f t="shared" si="39"/>
        <v>0</v>
      </c>
      <c r="AK237" s="186">
        <f t="shared" si="39"/>
        <v>0</v>
      </c>
      <c r="AL237" s="186">
        <f t="shared" si="39"/>
        <v>0</v>
      </c>
      <c r="AM237" s="172">
        <f t="shared" si="39"/>
        <v>1</v>
      </c>
      <c r="AO237" s="49" t="s">
        <v>505</v>
      </c>
    </row>
    <row r="238" spans="2:41" x14ac:dyDescent="0.3">
      <c r="B238" s="170">
        <v>2025</v>
      </c>
      <c r="C238" s="170" t="s">
        <v>31</v>
      </c>
      <c r="D238" s="191"/>
      <c r="E238" s="177">
        <v>0</v>
      </c>
      <c r="F238" s="177">
        <v>0</v>
      </c>
      <c r="G238" s="177">
        <v>0.60548661005878501</v>
      </c>
      <c r="H238" s="177">
        <v>0.12495101241018899</v>
      </c>
      <c r="I238" s="177">
        <v>3.74265186152841E-2</v>
      </c>
      <c r="J238" s="177">
        <v>0</v>
      </c>
      <c r="K238" s="177">
        <v>0</v>
      </c>
      <c r="L238" s="177">
        <v>0</v>
      </c>
      <c r="M238" s="177">
        <v>0</v>
      </c>
      <c r="N238" s="177">
        <v>0</v>
      </c>
      <c r="O238" s="177">
        <v>0.23216485891574101</v>
      </c>
      <c r="P238" s="177">
        <v>0</v>
      </c>
      <c r="Q238" s="177">
        <v>1.2597185009542401E-3</v>
      </c>
      <c r="R238" s="177">
        <v>0</v>
      </c>
      <c r="S238" s="178">
        <f>SUM(E238:R238)</f>
        <v>1.0012887185009534</v>
      </c>
      <c r="U238" s="170">
        <v>2025</v>
      </c>
      <c r="V238" s="170" t="s">
        <v>31</v>
      </c>
      <c r="W238" s="193">
        <v>2025</v>
      </c>
      <c r="X238" s="191"/>
      <c r="Y238" s="186">
        <f t="shared" ref="Y238:AJ239" si="40">+E238</f>
        <v>0</v>
      </c>
      <c r="Z238" s="186">
        <f t="shared" si="40"/>
        <v>0</v>
      </c>
      <c r="AA238" s="186">
        <f t="shared" si="40"/>
        <v>0.60548661005878501</v>
      </c>
      <c r="AB238" s="186">
        <f t="shared" si="40"/>
        <v>0.12495101241018899</v>
      </c>
      <c r="AC238" s="186">
        <f t="shared" si="40"/>
        <v>3.74265186152841E-2</v>
      </c>
      <c r="AD238" s="186">
        <f t="shared" si="40"/>
        <v>0</v>
      </c>
      <c r="AE238" s="186">
        <f t="shared" si="40"/>
        <v>0</v>
      </c>
      <c r="AF238" s="186">
        <f t="shared" si="40"/>
        <v>0</v>
      </c>
      <c r="AG238" s="186">
        <f t="shared" si="40"/>
        <v>0</v>
      </c>
      <c r="AH238" s="186">
        <f t="shared" si="40"/>
        <v>0</v>
      </c>
      <c r="AI238" s="186">
        <f t="shared" si="40"/>
        <v>0.23216485891574101</v>
      </c>
      <c r="AJ238" s="186">
        <f t="shared" si="40"/>
        <v>0</v>
      </c>
      <c r="AK238" s="186">
        <v>0</v>
      </c>
      <c r="AL238" s="186">
        <f>+R238</f>
        <v>0</v>
      </c>
      <c r="AM238" s="172">
        <f>SUM(Y238:AL238)</f>
        <v>1.0000289999999992</v>
      </c>
      <c r="AO238" s="49"/>
    </row>
    <row r="239" spans="2:41" x14ac:dyDescent="0.3">
      <c r="B239" s="170">
        <v>2050</v>
      </c>
      <c r="C239" s="170" t="s">
        <v>31</v>
      </c>
      <c r="D239" s="191"/>
      <c r="E239" s="177">
        <v>0</v>
      </c>
      <c r="F239" s="177">
        <v>0</v>
      </c>
      <c r="G239" s="177">
        <v>0.60548661005878501</v>
      </c>
      <c r="H239" s="177">
        <v>0.12495101241018899</v>
      </c>
      <c r="I239" s="177">
        <v>3.74265186152841E-2</v>
      </c>
      <c r="J239" s="177">
        <v>0</v>
      </c>
      <c r="K239" s="177">
        <v>0</v>
      </c>
      <c r="L239" s="177">
        <v>0</v>
      </c>
      <c r="M239" s="177">
        <v>0</v>
      </c>
      <c r="N239" s="177">
        <v>0</v>
      </c>
      <c r="O239" s="177">
        <v>0.23216485891574101</v>
      </c>
      <c r="P239" s="177">
        <v>0</v>
      </c>
      <c r="Q239" s="177">
        <v>1.2597185009542401E-3</v>
      </c>
      <c r="R239" s="177">
        <v>0</v>
      </c>
      <c r="S239" s="178">
        <f>SUM(E239:R239)</f>
        <v>1.0012887185009534</v>
      </c>
      <c r="U239" s="170">
        <v>2050</v>
      </c>
      <c r="V239" s="170" t="s">
        <v>31</v>
      </c>
      <c r="W239" s="193">
        <v>2050</v>
      </c>
      <c r="X239" s="191"/>
      <c r="Y239" s="186">
        <f t="shared" si="40"/>
        <v>0</v>
      </c>
      <c r="Z239" s="186">
        <f t="shared" si="40"/>
        <v>0</v>
      </c>
      <c r="AA239" s="186">
        <f t="shared" si="40"/>
        <v>0.60548661005878501</v>
      </c>
      <c r="AB239" s="186">
        <f t="shared" si="40"/>
        <v>0.12495101241018899</v>
      </c>
      <c r="AC239" s="186">
        <f t="shared" si="40"/>
        <v>3.74265186152841E-2</v>
      </c>
      <c r="AD239" s="186">
        <f t="shared" si="40"/>
        <v>0</v>
      </c>
      <c r="AE239" s="186">
        <f t="shared" si="40"/>
        <v>0</v>
      </c>
      <c r="AF239" s="186">
        <f t="shared" si="40"/>
        <v>0</v>
      </c>
      <c r="AG239" s="186">
        <f t="shared" si="40"/>
        <v>0</v>
      </c>
      <c r="AH239" s="186">
        <f t="shared" si="40"/>
        <v>0</v>
      </c>
      <c r="AI239" s="186">
        <f t="shared" si="40"/>
        <v>0.23216485891574101</v>
      </c>
      <c r="AJ239" s="186">
        <f t="shared" si="40"/>
        <v>0</v>
      </c>
      <c r="AK239" s="186">
        <v>0</v>
      </c>
      <c r="AL239" s="186">
        <f>+R239</f>
        <v>0</v>
      </c>
      <c r="AM239" s="172">
        <f>SUM(Y239:AL239)</f>
        <v>1.0000289999999992</v>
      </c>
      <c r="AO239" s="49"/>
    </row>
    <row r="240" spans="2:41" x14ac:dyDescent="0.3">
      <c r="B240" s="180"/>
      <c r="C240" s="180"/>
      <c r="D240" s="181"/>
      <c r="E240" s="182"/>
      <c r="F240" s="182"/>
      <c r="G240" s="182"/>
      <c r="H240" s="182"/>
      <c r="I240" s="182"/>
      <c r="J240" s="182"/>
      <c r="K240" s="182"/>
      <c r="L240" s="182"/>
      <c r="M240" s="182"/>
      <c r="N240" s="182"/>
      <c r="O240" s="182"/>
      <c r="P240" s="182"/>
      <c r="Q240" s="182"/>
      <c r="R240" s="182"/>
      <c r="S240" s="183"/>
      <c r="U240" s="180"/>
      <c r="V240" s="180"/>
      <c r="W240" s="180"/>
      <c r="X240" s="181"/>
      <c r="Y240" s="184"/>
      <c r="Z240" s="184"/>
      <c r="AA240" s="184"/>
      <c r="AB240" s="184"/>
      <c r="AC240" s="184"/>
      <c r="AD240" s="184"/>
      <c r="AE240" s="184"/>
      <c r="AF240" s="184"/>
      <c r="AG240" s="184"/>
      <c r="AH240" s="184"/>
      <c r="AI240" s="184"/>
      <c r="AJ240" s="184"/>
      <c r="AK240" s="184"/>
      <c r="AL240" s="184"/>
      <c r="AM240" s="185"/>
      <c r="AO240" s="49"/>
    </row>
    <row r="241" spans="2:41" x14ac:dyDescent="0.3">
      <c r="B241" s="170"/>
      <c r="C241" s="170" t="s">
        <v>487</v>
      </c>
      <c r="D241" s="170"/>
      <c r="E241" s="188"/>
      <c r="F241" s="188"/>
      <c r="G241" s="188"/>
      <c r="H241" s="188"/>
      <c r="I241" s="188"/>
      <c r="J241" s="188"/>
      <c r="K241" s="188"/>
      <c r="L241" s="188"/>
      <c r="M241" s="188"/>
      <c r="N241" s="188"/>
      <c r="O241" s="188"/>
      <c r="P241" s="188"/>
      <c r="Q241" s="188"/>
      <c r="R241" s="188"/>
      <c r="S241" s="178"/>
      <c r="U241" s="170"/>
      <c r="V241" s="170" t="s">
        <v>487</v>
      </c>
      <c r="W241" s="170"/>
      <c r="X241" s="170"/>
      <c r="Y241" s="171"/>
      <c r="Z241" s="171"/>
      <c r="AA241" s="171"/>
      <c r="AB241" s="171"/>
      <c r="AC241" s="171"/>
      <c r="AD241" s="171"/>
      <c r="AE241" s="171"/>
      <c r="AF241" s="171"/>
      <c r="AG241" s="171"/>
      <c r="AH241" s="171"/>
      <c r="AI241" s="171"/>
      <c r="AJ241" s="171"/>
      <c r="AK241" s="171"/>
      <c r="AL241" s="171"/>
      <c r="AM241" s="172"/>
      <c r="AO241" s="49"/>
    </row>
    <row r="242" spans="2:41" x14ac:dyDescent="0.3">
      <c r="B242" s="175">
        <v>2019</v>
      </c>
      <c r="C242" s="175" t="s">
        <v>488</v>
      </c>
      <c r="D242" s="176" t="s">
        <v>497</v>
      </c>
      <c r="E242" s="177">
        <v>4.1525141440921804E-3</v>
      </c>
      <c r="F242" s="177"/>
      <c r="G242" s="177">
        <v>1.72156315557155E-2</v>
      </c>
      <c r="H242" s="177">
        <v>0.33021138516666398</v>
      </c>
      <c r="I242" s="177">
        <v>0.25503647701632798</v>
      </c>
      <c r="J242" s="177">
        <v>0</v>
      </c>
      <c r="K242" s="177">
        <v>0</v>
      </c>
      <c r="L242" s="177">
        <v>0</v>
      </c>
      <c r="M242" s="177">
        <v>0</v>
      </c>
      <c r="N242" s="177">
        <v>0</v>
      </c>
      <c r="O242" s="177">
        <v>0.27929983154586702</v>
      </c>
      <c r="P242" s="177">
        <v>0</v>
      </c>
      <c r="Q242" s="177">
        <v>0.114087060571334</v>
      </c>
      <c r="R242" s="177">
        <v>0</v>
      </c>
      <c r="S242" s="178">
        <f>SUM(E242:R242)</f>
        <v>1.0000029000000006</v>
      </c>
      <c r="U242" s="175">
        <v>2019</v>
      </c>
      <c r="V242" s="175" t="s">
        <v>488</v>
      </c>
      <c r="W242" s="175">
        <v>2019</v>
      </c>
      <c r="X242" s="176" t="s">
        <v>497</v>
      </c>
      <c r="Y242" s="186">
        <f t="shared" ref="Y242:AM242" si="41">INDEX(X$40:X$64,MATCH($V242,$V$40:$V$64,0))/INDEX($AL$40:$AL$64,MATCH($V242,$V$40:$V$64,0))</f>
        <v>0</v>
      </c>
      <c r="Z242" s="186">
        <f t="shared" si="41"/>
        <v>0</v>
      </c>
      <c r="AA242" s="186">
        <f t="shared" si="41"/>
        <v>1.9754512164146254E-2</v>
      </c>
      <c r="AB242" s="186">
        <f t="shared" si="41"/>
        <v>0.32243631567381942</v>
      </c>
      <c r="AC242" s="186">
        <f t="shared" si="41"/>
        <v>0.25696781203673896</v>
      </c>
      <c r="AD242" s="186">
        <f t="shared" si="41"/>
        <v>0</v>
      </c>
      <c r="AE242" s="186">
        <f t="shared" si="41"/>
        <v>0</v>
      </c>
      <c r="AF242" s="186">
        <f t="shared" si="41"/>
        <v>0</v>
      </c>
      <c r="AG242" s="186">
        <f t="shared" si="41"/>
        <v>0</v>
      </c>
      <c r="AH242" s="186">
        <f t="shared" si="41"/>
        <v>0</v>
      </c>
      <c r="AI242" s="186">
        <f t="shared" si="41"/>
        <v>0.25840134449752034</v>
      </c>
      <c r="AJ242" s="186">
        <f t="shared" si="41"/>
        <v>0</v>
      </c>
      <c r="AK242" s="186">
        <f t="shared" si="41"/>
        <v>0.14244001562777497</v>
      </c>
      <c r="AL242" s="186">
        <f t="shared" si="41"/>
        <v>0</v>
      </c>
      <c r="AM242" s="172">
        <f t="shared" si="41"/>
        <v>1</v>
      </c>
      <c r="AO242" s="49" t="s">
        <v>533</v>
      </c>
    </row>
    <row r="243" spans="2:41" x14ac:dyDescent="0.3">
      <c r="B243" s="175">
        <v>2025</v>
      </c>
      <c r="C243" s="175" t="s">
        <v>488</v>
      </c>
      <c r="D243" s="176" t="s">
        <v>497</v>
      </c>
      <c r="E243" s="177">
        <v>5.4480176252742795E-4</v>
      </c>
      <c r="F243" s="177">
        <v>0</v>
      </c>
      <c r="G243" s="177">
        <v>1.72156315557155E-2</v>
      </c>
      <c r="H243" s="177">
        <v>0.30607318583021498</v>
      </c>
      <c r="I243" s="177">
        <v>0.27917177664277698</v>
      </c>
      <c r="J243" s="177">
        <v>0</v>
      </c>
      <c r="K243" s="177">
        <v>0</v>
      </c>
      <c r="L243" s="177">
        <v>0</v>
      </c>
      <c r="M243" s="177">
        <v>0</v>
      </c>
      <c r="N243" s="177">
        <v>0</v>
      </c>
      <c r="O243" s="177">
        <v>0.27929983154586702</v>
      </c>
      <c r="P243" s="177">
        <v>0</v>
      </c>
      <c r="Q243" s="177">
        <v>0.114087060571334</v>
      </c>
      <c r="R243" s="177">
        <v>0</v>
      </c>
      <c r="S243" s="178">
        <f>SUM(E243:R243)</f>
        <v>0.99639228790843593</v>
      </c>
      <c r="U243" s="175">
        <v>2025</v>
      </c>
      <c r="V243" s="175" t="s">
        <v>488</v>
      </c>
      <c r="W243" s="175">
        <v>2025</v>
      </c>
      <c r="X243" s="176" t="s">
        <v>497</v>
      </c>
      <c r="Y243" s="186">
        <v>0</v>
      </c>
      <c r="Z243" s="186">
        <f>+F243</f>
        <v>0</v>
      </c>
      <c r="AA243" s="186">
        <v>0.01</v>
      </c>
      <c r="AB243" s="186">
        <v>0.3</v>
      </c>
      <c r="AC243" s="186">
        <v>0.27200000000000002</v>
      </c>
      <c r="AD243" s="186">
        <v>2.5000000000000001E-2</v>
      </c>
      <c r="AE243" s="186">
        <f t="shared" ref="AE243:AL243" si="42">+K243</f>
        <v>0</v>
      </c>
      <c r="AF243" s="186">
        <f t="shared" si="42"/>
        <v>0</v>
      </c>
      <c r="AG243" s="186">
        <f t="shared" si="42"/>
        <v>0</v>
      </c>
      <c r="AH243" s="186">
        <f t="shared" si="42"/>
        <v>0</v>
      </c>
      <c r="AI243" s="186">
        <f t="shared" si="42"/>
        <v>0.27929983154586702</v>
      </c>
      <c r="AJ243" s="186">
        <f t="shared" si="42"/>
        <v>0</v>
      </c>
      <c r="AK243" s="186">
        <f t="shared" si="42"/>
        <v>0.114087060571334</v>
      </c>
      <c r="AL243" s="186">
        <f t="shared" si="42"/>
        <v>0</v>
      </c>
      <c r="AM243" s="172">
        <f>SUM(Y243:AL243)</f>
        <v>1.0003868921172012</v>
      </c>
      <c r="AO243" s="49" t="s">
        <v>529</v>
      </c>
    </row>
    <row r="244" spans="2:41" x14ac:dyDescent="0.3">
      <c r="B244" s="175">
        <v>2050</v>
      </c>
      <c r="C244" s="175" t="s">
        <v>488</v>
      </c>
      <c r="D244" s="176" t="s">
        <v>497</v>
      </c>
      <c r="E244" s="177">
        <v>5.4480176252742795E-4</v>
      </c>
      <c r="F244" s="177">
        <v>0</v>
      </c>
      <c r="G244" s="177">
        <v>0</v>
      </c>
      <c r="H244" s="177">
        <v>0.24689652976749499</v>
      </c>
      <c r="I244" s="177">
        <v>0.209171776642777</v>
      </c>
      <c r="J244" s="177">
        <v>0</v>
      </c>
      <c r="K244" s="177">
        <v>0</v>
      </c>
      <c r="L244" s="177">
        <v>0</v>
      </c>
      <c r="M244" s="177">
        <v>0</v>
      </c>
      <c r="N244" s="177">
        <v>0</v>
      </c>
      <c r="O244" s="177">
        <v>0.37929983154586699</v>
      </c>
      <c r="P244" s="177">
        <v>0</v>
      </c>
      <c r="Q244" s="177">
        <v>0.16408706057133399</v>
      </c>
      <c r="R244" s="177">
        <v>0</v>
      </c>
      <c r="S244" s="178">
        <f>SUM(E244:R244)</f>
        <v>1.0000000002900005</v>
      </c>
      <c r="U244" s="175">
        <v>2050</v>
      </c>
      <c r="V244" s="175" t="s">
        <v>488</v>
      </c>
      <c r="W244" s="175">
        <v>2050</v>
      </c>
      <c r="X244" s="176" t="s">
        <v>497</v>
      </c>
      <c r="Y244" s="186">
        <v>0</v>
      </c>
      <c r="Z244" s="186">
        <f>+F244</f>
        <v>0</v>
      </c>
      <c r="AA244" s="186">
        <f>+G244</f>
        <v>0</v>
      </c>
      <c r="AB244" s="186">
        <f>25%</f>
        <v>0.25</v>
      </c>
      <c r="AC244" s="186">
        <v>0.28999999999999998</v>
      </c>
      <c r="AD244" s="186">
        <v>0.04</v>
      </c>
      <c r="AE244" s="186">
        <f>+K244</f>
        <v>0</v>
      </c>
      <c r="AF244" s="186">
        <f>+L244</f>
        <v>0</v>
      </c>
      <c r="AG244" s="186">
        <f>+M244</f>
        <v>0</v>
      </c>
      <c r="AH244" s="186">
        <f>+N244</f>
        <v>0</v>
      </c>
      <c r="AI244" s="186">
        <f>1-SUM(Y244:AH244,AJ244:AL244)</f>
        <v>0.28999999999999992</v>
      </c>
      <c r="AJ244" s="186">
        <f>+P244</f>
        <v>0</v>
      </c>
      <c r="AK244" s="186">
        <f>13%</f>
        <v>0.13</v>
      </c>
      <c r="AL244" s="186">
        <f>+R244</f>
        <v>0</v>
      </c>
      <c r="AM244" s="172">
        <f>SUM(Y244:AL244)</f>
        <v>1</v>
      </c>
      <c r="AO244" s="49"/>
    </row>
    <row r="245" spans="2:41" x14ac:dyDescent="0.3">
      <c r="B245" s="180"/>
      <c r="C245" s="180"/>
      <c r="D245" s="181"/>
      <c r="E245" s="182"/>
      <c r="F245" s="182"/>
      <c r="G245" s="182"/>
      <c r="H245" s="182"/>
      <c r="I245" s="182"/>
      <c r="J245" s="182"/>
      <c r="K245" s="182"/>
      <c r="L245" s="182"/>
      <c r="M245" s="182"/>
      <c r="N245" s="182"/>
      <c r="O245" s="182"/>
      <c r="P245" s="182"/>
      <c r="Q245" s="182"/>
      <c r="R245" s="182"/>
      <c r="S245" s="183"/>
      <c r="U245" s="180"/>
      <c r="V245" s="180"/>
      <c r="W245" s="180"/>
      <c r="X245" s="181"/>
      <c r="Y245" s="184"/>
      <c r="Z245" s="184"/>
      <c r="AA245" s="184"/>
      <c r="AB245" s="184"/>
      <c r="AC245" s="184"/>
      <c r="AD245" s="184"/>
      <c r="AE245" s="184"/>
      <c r="AF245" s="184"/>
      <c r="AG245" s="184"/>
      <c r="AH245" s="184"/>
      <c r="AI245" s="184"/>
      <c r="AJ245" s="184"/>
      <c r="AK245" s="184"/>
      <c r="AL245" s="184"/>
      <c r="AM245" s="185"/>
      <c r="AO245" s="49"/>
    </row>
    <row r="246" spans="2:41" x14ac:dyDescent="0.3">
      <c r="B246" s="175">
        <v>2019</v>
      </c>
      <c r="C246" s="175" t="s">
        <v>489</v>
      </c>
      <c r="D246" s="176" t="s">
        <v>497</v>
      </c>
      <c r="E246" s="177">
        <v>0</v>
      </c>
      <c r="F246" s="177"/>
      <c r="G246" s="177">
        <v>0.142647488673455</v>
      </c>
      <c r="H246" s="177">
        <v>0.33119285981065599</v>
      </c>
      <c r="I246" s="177">
        <v>2.3343238986050899E-2</v>
      </c>
      <c r="J246" s="177">
        <v>0</v>
      </c>
      <c r="K246" s="177">
        <v>0</v>
      </c>
      <c r="L246" s="177">
        <v>0</v>
      </c>
      <c r="M246" s="177">
        <v>0</v>
      </c>
      <c r="N246" s="177">
        <v>0</v>
      </c>
      <c r="O246" s="177">
        <v>0.47960206881992801</v>
      </c>
      <c r="P246" s="177">
        <v>0</v>
      </c>
      <c r="Q246" s="177">
        <v>2.32143437099105E-2</v>
      </c>
      <c r="R246" s="177">
        <v>0</v>
      </c>
      <c r="S246" s="178">
        <f>SUM(E246:R246)</f>
        <v>1.0000000000000004</v>
      </c>
      <c r="U246" s="175">
        <v>2019</v>
      </c>
      <c r="V246" s="175" t="s">
        <v>489</v>
      </c>
      <c r="W246" s="175">
        <v>2019</v>
      </c>
      <c r="X246" s="176" t="s">
        <v>497</v>
      </c>
      <c r="Y246" s="186">
        <f t="shared" ref="Y246:AM246" si="43">INDEX(X$40:X$64,MATCH($V246,$V$40:$V$64,0))/INDEX($AL$40:$AL$64,MATCH($V246,$V$40:$V$64,0))</f>
        <v>0</v>
      </c>
      <c r="Z246" s="186">
        <f t="shared" si="43"/>
        <v>0</v>
      </c>
      <c r="AA246" s="186">
        <f t="shared" si="43"/>
        <v>0.14647136735122718</v>
      </c>
      <c r="AB246" s="186">
        <f t="shared" si="43"/>
        <v>0.33207214845968225</v>
      </c>
      <c r="AC246" s="186">
        <f t="shared" si="43"/>
        <v>1.3333320523131574E-2</v>
      </c>
      <c r="AD246" s="186">
        <f t="shared" si="43"/>
        <v>0</v>
      </c>
      <c r="AE246" s="186">
        <f t="shared" si="43"/>
        <v>0</v>
      </c>
      <c r="AF246" s="186">
        <f t="shared" si="43"/>
        <v>0</v>
      </c>
      <c r="AG246" s="186">
        <f t="shared" si="43"/>
        <v>0</v>
      </c>
      <c r="AH246" s="186">
        <f t="shared" si="43"/>
        <v>0</v>
      </c>
      <c r="AI246" s="186">
        <f t="shared" si="43"/>
        <v>0.48260816054781014</v>
      </c>
      <c r="AJ246" s="186">
        <f t="shared" si="43"/>
        <v>0</v>
      </c>
      <c r="AK246" s="186">
        <f t="shared" si="43"/>
        <v>2.5515003118148919E-2</v>
      </c>
      <c r="AL246" s="186">
        <f t="shared" si="43"/>
        <v>0</v>
      </c>
      <c r="AM246" s="172">
        <f t="shared" si="43"/>
        <v>1</v>
      </c>
      <c r="AO246" s="49" t="s">
        <v>505</v>
      </c>
    </row>
    <row r="247" spans="2:41" x14ac:dyDescent="0.3">
      <c r="B247" s="175">
        <v>2025</v>
      </c>
      <c r="C247" s="175" t="s">
        <v>489</v>
      </c>
      <c r="D247" s="176" t="s">
        <v>497</v>
      </c>
      <c r="E247" s="177">
        <v>0</v>
      </c>
      <c r="F247" s="177">
        <v>0</v>
      </c>
      <c r="G247" s="177">
        <v>0.14264719264561401</v>
      </c>
      <c r="H247" s="177">
        <v>0.31047389168022199</v>
      </c>
      <c r="I247" s="177">
        <v>4.4062207116484703E-2</v>
      </c>
      <c r="J247" s="177">
        <v>0</v>
      </c>
      <c r="K247" s="177">
        <v>0</v>
      </c>
      <c r="L247" s="177">
        <v>0</v>
      </c>
      <c r="M247" s="177">
        <v>0</v>
      </c>
      <c r="N247" s="177">
        <v>0</v>
      </c>
      <c r="O247" s="177">
        <v>0.47960206881992801</v>
      </c>
      <c r="P247" s="177">
        <v>0</v>
      </c>
      <c r="Q247" s="177">
        <v>2.6404639737751201E-2</v>
      </c>
      <c r="R247" s="177">
        <v>0</v>
      </c>
      <c r="S247" s="178">
        <f>SUM(E247:R247)</f>
        <v>1.00319</v>
      </c>
      <c r="U247" s="175">
        <v>2025</v>
      </c>
      <c r="V247" s="175" t="s">
        <v>489</v>
      </c>
      <c r="W247" s="175">
        <v>2025</v>
      </c>
      <c r="X247" s="176" t="s">
        <v>497</v>
      </c>
      <c r="Y247" s="186">
        <f t="shared" ref="Y247:AL247" si="44">+E247</f>
        <v>0</v>
      </c>
      <c r="Z247" s="186">
        <f t="shared" si="44"/>
        <v>0</v>
      </c>
      <c r="AA247" s="186">
        <f t="shared" si="44"/>
        <v>0.14264719264561401</v>
      </c>
      <c r="AB247" s="186">
        <f t="shared" si="44"/>
        <v>0.31047389168022199</v>
      </c>
      <c r="AC247" s="186">
        <f t="shared" si="44"/>
        <v>4.4062207116484703E-2</v>
      </c>
      <c r="AD247" s="186">
        <f t="shared" si="44"/>
        <v>0</v>
      </c>
      <c r="AE247" s="186">
        <f t="shared" si="44"/>
        <v>0</v>
      </c>
      <c r="AF247" s="186">
        <f t="shared" si="44"/>
        <v>0</v>
      </c>
      <c r="AG247" s="186">
        <f t="shared" si="44"/>
        <v>0</v>
      </c>
      <c r="AH247" s="186">
        <f t="shared" si="44"/>
        <v>0</v>
      </c>
      <c r="AI247" s="186">
        <f t="shared" si="44"/>
        <v>0.47960206881992801</v>
      </c>
      <c r="AJ247" s="186">
        <f t="shared" si="44"/>
        <v>0</v>
      </c>
      <c r="AK247" s="186">
        <f t="shared" si="44"/>
        <v>2.6404639737751201E-2</v>
      </c>
      <c r="AL247" s="186">
        <f t="shared" si="44"/>
        <v>0</v>
      </c>
      <c r="AM247" s="172">
        <f>SUM(Y247:AL247)</f>
        <v>1.00319</v>
      </c>
      <c r="AO247" s="49"/>
    </row>
    <row r="248" spans="2:41" x14ac:dyDescent="0.3">
      <c r="B248" s="175">
        <v>2050</v>
      </c>
      <c r="C248" s="175" t="s">
        <v>489</v>
      </c>
      <c r="D248" s="176" t="s">
        <v>497</v>
      </c>
      <c r="E248" s="177">
        <v>0</v>
      </c>
      <c r="F248" s="177">
        <v>0</v>
      </c>
      <c r="G248" s="177">
        <v>0.04</v>
      </c>
      <c r="H248" s="177">
        <v>0.31047389168022199</v>
      </c>
      <c r="I248" s="177">
        <v>0.06</v>
      </c>
      <c r="J248" s="177">
        <v>0</v>
      </c>
      <c r="K248" s="177">
        <v>0</v>
      </c>
      <c r="L248" s="177">
        <v>0</v>
      </c>
      <c r="M248" s="177">
        <v>0</v>
      </c>
      <c r="N248" s="177">
        <v>0</v>
      </c>
      <c r="O248" s="177">
        <v>0.56999999999999995</v>
      </c>
      <c r="P248" s="177">
        <v>0</v>
      </c>
      <c r="Q248" s="177">
        <v>2.6404639737751201E-2</v>
      </c>
      <c r="R248" s="177">
        <v>0</v>
      </c>
      <c r="S248" s="178">
        <f>SUM(E248:R248)</f>
        <v>1.0068785314179731</v>
      </c>
      <c r="U248" s="175">
        <v>2050</v>
      </c>
      <c r="V248" s="175" t="s">
        <v>489</v>
      </c>
      <c r="W248" s="175">
        <v>2050</v>
      </c>
      <c r="X248" s="176" t="s">
        <v>497</v>
      </c>
      <c r="Y248" s="186">
        <f>+E248</f>
        <v>0</v>
      </c>
      <c r="Z248" s="186">
        <f>+F248</f>
        <v>0</v>
      </c>
      <c r="AA248" s="186">
        <v>3.5999999999999997E-2</v>
      </c>
      <c r="AB248" s="186">
        <f t="shared" ref="AB248:AL248" si="45">+H248</f>
        <v>0.31047389168022199</v>
      </c>
      <c r="AC248" s="186">
        <f t="shared" si="45"/>
        <v>0.06</v>
      </c>
      <c r="AD248" s="186">
        <f t="shared" si="45"/>
        <v>0</v>
      </c>
      <c r="AE248" s="186">
        <f t="shared" si="45"/>
        <v>0</v>
      </c>
      <c r="AF248" s="186">
        <f t="shared" si="45"/>
        <v>0</v>
      </c>
      <c r="AG248" s="186">
        <f t="shared" si="45"/>
        <v>0</v>
      </c>
      <c r="AH248" s="186">
        <f t="shared" si="45"/>
        <v>0</v>
      </c>
      <c r="AI248" s="186">
        <f t="shared" si="45"/>
        <v>0.56999999999999995</v>
      </c>
      <c r="AJ248" s="186">
        <f t="shared" si="45"/>
        <v>0</v>
      </c>
      <c r="AK248" s="186">
        <f t="shared" si="45"/>
        <v>2.6404639737751201E-2</v>
      </c>
      <c r="AL248" s="186">
        <f t="shared" si="45"/>
        <v>0</v>
      </c>
      <c r="AM248" s="172">
        <f>SUM(Y248:AL248)</f>
        <v>1.0028785314179731</v>
      </c>
      <c r="AO248" s="49"/>
    </row>
    <row r="249" spans="2:41" x14ac:dyDescent="0.3">
      <c r="AO249" s="49"/>
    </row>
    <row r="250" spans="2:41" s="1" customFormat="1" x14ac:dyDescent="0.3"/>
  </sheetData>
  <mergeCells count="104">
    <mergeCell ref="V64:W64"/>
    <mergeCell ref="V52:W52"/>
    <mergeCell ref="V56:W56"/>
    <mergeCell ref="V59:W59"/>
    <mergeCell ref="V60:W60"/>
    <mergeCell ref="V61:W61"/>
    <mergeCell ref="C60:D60"/>
    <mergeCell ref="C61:D61"/>
    <mergeCell ref="C64:D64"/>
    <mergeCell ref="I38:L38"/>
    <mergeCell ref="M38:M39"/>
    <mergeCell ref="N38:N39"/>
    <mergeCell ref="O38:O39"/>
    <mergeCell ref="P38:P39"/>
    <mergeCell ref="R38:R39"/>
    <mergeCell ref="V37:AL37"/>
    <mergeCell ref="V38:W39"/>
    <mergeCell ref="X38:X39"/>
    <mergeCell ref="Z38:Z39"/>
    <mergeCell ref="AA38:AA39"/>
    <mergeCell ref="AB38:AE38"/>
    <mergeCell ref="AF38:AF39"/>
    <mergeCell ref="AG38:AG39"/>
    <mergeCell ref="AH38:AH39"/>
    <mergeCell ref="AJ38:AJ39"/>
    <mergeCell ref="AL38:AL39"/>
    <mergeCell ref="V169:X169"/>
    <mergeCell ref="V198:X198"/>
    <mergeCell ref="V211:X211"/>
    <mergeCell ref="V224:X224"/>
    <mergeCell ref="V113:X113"/>
    <mergeCell ref="V126:X126"/>
    <mergeCell ref="C163:AM163"/>
    <mergeCell ref="C168:D168"/>
    <mergeCell ref="V168:X168"/>
    <mergeCell ref="V152:X152"/>
    <mergeCell ref="C66:AM66"/>
    <mergeCell ref="C70:D70"/>
    <mergeCell ref="V70:X70"/>
    <mergeCell ref="V71:X71"/>
    <mergeCell ref="V100:X100"/>
    <mergeCell ref="C32:D32"/>
    <mergeCell ref="V32:W32"/>
    <mergeCell ref="AP32:AQ32"/>
    <mergeCell ref="C35:D35"/>
    <mergeCell ref="V35:W35"/>
    <mergeCell ref="AP35:AQ35"/>
    <mergeCell ref="V40:W40"/>
    <mergeCell ref="V48:W48"/>
    <mergeCell ref="C40:D40"/>
    <mergeCell ref="C48:D48"/>
    <mergeCell ref="C52:D52"/>
    <mergeCell ref="C56:D56"/>
    <mergeCell ref="C59:D59"/>
    <mergeCell ref="C37:R37"/>
    <mergeCell ref="C38:D39"/>
    <mergeCell ref="E38:E39"/>
    <mergeCell ref="F38:F39"/>
    <mergeCell ref="G38:G39"/>
    <mergeCell ref="H38:H39"/>
    <mergeCell ref="C30:D30"/>
    <mergeCell ref="V30:W30"/>
    <mergeCell ref="AP30:AQ30"/>
    <mergeCell ref="C31:D31"/>
    <mergeCell ref="V31:W31"/>
    <mergeCell ref="AP31:AQ31"/>
    <mergeCell ref="C23:D23"/>
    <mergeCell ref="V23:W23"/>
    <mergeCell ref="AP23:AQ23"/>
    <mergeCell ref="C27:D27"/>
    <mergeCell ref="V27:W27"/>
    <mergeCell ref="AP27:AQ27"/>
    <mergeCell ref="C11:D11"/>
    <mergeCell ref="V11:W11"/>
    <mergeCell ref="AP11:AQ11"/>
    <mergeCell ref="C19:D19"/>
    <mergeCell ref="V19:W19"/>
    <mergeCell ref="AP19:AQ19"/>
    <mergeCell ref="AH9:AH10"/>
    <mergeCell ref="AJ9:AJ10"/>
    <mergeCell ref="AL9:AL10"/>
    <mergeCell ref="AR9:AS9"/>
    <mergeCell ref="AT9:AU9"/>
    <mergeCell ref="Z9:Z10"/>
    <mergeCell ref="AA9:AA10"/>
    <mergeCell ref="AB9:AE9"/>
    <mergeCell ref="AF9:AF10"/>
    <mergeCell ref="AG9:AG10"/>
    <mergeCell ref="C2:AM2"/>
    <mergeCell ref="C8:R8"/>
    <mergeCell ref="V8:AL8"/>
    <mergeCell ref="C9:D10"/>
    <mergeCell ref="E9:E10"/>
    <mergeCell ref="F9:F10"/>
    <mergeCell ref="G9:G10"/>
    <mergeCell ref="H9:H10"/>
    <mergeCell ref="I9:L9"/>
    <mergeCell ref="M9:M10"/>
    <mergeCell ref="N9:N10"/>
    <mergeCell ref="O9:O10"/>
    <mergeCell ref="P9:P10"/>
    <mergeCell ref="R9:R10"/>
    <mergeCell ref="V9:W10"/>
    <mergeCell ref="X9:X10"/>
  </mergeCells>
  <hyperlinks>
    <hyperlink ref="AM13" r:id="rId1"/>
    <hyperlink ref="AM42" r:id="rId2"/>
  </hyperlinks>
  <pageMargins left="0.7" right="0.7" top="0.75" bottom="0.75" header="0.51180555555555496" footer="0.51180555555555496"/>
  <pageSetup paperSize="9" firstPageNumber="0" orientation="portrait" horizontalDpi="300" verticalDpi="300" r:id="rId3"/>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F5597"/>
  </sheetPr>
  <dimension ref="A2:AMK198"/>
  <sheetViews>
    <sheetView topLeftCell="A91" workbookViewId="0">
      <selection activeCell="AA78" sqref="AA78"/>
    </sheetView>
  </sheetViews>
  <sheetFormatPr baseColWidth="10" defaultColWidth="8.6640625" defaultRowHeight="14.4" x14ac:dyDescent="0.3"/>
  <cols>
    <col min="1" max="1" width="8.6640625" style="38" customWidth="1"/>
    <col min="2" max="2" width="10.44140625" style="1" customWidth="1"/>
    <col min="3" max="3" width="40.33203125" style="1" customWidth="1"/>
    <col min="4" max="18" width="10.44140625" style="1" customWidth="1"/>
    <col min="19" max="19" width="45.44140625" style="1" customWidth="1"/>
    <col min="20" max="21" width="10.44140625" style="1" customWidth="1"/>
    <col min="22" max="22" width="23" style="1" customWidth="1"/>
    <col min="23" max="23" width="53.33203125" style="1" customWidth="1"/>
    <col min="24" max="41" width="10.44140625" style="1" customWidth="1"/>
    <col min="42" max="42" width="31.33203125" style="1" customWidth="1"/>
    <col min="43" max="43" width="37.5546875" style="1" customWidth="1"/>
    <col min="44" max="44" width="6.5546875" style="1" customWidth="1"/>
    <col min="45" max="1025" width="10.44140625" style="1" customWidth="1"/>
  </cols>
  <sheetData>
    <row r="2" spans="3:48" x14ac:dyDescent="0.3">
      <c r="C2" s="684" t="s">
        <v>534</v>
      </c>
      <c r="D2" s="684"/>
      <c r="E2" s="684"/>
      <c r="F2" s="684"/>
      <c r="G2" s="684"/>
      <c r="H2" s="684"/>
      <c r="I2" s="684"/>
      <c r="J2" s="684"/>
    </row>
    <row r="3" spans="3:48" x14ac:dyDescent="0.3">
      <c r="V3" s="150"/>
    </row>
    <row r="4" spans="3:48" x14ac:dyDescent="0.3">
      <c r="C4" s="678" t="s">
        <v>434</v>
      </c>
      <c r="D4" s="678"/>
      <c r="E4" s="678"/>
      <c r="F4" s="678"/>
      <c r="G4" s="678"/>
      <c r="H4" s="678"/>
      <c r="I4" s="678"/>
      <c r="J4" s="678"/>
      <c r="K4" s="678"/>
      <c r="L4" s="678"/>
      <c r="M4" s="678"/>
      <c r="N4" s="678"/>
      <c r="O4" s="678"/>
      <c r="P4" s="678"/>
      <c r="Q4" s="678"/>
      <c r="R4" s="678"/>
      <c r="S4" s="678"/>
      <c r="T4" s="678"/>
      <c r="U4" s="678"/>
      <c r="V4" s="678"/>
      <c r="W4" s="678"/>
      <c r="X4" s="678"/>
      <c r="Y4" s="678"/>
      <c r="Z4" s="678"/>
      <c r="AA4" s="678"/>
      <c r="AB4" s="678"/>
      <c r="AC4" s="678"/>
      <c r="AD4" s="678"/>
      <c r="AE4" s="678"/>
      <c r="AF4" s="678"/>
      <c r="AG4" s="678"/>
      <c r="AH4" s="678"/>
      <c r="AI4" s="678"/>
      <c r="AJ4" s="678"/>
      <c r="AK4" s="678"/>
      <c r="AL4" s="678"/>
      <c r="AM4" s="678"/>
      <c r="AN4" s="678"/>
    </row>
    <row r="6" spans="3:48" x14ac:dyDescent="0.3">
      <c r="C6" s="151" t="s">
        <v>435</v>
      </c>
      <c r="V6" s="151" t="s">
        <v>436</v>
      </c>
      <c r="W6" s="151"/>
      <c r="X6" s="151"/>
      <c r="Y6" s="151"/>
      <c r="Z6" s="151"/>
      <c r="AA6" s="151"/>
      <c r="AB6" s="151"/>
      <c r="AC6" s="151"/>
      <c r="AD6" s="151"/>
      <c r="AE6" s="151"/>
      <c r="AF6" s="151"/>
      <c r="AG6" s="151"/>
      <c r="AH6" s="151"/>
      <c r="AI6" s="151"/>
      <c r="AJ6" s="151"/>
      <c r="AK6" s="151"/>
      <c r="AL6" s="151"/>
      <c r="AM6" s="151"/>
    </row>
    <row r="10" spans="3:48" x14ac:dyDescent="0.3">
      <c r="C10" s="679">
        <v>2019</v>
      </c>
      <c r="D10" s="679"/>
      <c r="E10" s="679"/>
      <c r="F10" s="679"/>
      <c r="G10" s="679"/>
      <c r="H10" s="679"/>
      <c r="I10" s="679"/>
      <c r="J10" s="679"/>
      <c r="K10" s="679"/>
      <c r="L10" s="679"/>
      <c r="M10" s="679"/>
      <c r="N10" s="679"/>
      <c r="O10" s="679"/>
      <c r="P10" s="679"/>
      <c r="Q10" s="679"/>
      <c r="R10" s="679"/>
      <c r="W10" s="680">
        <v>2019</v>
      </c>
      <c r="X10" s="680"/>
      <c r="Y10" s="680"/>
      <c r="Z10" s="680"/>
      <c r="AA10" s="680"/>
      <c r="AB10" s="680"/>
      <c r="AC10" s="680"/>
      <c r="AD10" s="680"/>
      <c r="AE10" s="680"/>
      <c r="AF10" s="680"/>
      <c r="AG10" s="680"/>
      <c r="AH10" s="680"/>
      <c r="AI10" s="680"/>
      <c r="AJ10" s="680"/>
      <c r="AK10" s="680"/>
      <c r="AL10" s="680"/>
      <c r="AM10" s="680"/>
    </row>
    <row r="11" spans="3:48" ht="30" customHeight="1" x14ac:dyDescent="0.3">
      <c r="C11" s="681" t="s">
        <v>437</v>
      </c>
      <c r="D11" s="681"/>
      <c r="E11" s="677" t="s">
        <v>438</v>
      </c>
      <c r="F11" s="677" t="s">
        <v>439</v>
      </c>
      <c r="G11" s="677" t="s">
        <v>440</v>
      </c>
      <c r="H11" s="677" t="s">
        <v>441</v>
      </c>
      <c r="I11" s="677" t="s">
        <v>442</v>
      </c>
      <c r="J11" s="677"/>
      <c r="K11" s="677"/>
      <c r="L11" s="677"/>
      <c r="M11" s="677" t="s">
        <v>443</v>
      </c>
      <c r="N11" s="677" t="s">
        <v>444</v>
      </c>
      <c r="O11" s="677" t="s">
        <v>445</v>
      </c>
      <c r="P11" s="677" t="s">
        <v>446</v>
      </c>
      <c r="Q11" s="153" t="s">
        <v>447</v>
      </c>
      <c r="R11" s="677" t="s">
        <v>52</v>
      </c>
      <c r="W11" s="681" t="s">
        <v>437</v>
      </c>
      <c r="X11" s="681"/>
      <c r="Y11" s="677" t="s">
        <v>438</v>
      </c>
      <c r="Z11" s="152"/>
      <c r="AA11" s="677" t="s">
        <v>440</v>
      </c>
      <c r="AB11" s="677" t="s">
        <v>441</v>
      </c>
      <c r="AC11" s="677" t="s">
        <v>442</v>
      </c>
      <c r="AD11" s="677"/>
      <c r="AE11" s="677"/>
      <c r="AF11" s="677"/>
      <c r="AG11" s="677" t="s">
        <v>443</v>
      </c>
      <c r="AH11" s="677" t="s">
        <v>444</v>
      </c>
      <c r="AI11" s="677" t="s">
        <v>445</v>
      </c>
      <c r="AJ11" s="154"/>
      <c r="AK11" s="677" t="s">
        <v>446</v>
      </c>
      <c r="AL11" s="153" t="s">
        <v>447</v>
      </c>
      <c r="AM11" s="677" t="s">
        <v>52</v>
      </c>
      <c r="AS11" s="660" t="s">
        <v>448</v>
      </c>
      <c r="AT11" s="660"/>
      <c r="AU11" s="660" t="s">
        <v>449</v>
      </c>
      <c r="AV11" s="660"/>
    </row>
    <row r="12" spans="3:48" ht="43.2" x14ac:dyDescent="0.3">
      <c r="C12" s="681"/>
      <c r="D12" s="681"/>
      <c r="E12" s="677"/>
      <c r="F12" s="677"/>
      <c r="G12" s="677"/>
      <c r="H12" s="677"/>
      <c r="I12" s="153" t="s">
        <v>450</v>
      </c>
      <c r="J12" s="153" t="s">
        <v>451</v>
      </c>
      <c r="K12" s="153" t="s">
        <v>452</v>
      </c>
      <c r="L12" s="153" t="s">
        <v>453</v>
      </c>
      <c r="M12" s="677"/>
      <c r="N12" s="677"/>
      <c r="O12" s="677"/>
      <c r="P12" s="677"/>
      <c r="Q12" s="153" t="s">
        <v>447</v>
      </c>
      <c r="R12" s="677"/>
      <c r="W12" s="681"/>
      <c r="X12" s="681"/>
      <c r="Y12" s="677"/>
      <c r="Z12" s="152" t="s">
        <v>454</v>
      </c>
      <c r="AA12" s="677"/>
      <c r="AB12" s="677"/>
      <c r="AC12" s="153" t="s">
        <v>450</v>
      </c>
      <c r="AD12" s="153" t="s">
        <v>451</v>
      </c>
      <c r="AE12" s="153" t="s">
        <v>452</v>
      </c>
      <c r="AF12" s="153" t="s">
        <v>453</v>
      </c>
      <c r="AG12" s="677"/>
      <c r="AH12" s="677"/>
      <c r="AI12" s="677"/>
      <c r="AJ12" s="155" t="s">
        <v>455</v>
      </c>
      <c r="AK12" s="677"/>
      <c r="AL12" s="153" t="s">
        <v>447</v>
      </c>
      <c r="AM12" s="677"/>
      <c r="AP12" s="135"/>
      <c r="AS12" s="1" t="s">
        <v>456</v>
      </c>
      <c r="AT12" s="1" t="s">
        <v>457</v>
      </c>
      <c r="AU12" s="1" t="s">
        <v>456</v>
      </c>
      <c r="AV12" s="1" t="s">
        <v>457</v>
      </c>
    </row>
    <row r="13" spans="3:48" x14ac:dyDescent="0.3">
      <c r="C13" s="682" t="s">
        <v>24</v>
      </c>
      <c r="D13" s="682"/>
      <c r="E13" s="156">
        <v>24190.062730000001</v>
      </c>
      <c r="F13" s="156"/>
      <c r="G13" s="156">
        <v>1324.6569999999999</v>
      </c>
      <c r="H13" s="156">
        <v>17579.52421</v>
      </c>
      <c r="I13" s="156">
        <v>6.9779999999999998</v>
      </c>
      <c r="J13" s="156">
        <v>0</v>
      </c>
      <c r="K13" s="156">
        <v>0</v>
      </c>
      <c r="L13" s="156">
        <v>0</v>
      </c>
      <c r="M13" s="156"/>
      <c r="N13" s="156">
        <v>0</v>
      </c>
      <c r="O13" s="156">
        <v>20853.753000000001</v>
      </c>
      <c r="P13" s="156">
        <v>117.46299999999999</v>
      </c>
      <c r="Q13" s="156">
        <v>0</v>
      </c>
      <c r="R13" s="156">
        <v>64072.437940000003</v>
      </c>
      <c r="V13" s="157"/>
      <c r="W13" s="682" t="s">
        <v>24</v>
      </c>
      <c r="X13" s="682"/>
      <c r="Y13" s="156">
        <v>19671.074860000001</v>
      </c>
      <c r="Z13" s="156">
        <v>27950.379000000001</v>
      </c>
      <c r="AA13" s="156">
        <v>1324.6569999999999</v>
      </c>
      <c r="AB13" s="156">
        <v>9299.348</v>
      </c>
      <c r="AC13" s="156">
        <v>6.9779999999999998</v>
      </c>
      <c r="AD13" s="156">
        <v>0</v>
      </c>
      <c r="AE13" s="156">
        <v>0</v>
      </c>
      <c r="AF13" s="156">
        <v>0</v>
      </c>
      <c r="AG13" s="156"/>
      <c r="AH13" s="156">
        <v>0</v>
      </c>
      <c r="AI13" s="156">
        <v>20853.753000000001</v>
      </c>
      <c r="AJ13" s="156">
        <v>0</v>
      </c>
      <c r="AK13" s="156">
        <v>117.46299999999999</v>
      </c>
      <c r="AL13" s="156">
        <v>0</v>
      </c>
      <c r="AM13" s="156">
        <v>79223.652860000002</v>
      </c>
      <c r="AN13" s="135" t="s">
        <v>458</v>
      </c>
      <c r="AP13" s="135" t="s">
        <v>459</v>
      </c>
      <c r="AQ13" s="682" t="s">
        <v>24</v>
      </c>
      <c r="AR13" s="682"/>
    </row>
    <row r="14" spans="3:48" x14ac:dyDescent="0.3">
      <c r="C14" s="158" t="s">
        <v>460</v>
      </c>
      <c r="D14" s="158" t="s">
        <v>456</v>
      </c>
      <c r="E14" s="159">
        <v>29391.005140000001</v>
      </c>
      <c r="F14" s="159"/>
      <c r="G14" s="159">
        <v>221.4588</v>
      </c>
      <c r="H14" s="159">
        <v>14402.57315</v>
      </c>
      <c r="I14" s="159">
        <v>-50.812139999999999</v>
      </c>
      <c r="J14" s="159">
        <v>0</v>
      </c>
      <c r="K14" s="159">
        <v>0</v>
      </c>
      <c r="L14" s="159">
        <v>0</v>
      </c>
      <c r="M14" s="159"/>
      <c r="N14" s="159">
        <v>0</v>
      </c>
      <c r="O14" s="159">
        <v>11347.083500000001</v>
      </c>
      <c r="P14" s="159">
        <v>117.46299999999999</v>
      </c>
      <c r="Q14" s="159">
        <v>0</v>
      </c>
      <c r="R14" s="156">
        <v>55428.77145</v>
      </c>
      <c r="V14" s="157"/>
      <c r="W14" s="158" t="s">
        <v>460</v>
      </c>
      <c r="X14" s="158" t="s">
        <v>456</v>
      </c>
      <c r="Y14" s="160">
        <v>18488.833859999999</v>
      </c>
      <c r="Z14" s="160">
        <v>27318.87</v>
      </c>
      <c r="AA14" s="160">
        <v>0</v>
      </c>
      <c r="AB14" s="160">
        <v>0</v>
      </c>
      <c r="AC14" s="160">
        <v>0</v>
      </c>
      <c r="AD14" s="160">
        <v>0</v>
      </c>
      <c r="AE14" s="160">
        <v>0</v>
      </c>
      <c r="AF14" s="160">
        <v>0</v>
      </c>
      <c r="AG14" s="160"/>
      <c r="AH14" s="160">
        <v>0</v>
      </c>
      <c r="AI14" s="160">
        <v>0</v>
      </c>
      <c r="AJ14" s="160">
        <v>0</v>
      </c>
      <c r="AK14" s="160">
        <v>0</v>
      </c>
      <c r="AL14" s="160">
        <v>0</v>
      </c>
      <c r="AM14" s="160">
        <v>45807.703860000001</v>
      </c>
      <c r="AN14" s="1" t="s">
        <v>461</v>
      </c>
      <c r="AP14" s="1" t="s">
        <v>462</v>
      </c>
      <c r="AQ14" s="158" t="s">
        <v>460</v>
      </c>
      <c r="AR14" s="158" t="s">
        <v>456</v>
      </c>
      <c r="AS14" s="1">
        <v>157.6</v>
      </c>
      <c r="AT14" s="161">
        <f>AS14/AM14</f>
        <v>3.4404693254581303E-3</v>
      </c>
      <c r="AU14" s="115">
        <v>2093.6669999999999</v>
      </c>
      <c r="AV14" s="161">
        <f>AU14/AM14</f>
        <v>4.5705565299644334E-2</v>
      </c>
    </row>
    <row r="15" spans="3:48" x14ac:dyDescent="0.3">
      <c r="C15" s="158" t="s">
        <v>463</v>
      </c>
      <c r="D15" s="158" t="s">
        <v>456</v>
      </c>
      <c r="E15" s="159">
        <v>68.343100000000007</v>
      </c>
      <c r="F15" s="159"/>
      <c r="G15" s="159">
        <v>39.053199999999997</v>
      </c>
      <c r="H15" s="159">
        <v>372.95805999999999</v>
      </c>
      <c r="I15" s="159">
        <v>56.627139999999997</v>
      </c>
      <c r="J15" s="159">
        <v>0</v>
      </c>
      <c r="K15" s="159">
        <v>0</v>
      </c>
      <c r="L15" s="159">
        <v>0</v>
      </c>
      <c r="M15" s="159"/>
      <c r="N15" s="159">
        <v>0</v>
      </c>
      <c r="O15" s="159">
        <v>1415.6785</v>
      </c>
      <c r="P15" s="159">
        <v>0</v>
      </c>
      <c r="Q15" s="159">
        <v>0</v>
      </c>
      <c r="R15" s="156">
        <v>1952.66</v>
      </c>
      <c r="V15" s="157"/>
      <c r="W15" s="158" t="s">
        <v>463</v>
      </c>
      <c r="X15" s="158" t="s">
        <v>456</v>
      </c>
      <c r="Y15" s="162">
        <v>68.343100000000007</v>
      </c>
      <c r="Z15" s="160">
        <v>0</v>
      </c>
      <c r="AA15" s="162">
        <v>39.053199999999997</v>
      </c>
      <c r="AB15" s="162">
        <v>429.58519999999999</v>
      </c>
      <c r="AC15" s="160">
        <v>0</v>
      </c>
      <c r="AD15" s="160">
        <v>0</v>
      </c>
      <c r="AE15" s="160">
        <v>0</v>
      </c>
      <c r="AF15" s="160">
        <v>0</v>
      </c>
      <c r="AG15" s="160"/>
      <c r="AH15" s="160">
        <v>0</v>
      </c>
      <c r="AI15" s="162">
        <v>1415.6785</v>
      </c>
      <c r="AJ15" s="160">
        <v>0</v>
      </c>
      <c r="AK15" s="160">
        <v>0</v>
      </c>
      <c r="AL15" s="160">
        <v>0</v>
      </c>
      <c r="AM15" s="162">
        <v>1952.66</v>
      </c>
      <c r="AN15" s="163" t="s">
        <v>464</v>
      </c>
      <c r="AP15" s="163"/>
      <c r="AQ15" s="158" t="s">
        <v>463</v>
      </c>
      <c r="AR15" s="158" t="s">
        <v>456</v>
      </c>
      <c r="AT15" s="161"/>
      <c r="AV15" s="161"/>
    </row>
    <row r="16" spans="3:48" x14ac:dyDescent="0.3">
      <c r="C16" s="158" t="s">
        <v>465</v>
      </c>
      <c r="D16" s="158" t="s">
        <v>456</v>
      </c>
      <c r="E16" s="159">
        <v>0</v>
      </c>
      <c r="F16" s="159"/>
      <c r="G16" s="159">
        <v>0</v>
      </c>
      <c r="H16" s="159">
        <v>0</v>
      </c>
      <c r="I16" s="159">
        <v>0</v>
      </c>
      <c r="J16" s="159">
        <v>0</v>
      </c>
      <c r="K16" s="159">
        <v>0</v>
      </c>
      <c r="L16" s="159">
        <v>0</v>
      </c>
      <c r="M16" s="159"/>
      <c r="N16" s="159">
        <v>0</v>
      </c>
      <c r="O16" s="159">
        <v>0</v>
      </c>
      <c r="P16" s="159">
        <v>0</v>
      </c>
      <c r="Q16" s="159">
        <v>0</v>
      </c>
      <c r="R16" s="156">
        <v>0</v>
      </c>
      <c r="V16" s="157"/>
      <c r="W16" s="158" t="s">
        <v>465</v>
      </c>
      <c r="X16" s="158" t="s">
        <v>456</v>
      </c>
      <c r="Y16" s="160">
        <v>0</v>
      </c>
      <c r="Z16" s="160">
        <v>0</v>
      </c>
      <c r="AA16" s="160">
        <v>0</v>
      </c>
      <c r="AB16" s="160">
        <v>0</v>
      </c>
      <c r="AC16" s="160">
        <v>0</v>
      </c>
      <c r="AD16" s="160">
        <v>0</v>
      </c>
      <c r="AE16" s="160">
        <v>0</v>
      </c>
      <c r="AF16" s="160">
        <v>0</v>
      </c>
      <c r="AG16" s="160"/>
      <c r="AH16" s="160">
        <v>0</v>
      </c>
      <c r="AI16" s="160">
        <v>0</v>
      </c>
      <c r="AJ16" s="160">
        <v>0</v>
      </c>
      <c r="AK16" s="160">
        <v>0</v>
      </c>
      <c r="AL16" s="160">
        <v>0</v>
      </c>
      <c r="AM16" s="160">
        <v>0</v>
      </c>
      <c r="AQ16" s="158" t="s">
        <v>465</v>
      </c>
      <c r="AR16" s="158" t="s">
        <v>456</v>
      </c>
      <c r="AT16" s="161"/>
      <c r="AV16" s="161"/>
    </row>
    <row r="17" spans="3:48" x14ac:dyDescent="0.3">
      <c r="C17" s="158"/>
      <c r="D17" s="158"/>
      <c r="E17" s="159"/>
      <c r="F17" s="159"/>
      <c r="G17" s="159"/>
      <c r="H17" s="159"/>
      <c r="I17" s="159"/>
      <c r="J17" s="159"/>
      <c r="K17" s="159"/>
      <c r="L17" s="159"/>
      <c r="M17" s="159"/>
      <c r="N17" s="159"/>
      <c r="O17" s="159"/>
      <c r="P17" s="159"/>
      <c r="Q17" s="159"/>
      <c r="R17" s="156"/>
      <c r="V17" s="157"/>
      <c r="W17" s="164" t="s">
        <v>466</v>
      </c>
      <c r="X17" s="158" t="s">
        <v>456</v>
      </c>
      <c r="Y17" s="162">
        <v>1087.6789000000001</v>
      </c>
      <c r="Z17" s="160">
        <v>631.50900000000001</v>
      </c>
      <c r="AA17" s="162">
        <v>221.4588</v>
      </c>
      <c r="AB17" s="162">
        <v>6065.7698</v>
      </c>
      <c r="AC17" s="159">
        <v>5.8150000000000004</v>
      </c>
      <c r="AD17" s="160">
        <v>0</v>
      </c>
      <c r="AE17" s="160"/>
      <c r="AF17" s="160"/>
      <c r="AG17" s="160"/>
      <c r="AH17" s="160"/>
      <c r="AI17" s="162">
        <v>11347.083500000001</v>
      </c>
      <c r="AJ17" s="160">
        <v>0</v>
      </c>
      <c r="AK17" s="160">
        <v>117.46299999999999</v>
      </c>
      <c r="AL17" s="160">
        <v>0</v>
      </c>
      <c r="AM17" s="162">
        <v>19476.777999999998</v>
      </c>
      <c r="AN17" s="1" t="s">
        <v>467</v>
      </c>
      <c r="AO17" s="161"/>
      <c r="AP17" s="1" t="s">
        <v>462</v>
      </c>
      <c r="AQ17" s="164" t="s">
        <v>466</v>
      </c>
      <c r="AR17" s="158" t="s">
        <v>456</v>
      </c>
      <c r="AT17" s="161"/>
      <c r="AV17" s="161"/>
    </row>
    <row r="18" spans="3:48" x14ac:dyDescent="0.3">
      <c r="C18" s="158" t="s">
        <v>468</v>
      </c>
      <c r="D18" s="158" t="s">
        <v>456</v>
      </c>
      <c r="E18" s="159">
        <v>25.056000000000001</v>
      </c>
      <c r="F18" s="159"/>
      <c r="G18" s="159">
        <v>175.392</v>
      </c>
      <c r="H18" s="159">
        <v>1566</v>
      </c>
      <c r="I18" s="159">
        <v>0</v>
      </c>
      <c r="J18" s="159">
        <v>0</v>
      </c>
      <c r="K18" s="159">
        <v>0</v>
      </c>
      <c r="L18" s="159">
        <v>0</v>
      </c>
      <c r="M18" s="159"/>
      <c r="N18" s="159">
        <v>0</v>
      </c>
      <c r="O18" s="159">
        <v>4447.4399999999996</v>
      </c>
      <c r="P18" s="159">
        <v>50.112000000000002</v>
      </c>
      <c r="Q18" s="159">
        <v>0</v>
      </c>
      <c r="R18" s="156">
        <v>6264</v>
      </c>
      <c r="V18" s="157"/>
      <c r="W18" s="158" t="s">
        <v>468</v>
      </c>
      <c r="X18" s="158" t="s">
        <v>456</v>
      </c>
      <c r="Y18" s="160">
        <v>25.056000000000001</v>
      </c>
      <c r="Z18" s="160">
        <v>0</v>
      </c>
      <c r="AA18" s="162">
        <v>175.392</v>
      </c>
      <c r="AB18" s="160">
        <v>1566</v>
      </c>
      <c r="AC18" s="160">
        <v>0</v>
      </c>
      <c r="AD18" s="160">
        <v>0</v>
      </c>
      <c r="AE18" s="160">
        <v>0</v>
      </c>
      <c r="AF18" s="160">
        <v>0</v>
      </c>
      <c r="AG18" s="160"/>
      <c r="AH18" s="160">
        <v>0</v>
      </c>
      <c r="AI18" s="160">
        <v>4447.4399999999996</v>
      </c>
      <c r="AJ18" s="160">
        <v>0</v>
      </c>
      <c r="AK18" s="160">
        <v>0</v>
      </c>
      <c r="AL18" s="160">
        <v>0</v>
      </c>
      <c r="AM18" s="162">
        <v>6264</v>
      </c>
      <c r="AN18" s="1" t="s">
        <v>469</v>
      </c>
      <c r="AQ18" s="158" t="s">
        <v>468</v>
      </c>
      <c r="AR18" s="158" t="s">
        <v>456</v>
      </c>
      <c r="AT18" s="161"/>
      <c r="AU18" s="115">
        <v>55.878</v>
      </c>
      <c r="AV18" s="161">
        <f>AU18/AM18</f>
        <v>8.9204980842911875E-3</v>
      </c>
    </row>
    <row r="19" spans="3:48" x14ac:dyDescent="0.3">
      <c r="C19" s="158" t="s">
        <v>470</v>
      </c>
      <c r="D19" s="158" t="s">
        <v>456</v>
      </c>
      <c r="E19" s="159">
        <v>0</v>
      </c>
      <c r="F19" s="159"/>
      <c r="G19" s="159">
        <v>0</v>
      </c>
      <c r="H19" s="165">
        <f>R19*0.9</f>
        <v>400.95</v>
      </c>
      <c r="I19" s="159">
        <v>0</v>
      </c>
      <c r="J19" s="159">
        <v>0</v>
      </c>
      <c r="K19" s="159">
        <v>0</v>
      </c>
      <c r="L19" s="159">
        <v>0</v>
      </c>
      <c r="M19" s="159"/>
      <c r="N19" s="159">
        <v>0</v>
      </c>
      <c r="O19" s="165">
        <f>445.5*0.1</f>
        <v>44.550000000000004</v>
      </c>
      <c r="P19" s="159">
        <v>0</v>
      </c>
      <c r="Q19" s="159">
        <v>0</v>
      </c>
      <c r="R19" s="156">
        <v>445.5</v>
      </c>
      <c r="V19" s="157"/>
      <c r="W19" s="158" t="s">
        <v>470</v>
      </c>
      <c r="X19" s="158" t="s">
        <v>456</v>
      </c>
      <c r="Y19" s="160">
        <v>0</v>
      </c>
      <c r="Z19" s="160">
        <v>0</v>
      </c>
      <c r="AA19" s="162">
        <v>32.923333333333296</v>
      </c>
      <c r="AB19" s="162">
        <v>855.74222222222204</v>
      </c>
      <c r="AC19" s="160">
        <v>0</v>
      </c>
      <c r="AD19" s="160">
        <v>0</v>
      </c>
      <c r="AE19" s="160">
        <v>0</v>
      </c>
      <c r="AF19" s="160">
        <v>0</v>
      </c>
      <c r="AG19" s="160"/>
      <c r="AH19" s="160">
        <v>0</v>
      </c>
      <c r="AI19" s="162">
        <v>448.63</v>
      </c>
      <c r="AJ19" s="160">
        <v>0</v>
      </c>
      <c r="AK19" s="160">
        <v>0</v>
      </c>
      <c r="AL19" s="160">
        <v>0</v>
      </c>
      <c r="AM19" s="162">
        <v>1337.29555555556</v>
      </c>
      <c r="AN19" s="163" t="s">
        <v>471</v>
      </c>
      <c r="AQ19" s="158" t="s">
        <v>470</v>
      </c>
      <c r="AR19" s="158" t="s">
        <v>456</v>
      </c>
      <c r="AT19" s="161"/>
      <c r="AV19" s="161"/>
    </row>
    <row r="20" spans="3:48" x14ac:dyDescent="0.3">
      <c r="C20" s="158" t="s">
        <v>472</v>
      </c>
      <c r="D20" s="158" t="s">
        <v>456</v>
      </c>
      <c r="E20" s="159">
        <v>1.163</v>
      </c>
      <c r="F20" s="159"/>
      <c r="G20" s="159">
        <v>888.75300000000004</v>
      </c>
      <c r="H20" s="159">
        <v>1237.9929999999999</v>
      </c>
      <c r="I20" s="159">
        <v>1.163</v>
      </c>
      <c r="J20" s="159">
        <v>0</v>
      </c>
      <c r="K20" s="159">
        <v>0</v>
      </c>
      <c r="L20" s="159">
        <v>0</v>
      </c>
      <c r="M20" s="159"/>
      <c r="N20" s="159">
        <v>0</v>
      </c>
      <c r="O20" s="159">
        <v>3198.0509999999999</v>
      </c>
      <c r="P20" s="159">
        <v>-50.112000000000002</v>
      </c>
      <c r="Q20" s="159">
        <v>0</v>
      </c>
      <c r="R20" s="156">
        <v>5277.0110000000004</v>
      </c>
      <c r="V20" s="157"/>
      <c r="W20" s="158" t="s">
        <v>472</v>
      </c>
      <c r="X20" s="158" t="s">
        <v>456</v>
      </c>
      <c r="Y20" s="160">
        <v>1.163</v>
      </c>
      <c r="Z20" s="160">
        <v>0</v>
      </c>
      <c r="AA20" s="162">
        <v>855.82966666666698</v>
      </c>
      <c r="AB20" s="162">
        <v>382.25077777777801</v>
      </c>
      <c r="AC20" s="160">
        <v>1.163</v>
      </c>
      <c r="AD20" s="160">
        <v>0</v>
      </c>
      <c r="AE20" s="160">
        <v>0</v>
      </c>
      <c r="AF20" s="160">
        <v>0</v>
      </c>
      <c r="AG20" s="160"/>
      <c r="AH20" s="160">
        <v>0</v>
      </c>
      <c r="AI20" s="162">
        <v>3194.9209999999998</v>
      </c>
      <c r="AJ20" s="160">
        <v>0</v>
      </c>
      <c r="AK20" s="160">
        <v>0</v>
      </c>
      <c r="AL20" s="160">
        <v>0</v>
      </c>
      <c r="AM20" s="162">
        <v>4385.2154444444404</v>
      </c>
      <c r="AN20" s="1" t="s">
        <v>467</v>
      </c>
      <c r="AO20" s="161"/>
      <c r="AQ20" s="158" t="s">
        <v>472</v>
      </c>
      <c r="AR20" s="158" t="s">
        <v>456</v>
      </c>
      <c r="AS20" s="1">
        <v>86.5</v>
      </c>
      <c r="AT20" s="161">
        <f>AS20/AM20</f>
        <v>1.9725370645035347E-2</v>
      </c>
      <c r="AU20" s="115">
        <v>82.619</v>
      </c>
      <c r="AV20" s="161">
        <f>AU20/AM20</f>
        <v>1.8840351414129194E-2</v>
      </c>
    </row>
    <row r="21" spans="3:48" x14ac:dyDescent="0.3">
      <c r="C21" s="682" t="s">
        <v>25</v>
      </c>
      <c r="D21" s="682"/>
      <c r="E21" s="156">
        <v>3728.8687500000001</v>
      </c>
      <c r="F21" s="156"/>
      <c r="G21" s="156">
        <v>4401.59447</v>
      </c>
      <c r="H21" s="156">
        <v>35658.52203</v>
      </c>
      <c r="I21" s="156">
        <v>1080.47352000001</v>
      </c>
      <c r="J21" s="156">
        <v>0</v>
      </c>
      <c r="K21" s="156">
        <v>0</v>
      </c>
      <c r="L21" s="156">
        <v>0</v>
      </c>
      <c r="M21" s="156"/>
      <c r="N21" s="156">
        <v>0</v>
      </c>
      <c r="O21" s="156">
        <v>19634.219570000001</v>
      </c>
      <c r="P21" s="156">
        <v>11362.64956</v>
      </c>
      <c r="Q21" s="156">
        <v>0</v>
      </c>
      <c r="R21" s="156">
        <v>75866.327900000004</v>
      </c>
      <c r="V21" s="157"/>
      <c r="W21" s="682" t="s">
        <v>25</v>
      </c>
      <c r="X21" s="682"/>
      <c r="Y21" s="156">
        <v>3659.9609999999998</v>
      </c>
      <c r="Z21" s="156">
        <v>68.907749999999993</v>
      </c>
      <c r="AA21" s="156">
        <v>4401.59447</v>
      </c>
      <c r="AB21" s="156">
        <v>35658.52203</v>
      </c>
      <c r="AC21" s="156">
        <v>1080.47352000001</v>
      </c>
      <c r="AD21" s="156">
        <v>0</v>
      </c>
      <c r="AE21" s="156">
        <v>0</v>
      </c>
      <c r="AF21" s="156">
        <v>0</v>
      </c>
      <c r="AG21" s="156"/>
      <c r="AH21" s="156">
        <v>0</v>
      </c>
      <c r="AI21" s="156">
        <v>19634.219570000001</v>
      </c>
      <c r="AJ21" s="156">
        <v>0</v>
      </c>
      <c r="AK21" s="156">
        <v>11362.64956</v>
      </c>
      <c r="AL21" s="156">
        <v>0</v>
      </c>
      <c r="AM21" s="156">
        <v>75866.327900000004</v>
      </c>
      <c r="AN21" s="1" t="s">
        <v>473</v>
      </c>
      <c r="AQ21" s="682" t="s">
        <v>25</v>
      </c>
      <c r="AR21" s="682"/>
      <c r="AT21" s="161"/>
      <c r="AV21" s="161"/>
    </row>
    <row r="22" spans="3:48" x14ac:dyDescent="0.3">
      <c r="C22" s="158" t="s">
        <v>474</v>
      </c>
      <c r="D22" s="158" t="s">
        <v>456</v>
      </c>
      <c r="E22" s="159">
        <v>0</v>
      </c>
      <c r="F22" s="159"/>
      <c r="G22" s="159">
        <v>26.879492334423301</v>
      </c>
      <c r="H22" s="159">
        <v>4999.5855742027297</v>
      </c>
      <c r="I22" s="159">
        <v>26.879492334423301</v>
      </c>
      <c r="J22" s="159">
        <v>0</v>
      </c>
      <c r="K22" s="159">
        <v>0</v>
      </c>
      <c r="L22" s="159">
        <v>0</v>
      </c>
      <c r="M22" s="159"/>
      <c r="N22" s="159">
        <v>0</v>
      </c>
      <c r="O22" s="159">
        <v>322.55390801307902</v>
      </c>
      <c r="P22" s="159">
        <v>0</v>
      </c>
      <c r="Q22" s="159">
        <v>0</v>
      </c>
      <c r="R22" s="156">
        <v>5375.8984668846497</v>
      </c>
      <c r="V22" s="157"/>
      <c r="W22" s="158" t="s">
        <v>474</v>
      </c>
      <c r="X22" s="158" t="s">
        <v>456</v>
      </c>
      <c r="Y22" s="159">
        <v>0</v>
      </c>
      <c r="Z22" s="159">
        <v>0</v>
      </c>
      <c r="AA22" s="159">
        <v>26.879492334423301</v>
      </c>
      <c r="AB22" s="159">
        <v>4999.5855742027297</v>
      </c>
      <c r="AC22" s="159">
        <v>26.879492334423301</v>
      </c>
      <c r="AD22" s="159">
        <v>0</v>
      </c>
      <c r="AE22" s="159">
        <v>0</v>
      </c>
      <c r="AF22" s="159">
        <v>0</v>
      </c>
      <c r="AG22" s="159"/>
      <c r="AH22" s="159">
        <v>0</v>
      </c>
      <c r="AI22" s="159">
        <v>322.55390801307902</v>
      </c>
      <c r="AJ22" s="159">
        <v>0</v>
      </c>
      <c r="AK22" s="159">
        <v>0</v>
      </c>
      <c r="AL22" s="159">
        <v>0</v>
      </c>
      <c r="AM22" s="159">
        <v>5375.8984668846497</v>
      </c>
      <c r="AN22" s="1" t="s">
        <v>469</v>
      </c>
      <c r="AQ22" s="158" t="s">
        <v>474</v>
      </c>
      <c r="AR22" s="158" t="s">
        <v>456</v>
      </c>
      <c r="AT22" s="161"/>
      <c r="AV22" s="161"/>
    </row>
    <row r="23" spans="3:48" x14ac:dyDescent="0.3">
      <c r="C23" s="158" t="s">
        <v>475</v>
      </c>
      <c r="D23" s="158" t="s">
        <v>456</v>
      </c>
      <c r="E23" s="159">
        <v>0</v>
      </c>
      <c r="F23" s="159"/>
      <c r="G23" s="159">
        <v>1703.6673708114899</v>
      </c>
      <c r="H23" s="159">
        <v>12328.079291392</v>
      </c>
      <c r="I23" s="159">
        <v>757.42589761749502</v>
      </c>
      <c r="J23" s="159">
        <v>0</v>
      </c>
      <c r="K23" s="159">
        <v>0</v>
      </c>
      <c r="L23" s="159">
        <v>0</v>
      </c>
      <c r="M23" s="159"/>
      <c r="N23" s="159">
        <v>0</v>
      </c>
      <c r="O23" s="159">
        <v>5680.6942321312099</v>
      </c>
      <c r="P23" s="159">
        <v>4436.3516860453301</v>
      </c>
      <c r="Q23" s="159">
        <v>0</v>
      </c>
      <c r="R23" s="156">
        <v>24906.2184779975</v>
      </c>
      <c r="V23" s="157"/>
      <c r="W23" s="158" t="s">
        <v>475</v>
      </c>
      <c r="X23" s="158" t="s">
        <v>456</v>
      </c>
      <c r="Y23" s="160">
        <v>0</v>
      </c>
      <c r="Z23" s="160">
        <v>0</v>
      </c>
      <c r="AA23" s="160">
        <v>1618.41363305613</v>
      </c>
      <c r="AB23" s="160">
        <v>29131.4453950104</v>
      </c>
      <c r="AC23" s="160">
        <v>588.63274428274406</v>
      </c>
      <c r="AD23" s="160">
        <v>0</v>
      </c>
      <c r="AE23" s="160">
        <v>0</v>
      </c>
      <c r="AF23" s="160">
        <v>0</v>
      </c>
      <c r="AG23" s="160"/>
      <c r="AH23" s="160">
        <v>0</v>
      </c>
      <c r="AI23" s="160">
        <v>7108.8951993951996</v>
      </c>
      <c r="AJ23" s="160">
        <v>0</v>
      </c>
      <c r="AK23" s="160">
        <v>5861.8958703458702</v>
      </c>
      <c r="AL23" s="160">
        <v>0</v>
      </c>
      <c r="AM23" s="160">
        <v>44309.282842090397</v>
      </c>
      <c r="AN23" s="1" t="s">
        <v>476</v>
      </c>
      <c r="AO23" s="161"/>
      <c r="AP23" s="1" t="s">
        <v>477</v>
      </c>
      <c r="AQ23" s="158" t="s">
        <v>475</v>
      </c>
      <c r="AR23" s="158" t="s">
        <v>456</v>
      </c>
      <c r="AS23" s="1">
        <v>292.60000000000002</v>
      </c>
      <c r="AT23" s="161">
        <f>AS23/AM23</f>
        <v>6.6035823924925413E-3</v>
      </c>
      <c r="AU23" s="115">
        <v>287.28899999999999</v>
      </c>
      <c r="AV23" s="161">
        <f>AU23/AM23</f>
        <v>6.4837203757921718E-3</v>
      </c>
    </row>
    <row r="24" spans="3:48" x14ac:dyDescent="0.3">
      <c r="C24" s="158" t="s">
        <v>478</v>
      </c>
      <c r="D24" s="158" t="s">
        <v>456</v>
      </c>
      <c r="E24" s="159">
        <v>3728.8687500000001</v>
      </c>
      <c r="F24" s="159"/>
      <c r="G24" s="159">
        <v>2671.0476068540902</v>
      </c>
      <c r="H24" s="159">
        <v>18330.857164405301</v>
      </c>
      <c r="I24" s="159">
        <v>296.16813004808802</v>
      </c>
      <c r="J24" s="159">
        <v>0</v>
      </c>
      <c r="K24" s="159">
        <v>0</v>
      </c>
      <c r="L24" s="159">
        <v>0</v>
      </c>
      <c r="M24" s="159"/>
      <c r="N24" s="159">
        <v>0</v>
      </c>
      <c r="O24" s="159">
        <v>13630.971429855699</v>
      </c>
      <c r="P24" s="159">
        <v>6926.2978739546697</v>
      </c>
      <c r="Q24" s="159">
        <v>0</v>
      </c>
      <c r="R24" s="156">
        <v>45584.210955117902</v>
      </c>
      <c r="V24" s="157"/>
      <c r="W24" s="158" t="s">
        <v>478</v>
      </c>
      <c r="X24" s="158" t="s">
        <v>456</v>
      </c>
      <c r="Y24" s="159">
        <v>3659.9609999999998</v>
      </c>
      <c r="Z24" s="159">
        <v>68.907749999999993</v>
      </c>
      <c r="AA24" s="159">
        <v>2756.3013446094401</v>
      </c>
      <c r="AB24" s="159">
        <v>1527.4910607868801</v>
      </c>
      <c r="AC24" s="159">
        <v>464.96128338283802</v>
      </c>
      <c r="AD24" s="159">
        <v>0</v>
      </c>
      <c r="AE24" s="159">
        <v>0</v>
      </c>
      <c r="AF24" s="159">
        <v>0</v>
      </c>
      <c r="AG24" s="159"/>
      <c r="AH24" s="159">
        <v>0</v>
      </c>
      <c r="AI24" s="159">
        <v>12202.770462591699</v>
      </c>
      <c r="AJ24" s="159">
        <v>0</v>
      </c>
      <c r="AK24" s="159">
        <v>5500.7536896541296</v>
      </c>
      <c r="AL24" s="159">
        <v>0</v>
      </c>
      <c r="AM24" s="159">
        <v>26181.146591025001</v>
      </c>
      <c r="AN24" s="1" t="s">
        <v>467</v>
      </c>
      <c r="AO24" s="166"/>
      <c r="AQ24" s="158" t="s">
        <v>478</v>
      </c>
      <c r="AR24" s="158" t="s">
        <v>456</v>
      </c>
      <c r="AS24" s="1">
        <v>932.6</v>
      </c>
      <c r="AT24" s="161">
        <f>AS24/AM24</f>
        <v>3.5621052605835792E-2</v>
      </c>
      <c r="AU24" s="115">
        <v>1014.828</v>
      </c>
      <c r="AV24" s="161">
        <f>AU24/AM24</f>
        <v>3.8761785946681455E-2</v>
      </c>
    </row>
    <row r="25" spans="3:48" x14ac:dyDescent="0.3">
      <c r="C25" s="682" t="s">
        <v>479</v>
      </c>
      <c r="D25" s="682"/>
      <c r="E25" s="156">
        <v>2938.9009999999998</v>
      </c>
      <c r="F25" s="156"/>
      <c r="G25" s="156">
        <v>6832.625</v>
      </c>
      <c r="H25" s="156">
        <v>19326.734</v>
      </c>
      <c r="I25" s="156">
        <v>5982.4719999999998</v>
      </c>
      <c r="J25" s="156">
        <v>0</v>
      </c>
      <c r="K25" s="156">
        <v>0</v>
      </c>
      <c r="L25" s="156">
        <v>0</v>
      </c>
      <c r="M25" s="156"/>
      <c r="N25" s="156">
        <v>0</v>
      </c>
      <c r="O25" s="156">
        <v>8314.2870000000003</v>
      </c>
      <c r="P25" s="156">
        <v>0</v>
      </c>
      <c r="Q25" s="156">
        <v>0</v>
      </c>
      <c r="R25" s="156">
        <v>43395.019</v>
      </c>
      <c r="V25" s="157"/>
      <c r="W25" s="682" t="s">
        <v>479</v>
      </c>
      <c r="X25" s="682"/>
      <c r="Y25" s="156">
        <v>2556.2739999999999</v>
      </c>
      <c r="Z25" s="156">
        <v>382.62700000000001</v>
      </c>
      <c r="AA25" s="156">
        <v>6832.625</v>
      </c>
      <c r="AB25" s="156">
        <v>19326.734</v>
      </c>
      <c r="AC25" s="156">
        <v>2679.0324533571202</v>
      </c>
      <c r="AD25" s="156">
        <v>3417.3512551478002</v>
      </c>
      <c r="AE25" s="156">
        <v>0</v>
      </c>
      <c r="AF25" s="156">
        <v>0</v>
      </c>
      <c r="AG25" s="156"/>
      <c r="AH25" s="156">
        <v>0</v>
      </c>
      <c r="AI25" s="156">
        <v>8314.2870000000003</v>
      </c>
      <c r="AJ25" s="156">
        <v>0</v>
      </c>
      <c r="AK25" s="156">
        <v>0</v>
      </c>
      <c r="AL25" s="156">
        <v>0</v>
      </c>
      <c r="AM25" s="156">
        <f>SUM(AM26:AM28)</f>
        <v>43508.930708504937</v>
      </c>
      <c r="AN25" s="1" t="s">
        <v>473</v>
      </c>
      <c r="AQ25" s="682" t="s">
        <v>479</v>
      </c>
      <c r="AR25" s="682"/>
      <c r="AT25" s="161"/>
      <c r="AV25" s="161"/>
    </row>
    <row r="26" spans="3:48" x14ac:dyDescent="0.3">
      <c r="C26" s="158" t="s">
        <v>480</v>
      </c>
      <c r="D26" s="158" t="s">
        <v>456</v>
      </c>
      <c r="E26" s="159">
        <v>1876.1928459635001</v>
      </c>
      <c r="F26" s="159"/>
      <c r="G26" s="159">
        <v>5159.5303263996202</v>
      </c>
      <c r="H26" s="159">
        <v>268.02754942335702</v>
      </c>
      <c r="I26" s="159">
        <v>5695.5854252463396</v>
      </c>
      <c r="J26" s="159">
        <v>0</v>
      </c>
      <c r="K26" s="159">
        <v>0</v>
      </c>
      <c r="L26" s="159">
        <v>0</v>
      </c>
      <c r="M26" s="159"/>
      <c r="N26" s="159">
        <v>0</v>
      </c>
      <c r="O26" s="159">
        <v>402.04132413503601</v>
      </c>
      <c r="P26" s="159">
        <v>0</v>
      </c>
      <c r="Q26" s="159">
        <v>0</v>
      </c>
      <c r="R26" s="156">
        <v>13401.3774711679</v>
      </c>
      <c r="V26" s="157"/>
      <c r="W26" s="158" t="s">
        <v>480</v>
      </c>
      <c r="X26" s="158" t="s">
        <v>456</v>
      </c>
      <c r="Y26" s="159">
        <v>1876.1928459635001</v>
      </c>
      <c r="Z26" s="159">
        <v>0</v>
      </c>
      <c r="AA26" s="159">
        <v>5159.5303263996202</v>
      </c>
      <c r="AB26" s="159">
        <v>268.02754942335702</v>
      </c>
      <c r="AC26" s="159">
        <v>2278.2341700985298</v>
      </c>
      <c r="AD26" s="159">
        <v>3417.3512551478002</v>
      </c>
      <c r="AE26" s="159">
        <v>0</v>
      </c>
      <c r="AF26" s="159">
        <v>0</v>
      </c>
      <c r="AG26" s="159"/>
      <c r="AH26" s="159">
        <v>0</v>
      </c>
      <c r="AI26" s="159">
        <v>1871.7831758505499</v>
      </c>
      <c r="AJ26" s="159">
        <v>0</v>
      </c>
      <c r="AK26" s="159">
        <v>0</v>
      </c>
      <c r="AL26" s="159">
        <v>0</v>
      </c>
      <c r="AM26" s="159">
        <f>SUM(Y26:AL26)</f>
        <v>14871.119322883358</v>
      </c>
      <c r="AN26" s="1" t="s">
        <v>473</v>
      </c>
      <c r="AQ26" s="158" t="s">
        <v>480</v>
      </c>
      <c r="AR26" s="158" t="s">
        <v>456</v>
      </c>
      <c r="AT26" s="161"/>
      <c r="AU26" s="115">
        <v>995.96699999999998</v>
      </c>
      <c r="AV26" s="161">
        <f>AU26/AM26</f>
        <v>6.6973237076204978E-2</v>
      </c>
    </row>
    <row r="27" spans="3:48" x14ac:dyDescent="0.3">
      <c r="C27" s="158" t="s">
        <v>481</v>
      </c>
      <c r="D27" s="158" t="s">
        <v>456</v>
      </c>
      <c r="E27" s="159">
        <v>0</v>
      </c>
      <c r="F27" s="159"/>
      <c r="G27" s="159">
        <v>1376.6639035451999</v>
      </c>
      <c r="H27" s="159">
        <v>10248.4979486143</v>
      </c>
      <c r="I27" s="159">
        <v>0</v>
      </c>
      <c r="J27" s="159">
        <v>0</v>
      </c>
      <c r="K27" s="159">
        <v>0</v>
      </c>
      <c r="L27" s="159">
        <v>0</v>
      </c>
      <c r="M27" s="159"/>
      <c r="N27" s="159">
        <v>0</v>
      </c>
      <c r="O27" s="159">
        <v>3671.1037427872002</v>
      </c>
      <c r="P27" s="159">
        <v>0</v>
      </c>
      <c r="Q27" s="159">
        <v>0</v>
      </c>
      <c r="R27" s="156">
        <v>15296.265594946701</v>
      </c>
      <c r="V27" s="157"/>
      <c r="W27" s="158" t="s">
        <v>481</v>
      </c>
      <c r="X27" s="158" t="s">
        <v>456</v>
      </c>
      <c r="Y27" s="159">
        <v>0</v>
      </c>
      <c r="Z27" s="159">
        <v>0</v>
      </c>
      <c r="AA27" s="159">
        <v>1376.6639035451999</v>
      </c>
      <c r="AB27" s="159">
        <v>10248.4979486143</v>
      </c>
      <c r="AC27" s="159">
        <v>0</v>
      </c>
      <c r="AD27" s="159">
        <v>0</v>
      </c>
      <c r="AE27" s="159">
        <v>0</v>
      </c>
      <c r="AF27" s="159">
        <v>0</v>
      </c>
      <c r="AG27" s="159"/>
      <c r="AH27" s="159">
        <v>0</v>
      </c>
      <c r="AI27" s="159">
        <v>3671.1037427872002</v>
      </c>
      <c r="AJ27" s="159">
        <v>0</v>
      </c>
      <c r="AK27" s="159">
        <v>0</v>
      </c>
      <c r="AL27" s="159">
        <v>0</v>
      </c>
      <c r="AM27" s="159">
        <f>SUM(Y27:AL27)</f>
        <v>15296.265594946701</v>
      </c>
      <c r="AN27" s="1" t="s">
        <v>476</v>
      </c>
      <c r="AO27" s="161"/>
      <c r="AQ27" s="158" t="s">
        <v>481</v>
      </c>
      <c r="AR27" s="158" t="s">
        <v>456</v>
      </c>
      <c r="AS27" s="1">
        <v>65</v>
      </c>
      <c r="AT27" s="161">
        <f>AS27/AM27</f>
        <v>4.2494032021432411E-3</v>
      </c>
      <c r="AU27" s="115">
        <v>222.06700000000001</v>
      </c>
      <c r="AV27" s="161">
        <f>AU27/AM27</f>
        <v>1.4517726475236048E-2</v>
      </c>
    </row>
    <row r="28" spans="3:48" x14ac:dyDescent="0.3">
      <c r="C28" s="158" t="s">
        <v>482</v>
      </c>
      <c r="D28" s="158" t="s">
        <v>456</v>
      </c>
      <c r="E28" s="159">
        <v>1062.7081540365</v>
      </c>
      <c r="F28" s="159"/>
      <c r="G28" s="159">
        <v>296.43077005517603</v>
      </c>
      <c r="H28" s="159">
        <v>8810.2085019623592</v>
      </c>
      <c r="I28" s="159">
        <v>286.88657475366301</v>
      </c>
      <c r="J28" s="159">
        <v>0</v>
      </c>
      <c r="K28" s="159">
        <v>0</v>
      </c>
      <c r="L28" s="159">
        <v>0</v>
      </c>
      <c r="M28" s="159"/>
      <c r="N28" s="159">
        <v>0</v>
      </c>
      <c r="O28" s="159">
        <v>4241.1419330777599</v>
      </c>
      <c r="P28" s="159">
        <v>0</v>
      </c>
      <c r="Q28" s="159">
        <v>0</v>
      </c>
      <c r="R28" s="156">
        <v>14697.3759338855</v>
      </c>
      <c r="V28" s="157"/>
      <c r="W28" s="158" t="s">
        <v>482</v>
      </c>
      <c r="X28" s="158" t="s">
        <v>456</v>
      </c>
      <c r="Y28" s="159">
        <v>680.08115403650095</v>
      </c>
      <c r="Z28" s="159">
        <v>382.62700000000001</v>
      </c>
      <c r="AA28" s="159">
        <v>296.43077005517603</v>
      </c>
      <c r="AB28" s="159">
        <v>8810.2085019623592</v>
      </c>
      <c r="AC28" s="159">
        <v>400.79828325859</v>
      </c>
      <c r="AD28" s="159">
        <v>0</v>
      </c>
      <c r="AE28" s="159">
        <v>0</v>
      </c>
      <c r="AF28" s="159">
        <v>0</v>
      </c>
      <c r="AG28" s="159"/>
      <c r="AH28" s="159">
        <v>0</v>
      </c>
      <c r="AI28" s="159">
        <v>2771.4000813622501</v>
      </c>
      <c r="AJ28" s="159">
        <v>0</v>
      </c>
      <c r="AK28" s="159">
        <v>0</v>
      </c>
      <c r="AL28" s="159">
        <v>0</v>
      </c>
      <c r="AM28" s="159">
        <f>SUM(Y28:AL28)</f>
        <v>13341.545790674874</v>
      </c>
      <c r="AN28" s="1" t="s">
        <v>467</v>
      </c>
      <c r="AO28" s="166"/>
      <c r="AQ28" s="158" t="s">
        <v>482</v>
      </c>
      <c r="AR28" s="158" t="s">
        <v>456</v>
      </c>
      <c r="AS28" s="1">
        <v>132</v>
      </c>
      <c r="AT28" s="161">
        <f>AS28/AM28</f>
        <v>9.8939060039251164E-3</v>
      </c>
      <c r="AU28" s="115">
        <v>-64.718999999999994</v>
      </c>
      <c r="AV28" s="161">
        <f>AU28/AM28</f>
        <v>-4.8509371414244664E-3</v>
      </c>
    </row>
    <row r="29" spans="3:48" x14ac:dyDescent="0.3">
      <c r="C29" s="682" t="s">
        <v>483</v>
      </c>
      <c r="D29" s="682"/>
      <c r="E29" s="156">
        <v>2301.5770000000002</v>
      </c>
      <c r="F29" s="156"/>
      <c r="G29" s="156">
        <v>2944.7159999999999</v>
      </c>
      <c r="H29" s="156">
        <v>26382.654999999999</v>
      </c>
      <c r="I29" s="156">
        <v>2189.9290000000001</v>
      </c>
      <c r="J29" s="156">
        <v>0</v>
      </c>
      <c r="K29" s="156">
        <v>0</v>
      </c>
      <c r="L29" s="156">
        <v>0</v>
      </c>
      <c r="M29" s="156"/>
      <c r="N29" s="156">
        <v>0</v>
      </c>
      <c r="O29" s="156">
        <v>23015.77</v>
      </c>
      <c r="P29" s="156">
        <v>0</v>
      </c>
      <c r="Q29" s="156">
        <v>0</v>
      </c>
      <c r="R29" s="156">
        <v>56834.646999999997</v>
      </c>
      <c r="V29" s="157"/>
      <c r="W29" s="682" t="s">
        <v>483</v>
      </c>
      <c r="X29" s="682"/>
      <c r="Y29" s="156">
        <v>2130.616</v>
      </c>
      <c r="Z29" s="156">
        <v>170.96100000000001</v>
      </c>
      <c r="AA29" s="156">
        <v>2944.7159999999999</v>
      </c>
      <c r="AB29" s="156">
        <v>26382.654999999999</v>
      </c>
      <c r="AC29" s="156">
        <v>2189.9290000000001</v>
      </c>
      <c r="AD29" s="156">
        <v>0</v>
      </c>
      <c r="AE29" s="156">
        <v>0</v>
      </c>
      <c r="AF29" s="156">
        <v>0</v>
      </c>
      <c r="AG29" s="156"/>
      <c r="AH29" s="156">
        <v>0</v>
      </c>
      <c r="AI29" s="156">
        <v>23015.77</v>
      </c>
      <c r="AJ29" s="156">
        <v>0</v>
      </c>
      <c r="AK29" s="156">
        <v>2752.0909999999999</v>
      </c>
      <c r="AL29" s="156">
        <v>0</v>
      </c>
      <c r="AM29" s="156">
        <v>59586.737999999998</v>
      </c>
      <c r="AN29" s="1" t="s">
        <v>473</v>
      </c>
      <c r="AQ29" s="682" t="s">
        <v>483</v>
      </c>
      <c r="AR29" s="682"/>
      <c r="AT29" s="161"/>
      <c r="AV29" s="161"/>
    </row>
    <row r="30" spans="3:48" x14ac:dyDescent="0.3">
      <c r="C30" s="158" t="s">
        <v>484</v>
      </c>
      <c r="D30" s="158" t="s">
        <v>456</v>
      </c>
      <c r="E30" s="159">
        <v>1906.6484837999999</v>
      </c>
      <c r="F30" s="159"/>
      <c r="G30" s="159">
        <v>922.57184700000005</v>
      </c>
      <c r="H30" s="159">
        <v>6868.0348610000001</v>
      </c>
      <c r="I30" s="159">
        <v>41.003193199999998</v>
      </c>
      <c r="J30" s="159">
        <v>0</v>
      </c>
      <c r="K30" s="159">
        <v>0</v>
      </c>
      <c r="L30" s="159">
        <v>0</v>
      </c>
      <c r="M30" s="159"/>
      <c r="N30" s="159">
        <v>0</v>
      </c>
      <c r="O30" s="159">
        <v>512.53991499999995</v>
      </c>
      <c r="P30" s="159">
        <v>0</v>
      </c>
      <c r="Q30" s="159">
        <v>0</v>
      </c>
      <c r="R30" s="156">
        <v>10250.7983</v>
      </c>
      <c r="V30" s="157"/>
      <c r="W30" s="158" t="s">
        <v>484</v>
      </c>
      <c r="X30" s="158" t="s">
        <v>456</v>
      </c>
      <c r="Y30" s="159">
        <v>1906.6484837999999</v>
      </c>
      <c r="Z30" s="159">
        <v>0</v>
      </c>
      <c r="AA30" s="159">
        <v>922.57184700000005</v>
      </c>
      <c r="AB30" s="159">
        <v>6868.0348610000001</v>
      </c>
      <c r="AC30" s="159">
        <v>41.003193199999998</v>
      </c>
      <c r="AD30" s="159">
        <v>0</v>
      </c>
      <c r="AE30" s="159">
        <v>0</v>
      </c>
      <c r="AF30" s="159">
        <v>0</v>
      </c>
      <c r="AG30" s="159"/>
      <c r="AH30" s="159">
        <v>0</v>
      </c>
      <c r="AI30" s="159">
        <v>512.53991499999995</v>
      </c>
      <c r="AJ30" s="159">
        <v>0</v>
      </c>
      <c r="AK30" s="159">
        <v>0</v>
      </c>
      <c r="AL30" s="159">
        <v>0</v>
      </c>
      <c r="AM30" s="159">
        <v>10250.7983</v>
      </c>
      <c r="AN30" s="1" t="s">
        <v>476</v>
      </c>
      <c r="AO30" s="161"/>
      <c r="AQ30" s="158" t="s">
        <v>484</v>
      </c>
      <c r="AR30" s="158" t="s">
        <v>456</v>
      </c>
      <c r="AS30" s="1">
        <v>267.8</v>
      </c>
      <c r="AT30" s="161">
        <f>AS30/AM30</f>
        <v>2.6124794592826982E-2</v>
      </c>
      <c r="AU30" s="115">
        <v>356.88200000000001</v>
      </c>
      <c r="AV30" s="161">
        <f>AU30/AM30</f>
        <v>3.4815044599989839E-2</v>
      </c>
    </row>
    <row r="31" spans="3:48" x14ac:dyDescent="0.3">
      <c r="C31" s="158" t="s">
        <v>485</v>
      </c>
      <c r="D31" s="158" t="s">
        <v>456</v>
      </c>
      <c r="E31" s="159">
        <v>394.92851619999999</v>
      </c>
      <c r="F31" s="159"/>
      <c r="G31" s="159">
        <v>2022.144153</v>
      </c>
      <c r="H31" s="159">
        <v>19514.620138999999</v>
      </c>
      <c r="I31" s="159">
        <v>2148.9258067999999</v>
      </c>
      <c r="J31" s="159">
        <v>0</v>
      </c>
      <c r="K31" s="159">
        <v>0</v>
      </c>
      <c r="L31" s="159">
        <v>0</v>
      </c>
      <c r="M31" s="159"/>
      <c r="N31" s="159">
        <v>0</v>
      </c>
      <c r="O31" s="159">
        <v>22503.230084999999</v>
      </c>
      <c r="P31" s="159">
        <v>0</v>
      </c>
      <c r="Q31" s="159">
        <v>0</v>
      </c>
      <c r="R31" s="156">
        <v>46583.848700000002</v>
      </c>
      <c r="V31" s="157"/>
      <c r="W31" s="158" t="s">
        <v>485</v>
      </c>
      <c r="X31" s="158" t="s">
        <v>456</v>
      </c>
      <c r="Y31" s="159">
        <v>223.96751620000001</v>
      </c>
      <c r="Z31" s="159">
        <v>170.96100000000001</v>
      </c>
      <c r="AA31" s="159">
        <v>2022.144153</v>
      </c>
      <c r="AB31" s="159">
        <v>19514.620138999999</v>
      </c>
      <c r="AC31" s="159">
        <v>2148.9258067999999</v>
      </c>
      <c r="AD31" s="159">
        <v>0</v>
      </c>
      <c r="AE31" s="159">
        <v>0</v>
      </c>
      <c r="AF31" s="159">
        <v>0</v>
      </c>
      <c r="AG31" s="159"/>
      <c r="AH31" s="159">
        <v>0</v>
      </c>
      <c r="AI31" s="159">
        <v>22503.230084999999</v>
      </c>
      <c r="AJ31" s="159">
        <v>0</v>
      </c>
      <c r="AK31" s="159">
        <v>2752.0909999999999</v>
      </c>
      <c r="AL31" s="159">
        <v>0</v>
      </c>
      <c r="AM31" s="159">
        <v>49335.939700000003</v>
      </c>
      <c r="AN31" s="1" t="s">
        <v>467</v>
      </c>
      <c r="AO31" s="161"/>
      <c r="AQ31" s="158" t="s">
        <v>485</v>
      </c>
      <c r="AR31" s="158" t="s">
        <v>456</v>
      </c>
      <c r="AS31" s="1">
        <v>49.1</v>
      </c>
      <c r="AT31" s="161">
        <f>AS31/AM31</f>
        <v>9.9521769117129019E-4</v>
      </c>
      <c r="AU31" s="115">
        <v>393.11799999999999</v>
      </c>
      <c r="AV31" s="161">
        <f>AU31/AM31</f>
        <v>7.9681871347836112E-3</v>
      </c>
    </row>
    <row r="32" spans="3:48" x14ac:dyDescent="0.3">
      <c r="C32" s="682" t="s">
        <v>486</v>
      </c>
      <c r="D32" s="682"/>
      <c r="E32" s="156">
        <v>319.82499999999999</v>
      </c>
      <c r="F32" s="156"/>
      <c r="G32" s="156">
        <v>1482.825</v>
      </c>
      <c r="H32" s="156">
        <v>11980.063</v>
      </c>
      <c r="I32" s="156">
        <v>111.648</v>
      </c>
      <c r="J32" s="156">
        <v>0</v>
      </c>
      <c r="K32" s="156">
        <v>0</v>
      </c>
      <c r="L32" s="156">
        <v>0</v>
      </c>
      <c r="M32" s="156"/>
      <c r="N32" s="156">
        <v>0</v>
      </c>
      <c r="O32" s="156">
        <v>18782.45</v>
      </c>
      <c r="P32" s="156">
        <v>36.052999999999997</v>
      </c>
      <c r="Q32" s="156">
        <v>0</v>
      </c>
      <c r="R32" s="156">
        <v>32712.864000000001</v>
      </c>
      <c r="V32" s="157"/>
      <c r="W32" s="682" t="s">
        <v>486</v>
      </c>
      <c r="X32" s="682"/>
      <c r="Y32" s="156">
        <v>15.119</v>
      </c>
      <c r="Z32" s="156">
        <v>304.70600000000002</v>
      </c>
      <c r="AA32" s="156">
        <v>1482.825</v>
      </c>
      <c r="AB32" s="156">
        <v>11980.063</v>
      </c>
      <c r="AC32" s="156">
        <v>111.648</v>
      </c>
      <c r="AD32" s="156">
        <v>0</v>
      </c>
      <c r="AE32" s="156">
        <v>0</v>
      </c>
      <c r="AF32" s="156">
        <v>0</v>
      </c>
      <c r="AG32" s="156"/>
      <c r="AH32" s="156">
        <v>0</v>
      </c>
      <c r="AI32" s="156">
        <v>18782.45</v>
      </c>
      <c r="AJ32" s="156">
        <v>0</v>
      </c>
      <c r="AK32" s="156">
        <v>36.052999999999997</v>
      </c>
      <c r="AL32" s="156">
        <v>0</v>
      </c>
      <c r="AM32" s="156">
        <v>32712.864000000001</v>
      </c>
      <c r="AN32" s="1" t="s">
        <v>473</v>
      </c>
      <c r="AO32" s="161"/>
      <c r="AQ32" s="682" t="s">
        <v>486</v>
      </c>
      <c r="AR32" s="682"/>
      <c r="AS32" s="1">
        <v>22.7</v>
      </c>
      <c r="AT32" s="161">
        <f>AS32/AM32</f>
        <v>6.939166194681089E-4</v>
      </c>
      <c r="AU32" s="115">
        <v>110.557</v>
      </c>
      <c r="AV32" s="161">
        <f>AU32/AM32</f>
        <v>3.3796184889222781E-3</v>
      </c>
    </row>
    <row r="33" spans="3:48" x14ac:dyDescent="0.3">
      <c r="C33" s="682" t="s">
        <v>31</v>
      </c>
      <c r="D33" s="682"/>
      <c r="E33" s="156">
        <v>0</v>
      </c>
      <c r="F33" s="156"/>
      <c r="G33" s="156">
        <v>10781.01</v>
      </c>
      <c r="H33" s="156">
        <v>2224.819</v>
      </c>
      <c r="I33" s="156">
        <v>666.399</v>
      </c>
      <c r="J33" s="156">
        <v>0</v>
      </c>
      <c r="K33" s="156">
        <v>0</v>
      </c>
      <c r="L33" s="156">
        <v>0</v>
      </c>
      <c r="M33" s="156"/>
      <c r="N33" s="156">
        <v>0</v>
      </c>
      <c r="O33" s="156">
        <v>4133.3019999999997</v>
      </c>
      <c r="P33" s="156">
        <v>0</v>
      </c>
      <c r="Q33" s="156">
        <v>0</v>
      </c>
      <c r="R33" s="156">
        <v>17805.53</v>
      </c>
      <c r="V33" s="157"/>
      <c r="W33" s="682" t="s">
        <v>31</v>
      </c>
      <c r="X33" s="682"/>
      <c r="Y33" s="156">
        <v>0</v>
      </c>
      <c r="Z33" s="156">
        <v>0</v>
      </c>
      <c r="AA33" s="156">
        <v>10781.01</v>
      </c>
      <c r="AB33" s="156">
        <v>2224.819</v>
      </c>
      <c r="AC33" s="156">
        <v>666.399</v>
      </c>
      <c r="AD33" s="156">
        <v>0</v>
      </c>
      <c r="AE33" s="156">
        <v>0</v>
      </c>
      <c r="AF33" s="156">
        <v>0</v>
      </c>
      <c r="AG33" s="156"/>
      <c r="AH33" s="156">
        <v>0</v>
      </c>
      <c r="AI33" s="156">
        <v>4133.3019999999997</v>
      </c>
      <c r="AJ33" s="156">
        <v>0</v>
      </c>
      <c r="AK33" s="156">
        <v>0</v>
      </c>
      <c r="AL33" s="156">
        <v>0</v>
      </c>
      <c r="AM33" s="156">
        <v>17805.53</v>
      </c>
      <c r="AN33" s="1" t="s">
        <v>473</v>
      </c>
      <c r="AQ33" s="682" t="s">
        <v>31</v>
      </c>
      <c r="AR33" s="682"/>
      <c r="AT33" s="161"/>
      <c r="AV33" s="161"/>
    </row>
    <row r="34" spans="3:48" x14ac:dyDescent="0.3">
      <c r="C34" s="682" t="s">
        <v>487</v>
      </c>
      <c r="D34" s="682"/>
      <c r="E34" s="156">
        <v>111.648</v>
      </c>
      <c r="F34" s="156"/>
      <c r="G34" s="156">
        <v>3732.067</v>
      </c>
      <c r="H34" s="156">
        <v>16468.614979999998</v>
      </c>
      <c r="I34" s="156">
        <v>7392.0280000000002</v>
      </c>
      <c r="J34" s="156">
        <v>0</v>
      </c>
      <c r="K34" s="156">
        <v>0</v>
      </c>
      <c r="L34" s="156">
        <v>0</v>
      </c>
      <c r="M34" s="156"/>
      <c r="N34" s="156">
        <v>0</v>
      </c>
      <c r="O34" s="156">
        <v>18501.004000000001</v>
      </c>
      <c r="P34" s="156">
        <v>532.02598</v>
      </c>
      <c r="Q34" s="156">
        <v>0</v>
      </c>
      <c r="R34" s="156">
        <v>46737.38796</v>
      </c>
      <c r="V34" s="157"/>
      <c r="W34" s="682" t="s">
        <v>487</v>
      </c>
      <c r="X34" s="682"/>
      <c r="Y34" s="156">
        <v>111.648</v>
      </c>
      <c r="Z34" s="156">
        <v>0</v>
      </c>
      <c r="AA34" s="156">
        <v>3732.067</v>
      </c>
      <c r="AB34" s="156">
        <v>16468.614979999998</v>
      </c>
      <c r="AC34" s="156">
        <v>7392.0280000000002</v>
      </c>
      <c r="AD34" s="156">
        <v>0</v>
      </c>
      <c r="AE34" s="156">
        <v>0</v>
      </c>
      <c r="AF34" s="156">
        <v>0</v>
      </c>
      <c r="AG34" s="156"/>
      <c r="AH34" s="156">
        <v>0</v>
      </c>
      <c r="AI34" s="156">
        <v>18501.004000000001</v>
      </c>
      <c r="AJ34" s="156">
        <v>0</v>
      </c>
      <c r="AK34" s="156">
        <v>3599.4669800000001</v>
      </c>
      <c r="AL34" s="156">
        <v>0</v>
      </c>
      <c r="AM34" s="156">
        <v>49804.828959999999</v>
      </c>
      <c r="AN34" s="1" t="s">
        <v>473</v>
      </c>
      <c r="AQ34" s="682" t="s">
        <v>487</v>
      </c>
      <c r="AR34" s="682"/>
      <c r="AT34" s="161"/>
      <c r="AV34" s="161"/>
    </row>
    <row r="35" spans="3:48" x14ac:dyDescent="0.3">
      <c r="C35" s="158" t="s">
        <v>488</v>
      </c>
      <c r="D35" s="158" t="s">
        <v>456</v>
      </c>
      <c r="E35" s="159">
        <v>111.648</v>
      </c>
      <c r="F35" s="159"/>
      <c r="G35" s="159">
        <v>462.87400000000002</v>
      </c>
      <c r="H35" s="159">
        <v>8878.3420000000006</v>
      </c>
      <c r="I35" s="159">
        <v>6857.0479999999998</v>
      </c>
      <c r="J35" s="159">
        <v>0</v>
      </c>
      <c r="K35" s="159">
        <v>0</v>
      </c>
      <c r="L35" s="159">
        <v>0</v>
      </c>
      <c r="M35" s="159"/>
      <c r="N35" s="159">
        <v>0</v>
      </c>
      <c r="O35" s="159">
        <v>7509.491</v>
      </c>
      <c r="P35" s="159">
        <v>0</v>
      </c>
      <c r="Q35" s="159">
        <v>0</v>
      </c>
      <c r="R35" s="156">
        <v>23819.402999999998</v>
      </c>
      <c r="V35" s="157"/>
      <c r="W35" s="158" t="s">
        <v>488</v>
      </c>
      <c r="X35" s="158" t="s">
        <v>456</v>
      </c>
      <c r="Y35" s="159">
        <v>111.648</v>
      </c>
      <c r="Z35" s="159">
        <v>0</v>
      </c>
      <c r="AA35" s="159">
        <v>462.87400000000002</v>
      </c>
      <c r="AB35" s="159">
        <v>8878.3420000000006</v>
      </c>
      <c r="AC35" s="159">
        <v>6857.0479999999998</v>
      </c>
      <c r="AD35" s="159">
        <v>0</v>
      </c>
      <c r="AE35" s="159">
        <v>0</v>
      </c>
      <c r="AF35" s="159">
        <v>0</v>
      </c>
      <c r="AG35" s="159"/>
      <c r="AH35" s="159">
        <v>0</v>
      </c>
      <c r="AI35" s="159">
        <v>7509.491</v>
      </c>
      <c r="AJ35" s="159">
        <v>0</v>
      </c>
      <c r="AK35" s="159">
        <v>3067.4409999999998</v>
      </c>
      <c r="AL35" s="159">
        <v>0</v>
      </c>
      <c r="AM35" s="159">
        <v>26886.844000000001</v>
      </c>
      <c r="AN35" s="1" t="s">
        <v>473</v>
      </c>
      <c r="AO35" s="161"/>
      <c r="AQ35" s="158" t="s">
        <v>488</v>
      </c>
      <c r="AR35" s="158" t="s">
        <v>456</v>
      </c>
      <c r="AS35" s="1">
        <v>108.6</v>
      </c>
      <c r="AT35" s="161">
        <f>AS35/AM35</f>
        <v>4.0391501509065173E-3</v>
      </c>
      <c r="AU35" s="115">
        <v>2412.0079999999998</v>
      </c>
      <c r="AV35" s="161">
        <f>AU35/AM35</f>
        <v>8.9709599237456042E-2</v>
      </c>
    </row>
    <row r="36" spans="3:48" x14ac:dyDescent="0.3">
      <c r="C36" s="158" t="s">
        <v>489</v>
      </c>
      <c r="D36" s="158" t="s">
        <v>456</v>
      </c>
      <c r="E36" s="159">
        <v>0</v>
      </c>
      <c r="F36" s="159"/>
      <c r="G36" s="159">
        <v>3269.1930000000002</v>
      </c>
      <c r="H36" s="159">
        <v>7590.2729799999997</v>
      </c>
      <c r="I36" s="159">
        <v>534.98</v>
      </c>
      <c r="J36" s="159">
        <v>0</v>
      </c>
      <c r="K36" s="159">
        <v>0</v>
      </c>
      <c r="L36" s="159">
        <v>0</v>
      </c>
      <c r="M36" s="159"/>
      <c r="N36" s="159">
        <v>0</v>
      </c>
      <c r="O36" s="159">
        <v>10991.513000000001</v>
      </c>
      <c r="P36" s="159">
        <v>532.02598</v>
      </c>
      <c r="Q36" s="159">
        <v>0</v>
      </c>
      <c r="R36" s="156">
        <v>22917.984960000002</v>
      </c>
      <c r="V36" s="157"/>
      <c r="W36" s="158" t="s">
        <v>489</v>
      </c>
      <c r="X36" s="158" t="s">
        <v>456</v>
      </c>
      <c r="Y36" s="159">
        <v>0</v>
      </c>
      <c r="Z36" s="159">
        <v>0</v>
      </c>
      <c r="AA36" s="159">
        <v>3269.1930000000002</v>
      </c>
      <c r="AB36" s="159">
        <v>7590.2729799999997</v>
      </c>
      <c r="AC36" s="159">
        <v>534.98</v>
      </c>
      <c r="AD36" s="159">
        <v>0</v>
      </c>
      <c r="AE36" s="159">
        <v>0</v>
      </c>
      <c r="AF36" s="159">
        <v>0</v>
      </c>
      <c r="AG36" s="159"/>
      <c r="AH36" s="159">
        <v>0</v>
      </c>
      <c r="AI36" s="159">
        <v>10991.513000000001</v>
      </c>
      <c r="AJ36" s="159">
        <v>0</v>
      </c>
      <c r="AK36" s="159">
        <v>532.02598</v>
      </c>
      <c r="AL36" s="159">
        <v>0</v>
      </c>
      <c r="AM36" s="159">
        <v>22917.984960000002</v>
      </c>
      <c r="AN36" s="1" t="s">
        <v>467</v>
      </c>
      <c r="AQ36" s="158" t="s">
        <v>489</v>
      </c>
      <c r="AR36" s="158" t="s">
        <v>456</v>
      </c>
      <c r="AS36" s="1">
        <v>22.5</v>
      </c>
      <c r="AT36" s="161">
        <f>AS36/AM36</f>
        <v>9.8176170545841916E-4</v>
      </c>
      <c r="AU36" s="115">
        <v>143.74</v>
      </c>
      <c r="AV36" s="161">
        <f>AU36/AM36</f>
        <v>6.271930113004141E-3</v>
      </c>
    </row>
    <row r="37" spans="3:48" x14ac:dyDescent="0.3">
      <c r="C37" s="682" t="s">
        <v>490</v>
      </c>
      <c r="D37" s="682"/>
      <c r="E37" s="156">
        <v>33590.88248</v>
      </c>
      <c r="F37" s="156"/>
      <c r="G37" s="156">
        <v>31499.494470000001</v>
      </c>
      <c r="H37" s="156">
        <v>129620.93222</v>
      </c>
      <c r="I37" s="156">
        <v>17429.927520000001</v>
      </c>
      <c r="J37" s="156">
        <v>0</v>
      </c>
      <c r="K37" s="156">
        <v>0</v>
      </c>
      <c r="L37" s="156">
        <v>0</v>
      </c>
      <c r="M37" s="156"/>
      <c r="N37" s="156">
        <v>0</v>
      </c>
      <c r="O37" s="156">
        <v>113234.78556999999</v>
      </c>
      <c r="P37" s="156">
        <v>12048.19154</v>
      </c>
      <c r="Q37" s="156">
        <v>0</v>
      </c>
      <c r="R37" s="156">
        <v>337424.21380000003</v>
      </c>
      <c r="V37" s="157"/>
      <c r="W37" s="682" t="s">
        <v>491</v>
      </c>
      <c r="X37" s="682"/>
      <c r="Y37" s="156">
        <v>9655.8590000000004</v>
      </c>
      <c r="Z37" s="156">
        <v>1558.71075</v>
      </c>
      <c r="AA37" s="156">
        <v>31499.494470000001</v>
      </c>
      <c r="AB37" s="156">
        <v>121340.75601</v>
      </c>
      <c r="AC37" s="156">
        <v>14126.4879733571</v>
      </c>
      <c r="AD37" s="156">
        <v>3417.3512551478002</v>
      </c>
      <c r="AE37" s="156">
        <v>0</v>
      </c>
      <c r="AF37" s="156">
        <v>0</v>
      </c>
      <c r="AG37" s="156"/>
      <c r="AH37" s="156">
        <v>0</v>
      </c>
      <c r="AI37" s="156">
        <v>113234.78556999999</v>
      </c>
      <c r="AJ37" s="156">
        <v>0</v>
      </c>
      <c r="AK37" s="156">
        <v>17867.723539999999</v>
      </c>
      <c r="AL37" s="156">
        <v>0</v>
      </c>
      <c r="AM37" s="156">
        <v>312587.25686000002</v>
      </c>
      <c r="AQ37" s="682" t="s">
        <v>491</v>
      </c>
      <c r="AR37" s="682"/>
      <c r="AT37" s="161"/>
    </row>
    <row r="38" spans="3:48" x14ac:dyDescent="0.3">
      <c r="E38" s="150" t="s">
        <v>492</v>
      </c>
      <c r="P38" s="1" t="s">
        <v>493</v>
      </c>
      <c r="Y38" s="157">
        <f t="shared" ref="Y38:AM38" si="0">SUM(Y15:Y20,Y22:Y24,Y26:Y28,Y30:Y31,Y32:Y33,Y35:Y36)</f>
        <v>9655.8590000000022</v>
      </c>
      <c r="Z38" s="157">
        <f t="shared" si="0"/>
        <v>1558.7107500000002</v>
      </c>
      <c r="AA38" s="157">
        <f t="shared" si="0"/>
        <v>31499.494469999987</v>
      </c>
      <c r="AB38" s="157">
        <f t="shared" si="0"/>
        <v>121340.75601000001</v>
      </c>
      <c r="AC38" s="157">
        <f t="shared" si="0"/>
        <v>14126.487973357125</v>
      </c>
      <c r="AD38" s="157">
        <f t="shared" si="0"/>
        <v>3417.3512551478002</v>
      </c>
      <c r="AE38" s="157">
        <f t="shared" si="0"/>
        <v>0</v>
      </c>
      <c r="AF38" s="157">
        <f t="shared" si="0"/>
        <v>0</v>
      </c>
      <c r="AG38" s="157">
        <f t="shared" si="0"/>
        <v>0</v>
      </c>
      <c r="AH38" s="157">
        <f t="shared" si="0"/>
        <v>0</v>
      </c>
      <c r="AI38" s="157">
        <f t="shared" si="0"/>
        <v>113234.78556999998</v>
      </c>
      <c r="AJ38" s="157">
        <f t="shared" si="0"/>
        <v>0</v>
      </c>
      <c r="AK38" s="157">
        <f t="shared" si="0"/>
        <v>17867.723539999999</v>
      </c>
      <c r="AL38" s="157">
        <f t="shared" si="0"/>
        <v>0</v>
      </c>
      <c r="AM38" s="157">
        <f t="shared" si="0"/>
        <v>312701.16856850497</v>
      </c>
    </row>
    <row r="39" spans="3:48" x14ac:dyDescent="0.3">
      <c r="C39" s="679">
        <v>2021</v>
      </c>
      <c r="D39" s="679"/>
      <c r="E39" s="679"/>
      <c r="F39" s="679"/>
      <c r="G39" s="679"/>
      <c r="H39" s="679"/>
      <c r="I39" s="679"/>
      <c r="J39" s="679"/>
      <c r="K39" s="679"/>
      <c r="L39" s="679"/>
      <c r="M39" s="679"/>
      <c r="N39" s="679"/>
      <c r="O39" s="679"/>
      <c r="P39" s="679"/>
      <c r="Q39" s="679"/>
      <c r="R39" s="679"/>
      <c r="W39" s="680">
        <v>2021</v>
      </c>
      <c r="X39" s="680"/>
      <c r="Y39" s="680"/>
      <c r="Z39" s="680"/>
      <c r="AA39" s="680"/>
      <c r="AB39" s="680"/>
      <c r="AC39" s="680"/>
      <c r="AD39" s="680"/>
      <c r="AE39" s="680"/>
      <c r="AF39" s="680"/>
      <c r="AG39" s="680"/>
      <c r="AH39" s="680"/>
      <c r="AI39" s="680"/>
      <c r="AJ39" s="680"/>
      <c r="AK39" s="680"/>
      <c r="AL39" s="680"/>
      <c r="AM39" s="680"/>
    </row>
    <row r="40" spans="3:48" ht="14.4" customHeight="1" x14ac:dyDescent="0.3">
      <c r="C40" s="681" t="s">
        <v>437</v>
      </c>
      <c r="D40" s="681"/>
      <c r="E40" s="677" t="s">
        <v>438</v>
      </c>
      <c r="F40" s="677" t="s">
        <v>439</v>
      </c>
      <c r="G40" s="677" t="s">
        <v>440</v>
      </c>
      <c r="H40" s="677" t="s">
        <v>441</v>
      </c>
      <c r="I40" s="677" t="s">
        <v>442</v>
      </c>
      <c r="J40" s="677"/>
      <c r="K40" s="677"/>
      <c r="L40" s="677"/>
      <c r="M40" s="677" t="s">
        <v>443</v>
      </c>
      <c r="N40" s="677" t="s">
        <v>444</v>
      </c>
      <c r="O40" s="677" t="s">
        <v>445</v>
      </c>
      <c r="P40" s="677" t="s">
        <v>446</v>
      </c>
      <c r="Q40" s="153" t="s">
        <v>447</v>
      </c>
      <c r="R40" s="677" t="s">
        <v>52</v>
      </c>
      <c r="W40" s="681" t="s">
        <v>874</v>
      </c>
      <c r="X40" s="681"/>
      <c r="Y40" s="677" t="s">
        <v>438</v>
      </c>
      <c r="Z40" s="417"/>
      <c r="AA40" s="677" t="s">
        <v>440</v>
      </c>
      <c r="AB40" s="677" t="s">
        <v>441</v>
      </c>
      <c r="AC40" s="677" t="s">
        <v>442</v>
      </c>
      <c r="AD40" s="677"/>
      <c r="AE40" s="677"/>
      <c r="AF40" s="677"/>
      <c r="AG40" s="677" t="s">
        <v>443</v>
      </c>
      <c r="AH40" s="677" t="s">
        <v>444</v>
      </c>
      <c r="AI40" s="677" t="s">
        <v>445</v>
      </c>
      <c r="AJ40" s="154"/>
      <c r="AK40" s="677" t="s">
        <v>446</v>
      </c>
      <c r="AL40" s="153" t="s">
        <v>447</v>
      </c>
      <c r="AM40" s="677" t="s">
        <v>52</v>
      </c>
    </row>
    <row r="41" spans="3:48" ht="43.2" x14ac:dyDescent="0.3">
      <c r="C41" s="681"/>
      <c r="D41" s="681"/>
      <c r="E41" s="677"/>
      <c r="F41" s="677"/>
      <c r="G41" s="677"/>
      <c r="H41" s="677"/>
      <c r="I41" s="153" t="s">
        <v>450</v>
      </c>
      <c r="J41" s="153" t="s">
        <v>451</v>
      </c>
      <c r="K41" s="153" t="s">
        <v>452</v>
      </c>
      <c r="L41" s="153" t="s">
        <v>453</v>
      </c>
      <c r="M41" s="677"/>
      <c r="N41" s="677"/>
      <c r="O41" s="677"/>
      <c r="P41" s="677"/>
      <c r="Q41" s="153" t="s">
        <v>447</v>
      </c>
      <c r="R41" s="677"/>
      <c r="W41" s="681"/>
      <c r="X41" s="681"/>
      <c r="Y41" s="677"/>
      <c r="Z41" s="417" t="s">
        <v>454</v>
      </c>
      <c r="AA41" s="677"/>
      <c r="AB41" s="677"/>
      <c r="AC41" s="153" t="s">
        <v>450</v>
      </c>
      <c r="AD41" s="153" t="s">
        <v>451</v>
      </c>
      <c r="AE41" s="153" t="s">
        <v>452</v>
      </c>
      <c r="AF41" s="153" t="s">
        <v>453</v>
      </c>
      <c r="AG41" s="677"/>
      <c r="AH41" s="677"/>
      <c r="AI41" s="677"/>
      <c r="AJ41" s="155" t="s">
        <v>455</v>
      </c>
      <c r="AK41" s="677"/>
      <c r="AL41" s="153" t="s">
        <v>447</v>
      </c>
      <c r="AM41" s="677"/>
    </row>
    <row r="42" spans="3:48" x14ac:dyDescent="0.3">
      <c r="C42" s="682" t="s">
        <v>24</v>
      </c>
      <c r="D42" s="682"/>
      <c r="E42" s="156"/>
      <c r="F42" s="156"/>
      <c r="G42" s="156"/>
      <c r="H42" s="156"/>
      <c r="I42" s="156"/>
      <c r="J42" s="156"/>
      <c r="K42" s="156"/>
      <c r="L42" s="156"/>
      <c r="M42" s="156"/>
      <c r="N42" s="156"/>
      <c r="O42" s="156"/>
      <c r="P42" s="156"/>
      <c r="Q42" s="156"/>
      <c r="R42" s="156"/>
      <c r="W42" s="682" t="s">
        <v>24</v>
      </c>
      <c r="X42" s="682"/>
      <c r="Y42" s="156">
        <f>'Mix éner %'!X40</f>
        <v>42860.66813888889</v>
      </c>
      <c r="Z42" s="156">
        <f>'Mix éner %'!Y40</f>
        <v>28479.945555555558</v>
      </c>
      <c r="AA42" s="156">
        <f>'Mix éner %'!Z40</f>
        <v>348.85113611110853</v>
      </c>
      <c r="AB42" s="156">
        <f>'Mix éner %'!AA40</f>
        <v>15069.093427124848</v>
      </c>
      <c r="AC42" s="156">
        <f>'Mix éner %'!AB40</f>
        <v>15.315263111698838</v>
      </c>
      <c r="AD42" s="156">
        <f>'Mix éner %'!AC40</f>
        <v>0</v>
      </c>
      <c r="AE42" s="156">
        <f>'Mix éner %'!AD40</f>
        <v>0</v>
      </c>
      <c r="AF42" s="156">
        <f>'Mix éner %'!AE40</f>
        <v>0</v>
      </c>
      <c r="AG42" s="156">
        <f>'Mix éner %'!AF40</f>
        <v>0</v>
      </c>
      <c r="AH42" s="156">
        <f>'Mix éner %'!AG40</f>
        <v>0</v>
      </c>
      <c r="AI42" s="156">
        <f>'Mix éner %'!AH40</f>
        <v>21144.198270740002</v>
      </c>
      <c r="AJ42" s="156">
        <f>'Mix éner %'!AI40</f>
        <v>0</v>
      </c>
      <c r="AK42" s="156">
        <f>'Mix éner %'!AJ40</f>
        <v>446.31655647559887</v>
      </c>
      <c r="AL42" s="156">
        <f>'Mix éner %'!AK40</f>
        <v>0</v>
      </c>
      <c r="AM42" s="156">
        <f>'Mix éner %'!AL40</f>
        <v>108364.38834800771</v>
      </c>
    </row>
    <row r="43" spans="3:48" x14ac:dyDescent="0.3">
      <c r="C43" s="158" t="s">
        <v>460</v>
      </c>
      <c r="D43" s="158" t="s">
        <v>456</v>
      </c>
      <c r="E43" s="159"/>
      <c r="F43" s="159"/>
      <c r="G43" s="159"/>
      <c r="H43" s="159"/>
      <c r="I43" s="159"/>
      <c r="J43" s="159"/>
      <c r="K43" s="159"/>
      <c r="L43" s="159"/>
      <c r="M43" s="159"/>
      <c r="N43" s="159"/>
      <c r="O43" s="159"/>
      <c r="P43" s="159"/>
      <c r="Q43" s="159"/>
      <c r="R43" s="156"/>
      <c r="W43" s="158" t="s">
        <v>460</v>
      </c>
      <c r="X43" s="158" t="s">
        <v>456</v>
      </c>
      <c r="Y43" s="160">
        <f>'Mix éner %'!X41</f>
        <v>41530.730000000003</v>
      </c>
      <c r="Z43" s="160">
        <f>'Mix éner %'!Y41</f>
        <v>27772.440000000002</v>
      </c>
      <c r="AA43" s="160">
        <f>'Mix éner %'!Z41</f>
        <v>0</v>
      </c>
      <c r="AB43" s="160">
        <f>'Mix éner %'!AA41</f>
        <v>0</v>
      </c>
      <c r="AC43" s="160">
        <f>'Mix éner %'!AB41</f>
        <v>0</v>
      </c>
      <c r="AD43" s="160">
        <f>'Mix éner %'!AC41</f>
        <v>0</v>
      </c>
      <c r="AE43" s="160">
        <f>'Mix éner %'!AD41</f>
        <v>0</v>
      </c>
      <c r="AF43" s="160">
        <f>'Mix éner %'!AE41</f>
        <v>0</v>
      </c>
      <c r="AG43" s="160">
        <f>'Mix éner %'!AF41</f>
        <v>0</v>
      </c>
      <c r="AH43" s="160">
        <f>'Mix éner %'!AG41</f>
        <v>0</v>
      </c>
      <c r="AI43" s="160">
        <f>'Mix éner %'!AH41</f>
        <v>0</v>
      </c>
      <c r="AJ43" s="160">
        <f>'Mix éner %'!AI41</f>
        <v>0</v>
      </c>
      <c r="AK43" s="160">
        <f>'Mix éner %'!AJ41</f>
        <v>0</v>
      </c>
      <c r="AL43" s="160">
        <f>'Mix éner %'!AK41</f>
        <v>0</v>
      </c>
      <c r="AM43" s="160">
        <f>'Mix éner %'!AL41</f>
        <v>69303.170000000013</v>
      </c>
    </row>
    <row r="44" spans="3:48" x14ac:dyDescent="0.3">
      <c r="C44" s="158" t="s">
        <v>463</v>
      </c>
      <c r="D44" s="158" t="s">
        <v>456</v>
      </c>
      <c r="E44" s="159"/>
      <c r="F44" s="159"/>
      <c r="G44" s="159"/>
      <c r="H44" s="159"/>
      <c r="I44" s="159"/>
      <c r="J44" s="159"/>
      <c r="K44" s="159"/>
      <c r="L44" s="159"/>
      <c r="M44" s="159"/>
      <c r="N44" s="159"/>
      <c r="O44" s="159"/>
      <c r="P44" s="159"/>
      <c r="Q44" s="159"/>
      <c r="R44" s="156"/>
      <c r="W44" s="158" t="s">
        <v>463</v>
      </c>
      <c r="X44" s="158" t="s">
        <v>456</v>
      </c>
      <c r="Y44" s="162">
        <f>'Mix éner %'!X42</f>
        <v>68.378010870877304</v>
      </c>
      <c r="Z44" s="160">
        <f>'Mix éner %'!Y42</f>
        <v>0</v>
      </c>
      <c r="AA44" s="162">
        <f>'Mix éner %'!Z42</f>
        <v>39.073149069072741</v>
      </c>
      <c r="AB44" s="162">
        <f>'Mix éner %'!AA42</f>
        <v>429.80463975980018</v>
      </c>
      <c r="AC44" s="160">
        <f>'Mix éner %'!AB42</f>
        <v>0</v>
      </c>
      <c r="AD44" s="160">
        <f>'Mix éner %'!AC42</f>
        <v>0</v>
      </c>
      <c r="AE44" s="160">
        <f>'Mix éner %'!AD42</f>
        <v>0</v>
      </c>
      <c r="AF44" s="160">
        <f>'Mix éner %'!AE42</f>
        <v>0</v>
      </c>
      <c r="AG44" s="160">
        <f>'Mix éner %'!AF42</f>
        <v>0</v>
      </c>
      <c r="AH44" s="160">
        <f>'Mix éner %'!AG42</f>
        <v>0</v>
      </c>
      <c r="AI44" s="162">
        <f>'Mix éner %'!AH42</f>
        <v>1416.4016537538869</v>
      </c>
      <c r="AJ44" s="160">
        <f>'Mix éner %'!AI42</f>
        <v>0</v>
      </c>
      <c r="AK44" s="160">
        <f>'Mix éner %'!AJ42</f>
        <v>0</v>
      </c>
      <c r="AL44" s="160">
        <f>'Mix éner %'!AK42</f>
        <v>0</v>
      </c>
      <c r="AM44" s="162">
        <f>'Mix éner %'!AL42</f>
        <v>1953.6574534536371</v>
      </c>
    </row>
    <row r="45" spans="3:48" x14ac:dyDescent="0.3">
      <c r="C45" s="158" t="s">
        <v>465</v>
      </c>
      <c r="D45" s="158" t="s">
        <v>456</v>
      </c>
      <c r="E45" s="159"/>
      <c r="F45" s="159"/>
      <c r="G45" s="159"/>
      <c r="H45" s="159"/>
      <c r="I45" s="159"/>
      <c r="J45" s="159"/>
      <c r="K45" s="159"/>
      <c r="L45" s="159"/>
      <c r="M45" s="159"/>
      <c r="N45" s="159"/>
      <c r="O45" s="159"/>
      <c r="P45" s="159"/>
      <c r="Q45" s="159"/>
      <c r="R45" s="156"/>
      <c r="W45" s="158" t="s">
        <v>465</v>
      </c>
      <c r="X45" s="158" t="s">
        <v>456</v>
      </c>
      <c r="Y45" s="160">
        <f>'Mix éner %'!X43</f>
        <v>0</v>
      </c>
      <c r="Z45" s="160">
        <f>'Mix éner %'!Y43</f>
        <v>0</v>
      </c>
      <c r="AA45" s="160">
        <f>'Mix éner %'!Z43</f>
        <v>0</v>
      </c>
      <c r="AB45" s="160">
        <f>'Mix éner %'!AA43</f>
        <v>0</v>
      </c>
      <c r="AC45" s="160">
        <f>'Mix éner %'!AB43</f>
        <v>0</v>
      </c>
      <c r="AD45" s="160">
        <f>'Mix éner %'!AC43</f>
        <v>0</v>
      </c>
      <c r="AE45" s="160">
        <f>'Mix éner %'!AD43</f>
        <v>0</v>
      </c>
      <c r="AF45" s="160">
        <f>'Mix éner %'!AE43</f>
        <v>0</v>
      </c>
      <c r="AG45" s="160">
        <f>'Mix éner %'!AF43</f>
        <v>0</v>
      </c>
      <c r="AH45" s="160">
        <f>'Mix éner %'!AG43</f>
        <v>0</v>
      </c>
      <c r="AI45" s="160">
        <f>'Mix éner %'!AH43</f>
        <v>0</v>
      </c>
      <c r="AJ45" s="160">
        <f>'Mix éner %'!AI43</f>
        <v>0</v>
      </c>
      <c r="AK45" s="160">
        <f>'Mix éner %'!AJ43</f>
        <v>0</v>
      </c>
      <c r="AL45" s="160">
        <f>'Mix éner %'!AK43</f>
        <v>0</v>
      </c>
      <c r="AM45" s="160">
        <f>'Mix éner %'!AL43</f>
        <v>0</v>
      </c>
    </row>
    <row r="46" spans="3:48" x14ac:dyDescent="0.3">
      <c r="C46" s="158"/>
      <c r="D46" s="158"/>
      <c r="E46" s="159"/>
      <c r="F46" s="159"/>
      <c r="G46" s="159"/>
      <c r="H46" s="159"/>
      <c r="I46" s="159"/>
      <c r="J46" s="159"/>
      <c r="K46" s="159"/>
      <c r="L46" s="159"/>
      <c r="M46" s="159"/>
      <c r="N46" s="159"/>
      <c r="O46" s="159"/>
      <c r="P46" s="159"/>
      <c r="Q46" s="159"/>
      <c r="R46" s="156"/>
      <c r="W46" s="164" t="s">
        <v>466</v>
      </c>
      <c r="X46" s="158" t="s">
        <v>456</v>
      </c>
      <c r="Y46" s="162">
        <f>'Mix éner %'!X44</f>
        <v>1261.5601280180124</v>
      </c>
      <c r="Z46" s="160">
        <f>'Mix éner %'!Y44</f>
        <v>707.50555555555604</v>
      </c>
      <c r="AA46" s="162">
        <f>'Mix éner %'!Z44</f>
        <v>206.59561565314758</v>
      </c>
      <c r="AB46" s="162">
        <f>'Mix éner %'!AA44</f>
        <v>10745.61269112383</v>
      </c>
      <c r="AC46" s="159">
        <f>'Mix éner %'!AB44</f>
        <v>0</v>
      </c>
      <c r="AD46" s="160">
        <f>'Mix éner %'!AC44</f>
        <v>0</v>
      </c>
      <c r="AE46" s="160">
        <f>'Mix éner %'!AD44</f>
        <v>0</v>
      </c>
      <c r="AF46" s="160">
        <f>'Mix éner %'!AE44</f>
        <v>0</v>
      </c>
      <c r="AG46" s="160">
        <f>'Mix éner %'!AF44</f>
        <v>0</v>
      </c>
      <c r="AH46" s="160">
        <f>'Mix éner %'!AG44</f>
        <v>0</v>
      </c>
      <c r="AI46" s="162">
        <f>'Mix éner %'!AH44</f>
        <v>11465.760718166115</v>
      </c>
      <c r="AJ46" s="160">
        <f>'Mix éner %'!AI44</f>
        <v>0</v>
      </c>
      <c r="AK46" s="160">
        <f>'Mix éner %'!AJ44</f>
        <v>167.03398070559885</v>
      </c>
      <c r="AL46" s="160">
        <f>'Mix éner %'!AK44</f>
        <v>0</v>
      </c>
      <c r="AM46" s="162">
        <f>'Mix éner %'!AL44</f>
        <v>24554.068689222258</v>
      </c>
    </row>
    <row r="47" spans="3:48" x14ac:dyDescent="0.3">
      <c r="C47" s="158" t="s">
        <v>468</v>
      </c>
      <c r="D47" s="158" t="s">
        <v>456</v>
      </c>
      <c r="E47" s="159"/>
      <c r="F47" s="159"/>
      <c r="G47" s="159"/>
      <c r="H47" s="159"/>
      <c r="I47" s="159"/>
      <c r="J47" s="159"/>
      <c r="K47" s="159"/>
      <c r="L47" s="159"/>
      <c r="M47" s="159"/>
      <c r="N47" s="159"/>
      <c r="O47" s="159"/>
      <c r="P47" s="159"/>
      <c r="Q47" s="159"/>
      <c r="R47" s="156"/>
      <c r="W47" s="158" t="s">
        <v>468</v>
      </c>
      <c r="X47" s="158" t="s">
        <v>456</v>
      </c>
      <c r="Y47" s="160">
        <f>'Mix éner %'!X45</f>
        <v>0</v>
      </c>
      <c r="Z47" s="160">
        <f>'Mix éner %'!Y45</f>
        <v>0</v>
      </c>
      <c r="AA47" s="162">
        <f>'Mix éner %'!Z45</f>
        <v>150.0950769230769</v>
      </c>
      <c r="AB47" s="160">
        <f>'Mix éner %'!AA45</f>
        <v>1340.1346153846152</v>
      </c>
      <c r="AC47" s="160">
        <f>'Mix éner %'!AB45</f>
        <v>0</v>
      </c>
      <c r="AD47" s="160">
        <f>'Mix éner %'!AC45</f>
        <v>0</v>
      </c>
      <c r="AE47" s="160">
        <f>'Mix éner %'!AD45</f>
        <v>0</v>
      </c>
      <c r="AF47" s="160">
        <f>'Mix éner %'!AE45</f>
        <v>0</v>
      </c>
      <c r="AG47" s="160">
        <f>'Mix éner %'!AF45</f>
        <v>0</v>
      </c>
      <c r="AH47" s="160">
        <f>'Mix éner %'!AG45</f>
        <v>0</v>
      </c>
      <c r="AI47" s="160">
        <f>'Mix éner %'!AH45</f>
        <v>3805.9823076923071</v>
      </c>
      <c r="AJ47" s="160">
        <f>'Mix éner %'!AI45</f>
        <v>0</v>
      </c>
      <c r="AK47" s="160">
        <f>'Mix éner %'!AJ45</f>
        <v>42.884307692307686</v>
      </c>
      <c r="AL47" s="160">
        <f>'Mix éner %'!AK45</f>
        <v>0</v>
      </c>
      <c r="AM47" s="162">
        <f>'Mix éner %'!AL45</f>
        <v>5339.0963076923072</v>
      </c>
    </row>
    <row r="48" spans="3:48" x14ac:dyDescent="0.3">
      <c r="C48" s="158" t="s">
        <v>470</v>
      </c>
      <c r="D48" s="158" t="s">
        <v>456</v>
      </c>
      <c r="E48" s="159"/>
      <c r="F48" s="159"/>
      <c r="G48" s="159"/>
      <c r="H48" s="165"/>
      <c r="I48" s="159"/>
      <c r="J48" s="159"/>
      <c r="K48" s="159"/>
      <c r="L48" s="159"/>
      <c r="M48" s="159"/>
      <c r="N48" s="159"/>
      <c r="O48" s="165"/>
      <c r="P48" s="159"/>
      <c r="Q48" s="159"/>
      <c r="R48" s="156"/>
      <c r="W48" s="158" t="s">
        <v>470</v>
      </c>
      <c r="X48" s="158" t="s">
        <v>456</v>
      </c>
      <c r="Y48" s="160">
        <f>'Mix éner %'!X46</f>
        <v>0</v>
      </c>
      <c r="Z48" s="160">
        <f>'Mix éner %'!Y46</f>
        <v>0</v>
      </c>
      <c r="AA48" s="162">
        <f>'Mix éner %'!Z46</f>
        <v>32.923333333333332</v>
      </c>
      <c r="AB48" s="162">
        <f>'Mix éner %'!AA46</f>
        <v>855.74222222222227</v>
      </c>
      <c r="AC48" s="160">
        <f>'Mix éner %'!AB46</f>
        <v>0</v>
      </c>
      <c r="AD48" s="160">
        <f>'Mix éner %'!AC46</f>
        <v>0</v>
      </c>
      <c r="AE48" s="160">
        <f>'Mix éner %'!AD46</f>
        <v>0</v>
      </c>
      <c r="AF48" s="160">
        <f>'Mix éner %'!AE46</f>
        <v>0</v>
      </c>
      <c r="AG48" s="160">
        <f>'Mix éner %'!AF46</f>
        <v>0</v>
      </c>
      <c r="AH48" s="160">
        <f>'Mix éner %'!AG46</f>
        <v>0</v>
      </c>
      <c r="AI48" s="162">
        <f>'Mix éner %'!AH46</f>
        <v>448.63</v>
      </c>
      <c r="AJ48" s="160">
        <f>'Mix éner %'!AI46</f>
        <v>0</v>
      </c>
      <c r="AK48" s="160">
        <f>'Mix éner %'!AJ46</f>
        <v>0</v>
      </c>
      <c r="AL48" s="160">
        <f>'Mix éner %'!AK46</f>
        <v>0</v>
      </c>
      <c r="AM48" s="162">
        <f>'Mix éner %'!AL46</f>
        <v>1337.2955555555557</v>
      </c>
    </row>
    <row r="49" spans="3:39" x14ac:dyDescent="0.3">
      <c r="C49" s="158" t="s">
        <v>472</v>
      </c>
      <c r="D49" s="158" t="s">
        <v>456</v>
      </c>
      <c r="E49" s="159"/>
      <c r="F49" s="159"/>
      <c r="G49" s="159"/>
      <c r="H49" s="159"/>
      <c r="I49" s="159"/>
      <c r="J49" s="159"/>
      <c r="K49" s="159"/>
      <c r="L49" s="159"/>
      <c r="M49" s="159"/>
      <c r="N49" s="159"/>
      <c r="O49" s="159"/>
      <c r="P49" s="159"/>
      <c r="Q49" s="159"/>
      <c r="R49" s="156"/>
      <c r="W49" s="158" t="s">
        <v>472</v>
      </c>
      <c r="X49" s="158" t="s">
        <v>456</v>
      </c>
      <c r="Y49" s="160">
        <f>'Mix éner %'!X47</f>
        <v>0</v>
      </c>
      <c r="Z49" s="160">
        <f>'Mix éner %'!Y47</f>
        <v>0</v>
      </c>
      <c r="AA49" s="162">
        <f>'Mix éner %'!Z47</f>
        <v>-79.836038867522049</v>
      </c>
      <c r="AB49" s="162">
        <f>'Mix éner %'!AA47</f>
        <v>1697.7992586343794</v>
      </c>
      <c r="AC49" s="160">
        <f>'Mix éner %'!AB47</f>
        <v>15.315263111698838</v>
      </c>
      <c r="AD49" s="160">
        <f>'Mix éner %'!AC47</f>
        <v>0</v>
      </c>
      <c r="AE49" s="160">
        <f>'Mix éner %'!AD47</f>
        <v>0</v>
      </c>
      <c r="AF49" s="160">
        <f>'Mix éner %'!AE47</f>
        <v>0</v>
      </c>
      <c r="AG49" s="160">
        <f>'Mix éner %'!AF47</f>
        <v>0</v>
      </c>
      <c r="AH49" s="160">
        <f>'Mix éner %'!AG47</f>
        <v>0</v>
      </c>
      <c r="AI49" s="162">
        <f>'Mix éner %'!AH47</f>
        <v>4007.4235911276928</v>
      </c>
      <c r="AJ49" s="160">
        <f>'Mix éner %'!AI47</f>
        <v>0</v>
      </c>
      <c r="AK49" s="160">
        <f>'Mix éner %'!AJ47</f>
        <v>236.39826807769236</v>
      </c>
      <c r="AL49" s="160">
        <f>'Mix éner %'!AK47</f>
        <v>0</v>
      </c>
      <c r="AM49" s="162">
        <f>'Mix éner %'!AL47</f>
        <v>5877.1003420839415</v>
      </c>
    </row>
    <row r="50" spans="3:39" x14ac:dyDescent="0.3">
      <c r="C50" s="682" t="s">
        <v>25</v>
      </c>
      <c r="D50" s="682"/>
      <c r="E50" s="156"/>
      <c r="F50" s="156"/>
      <c r="G50" s="156"/>
      <c r="H50" s="156"/>
      <c r="I50" s="156"/>
      <c r="J50" s="156"/>
      <c r="K50" s="156"/>
      <c r="L50" s="156"/>
      <c r="M50" s="156"/>
      <c r="N50" s="156"/>
      <c r="O50" s="156"/>
      <c r="P50" s="156"/>
      <c r="Q50" s="156"/>
      <c r="R50" s="156"/>
      <c r="W50" s="682" t="s">
        <v>25</v>
      </c>
      <c r="X50" s="682"/>
      <c r="Y50" s="156">
        <f>'Mix éner %'!X48</f>
        <v>3122.5187177777757</v>
      </c>
      <c r="Z50" s="156">
        <f>'Mix éner %'!Y48</f>
        <v>0</v>
      </c>
      <c r="AA50" s="156">
        <f>'Mix éner %'!Z48</f>
        <v>1096.5764088888845</v>
      </c>
      <c r="AB50" s="156">
        <f>'Mix éner %'!AA48</f>
        <v>34968.860485159668</v>
      </c>
      <c r="AC50" s="156">
        <f>'Mix éner %'!AB48</f>
        <v>1372.5021902936512</v>
      </c>
      <c r="AD50" s="156">
        <f>'Mix éner %'!AC48</f>
        <v>0</v>
      </c>
      <c r="AE50" s="156">
        <f>'Mix éner %'!AD48</f>
        <v>0</v>
      </c>
      <c r="AF50" s="156">
        <f>'Mix éner %'!AE48</f>
        <v>0</v>
      </c>
      <c r="AG50" s="156">
        <f>'Mix éner %'!AF48</f>
        <v>0</v>
      </c>
      <c r="AH50" s="156">
        <f>'Mix éner %'!AG48</f>
        <v>0</v>
      </c>
      <c r="AI50" s="156">
        <f>'Mix éner %'!AH48</f>
        <v>19067.977618279998</v>
      </c>
      <c r="AJ50" s="156">
        <f>'Mix éner %'!AI48</f>
        <v>0</v>
      </c>
      <c r="AK50" s="156">
        <f>'Mix éner %'!AJ48</f>
        <v>10755.218382588551</v>
      </c>
      <c r="AL50" s="156">
        <f>'Mix éner %'!AK48</f>
        <v>0</v>
      </c>
      <c r="AM50" s="156">
        <f>'Mix éner %'!AL48</f>
        <v>70383.653802988527</v>
      </c>
    </row>
    <row r="51" spans="3:39" x14ac:dyDescent="0.3">
      <c r="C51" s="158" t="s">
        <v>474</v>
      </c>
      <c r="D51" s="158" t="s">
        <v>456</v>
      </c>
      <c r="E51" s="159"/>
      <c r="F51" s="159"/>
      <c r="G51" s="159"/>
      <c r="H51" s="159"/>
      <c r="I51" s="159"/>
      <c r="J51" s="159"/>
      <c r="K51" s="159"/>
      <c r="L51" s="159"/>
      <c r="M51" s="159"/>
      <c r="N51" s="159"/>
      <c r="O51" s="159"/>
      <c r="P51" s="159"/>
      <c r="Q51" s="159"/>
      <c r="R51" s="156"/>
      <c r="W51" s="158" t="s">
        <v>474</v>
      </c>
      <c r="X51" s="158" t="s">
        <v>456</v>
      </c>
      <c r="Y51" s="159">
        <f>'Mix éner %'!X49</f>
        <v>0</v>
      </c>
      <c r="Z51" s="159">
        <f>'Mix éner %'!Y49</f>
        <v>0</v>
      </c>
      <c r="AA51" s="159">
        <f>'Mix éner %'!Z49</f>
        <v>25.298517877756744</v>
      </c>
      <c r="AB51" s="159">
        <f>'Mix éner %'!AA49</f>
        <v>4705.5243252627552</v>
      </c>
      <c r="AC51" s="159">
        <f>'Mix éner %'!AB49</f>
        <v>25.298517877756744</v>
      </c>
      <c r="AD51" s="159">
        <f>'Mix éner %'!AC49</f>
        <v>0</v>
      </c>
      <c r="AE51" s="159">
        <f>'Mix éner %'!AD49</f>
        <v>0</v>
      </c>
      <c r="AF51" s="159">
        <f>'Mix éner %'!AE49</f>
        <v>0</v>
      </c>
      <c r="AG51" s="159">
        <f>'Mix éner %'!AF49</f>
        <v>0</v>
      </c>
      <c r="AH51" s="159">
        <f>'Mix éner %'!AG49</f>
        <v>0</v>
      </c>
      <c r="AI51" s="159">
        <f>'Mix éner %'!AH49</f>
        <v>303.5822145330809</v>
      </c>
      <c r="AJ51" s="159">
        <f>'Mix éner %'!AI49</f>
        <v>0</v>
      </c>
      <c r="AK51" s="159">
        <f>'Mix éner %'!AJ49</f>
        <v>0</v>
      </c>
      <c r="AL51" s="159">
        <f>'Mix éner %'!AK49</f>
        <v>0</v>
      </c>
      <c r="AM51" s="159">
        <f>'Mix éner %'!AL49</f>
        <v>5059.7035755513498</v>
      </c>
    </row>
    <row r="52" spans="3:39" x14ac:dyDescent="0.3">
      <c r="C52" s="158" t="s">
        <v>475</v>
      </c>
      <c r="D52" s="158" t="s">
        <v>456</v>
      </c>
      <c r="E52" s="159"/>
      <c r="F52" s="159"/>
      <c r="G52" s="159"/>
      <c r="H52" s="159"/>
      <c r="I52" s="159"/>
      <c r="J52" s="159"/>
      <c r="K52" s="159"/>
      <c r="L52" s="159"/>
      <c r="M52" s="159"/>
      <c r="N52" s="159"/>
      <c r="O52" s="159"/>
      <c r="P52" s="159"/>
      <c r="Q52" s="159"/>
      <c r="R52" s="156"/>
      <c r="W52" s="158" t="s">
        <v>475</v>
      </c>
      <c r="X52" s="158" t="s">
        <v>456</v>
      </c>
      <c r="Y52" s="160">
        <f>'Mix éner %'!X50</f>
        <v>0</v>
      </c>
      <c r="Z52" s="160">
        <f>'Mix éner %'!Y50</f>
        <v>0</v>
      </c>
      <c r="AA52" s="160">
        <f>'Mix éner %'!Z50</f>
        <v>1071.2778910111278</v>
      </c>
      <c r="AB52" s="160">
        <f>'Mix éner %'!AA50</f>
        <v>30263.872122172565</v>
      </c>
      <c r="AC52" s="160">
        <f>'Mix éner %'!AB50</f>
        <v>679.60920509355492</v>
      </c>
      <c r="AD52" s="160">
        <f>'Mix éner %'!AC50</f>
        <v>0</v>
      </c>
      <c r="AE52" s="160">
        <f>'Mix éner %'!AD50</f>
        <v>0</v>
      </c>
      <c r="AF52" s="160">
        <f>'Mix éner %'!AE50</f>
        <v>0</v>
      </c>
      <c r="AG52" s="160">
        <f>'Mix éner %'!AF50</f>
        <v>0</v>
      </c>
      <c r="AH52" s="160">
        <f>'Mix éner %'!AG50</f>
        <v>0</v>
      </c>
      <c r="AI52" s="160">
        <f>'Mix éner %'!AH50</f>
        <v>8207.6144463239452</v>
      </c>
      <c r="AJ52" s="160">
        <f>'Mix éner %'!AI50</f>
        <v>0</v>
      </c>
      <c r="AK52" s="160">
        <f>'Mix éner %'!AJ50</f>
        <v>6767.8844431959915</v>
      </c>
      <c r="AL52" s="160">
        <f>'Mix éner %'!AK50</f>
        <v>0</v>
      </c>
      <c r="AM52" s="160">
        <f>'Mix éner %'!AL50</f>
        <v>46990.258107797184</v>
      </c>
    </row>
    <row r="53" spans="3:39" x14ac:dyDescent="0.3">
      <c r="C53" s="158" t="s">
        <v>478</v>
      </c>
      <c r="D53" s="158" t="s">
        <v>456</v>
      </c>
      <c r="E53" s="159"/>
      <c r="F53" s="159"/>
      <c r="G53" s="159"/>
      <c r="H53" s="159"/>
      <c r="I53" s="159"/>
      <c r="J53" s="159"/>
      <c r="K53" s="159"/>
      <c r="L53" s="159"/>
      <c r="M53" s="159"/>
      <c r="N53" s="159"/>
      <c r="O53" s="159"/>
      <c r="P53" s="159"/>
      <c r="Q53" s="159"/>
      <c r="R53" s="156"/>
      <c r="W53" s="158" t="s">
        <v>478</v>
      </c>
      <c r="X53" s="158" t="s">
        <v>456</v>
      </c>
      <c r="Y53" s="159">
        <f>'Mix éner %'!X51</f>
        <v>3122.5187177777757</v>
      </c>
      <c r="Z53" s="159">
        <f>'Mix éner %'!Y51</f>
        <v>0</v>
      </c>
      <c r="AA53" s="159">
        <f>'Mix éner %'!Z51</f>
        <v>0</v>
      </c>
      <c r="AB53" s="159">
        <f>'Mix éner %'!AA51</f>
        <v>-0.53596227565139998</v>
      </c>
      <c r="AC53" s="159">
        <f>'Mix éner %'!AB51</f>
        <v>667.5944673223396</v>
      </c>
      <c r="AD53" s="159">
        <f>'Mix éner %'!AC51</f>
        <v>0</v>
      </c>
      <c r="AE53" s="159">
        <f>'Mix éner %'!AD51</f>
        <v>0</v>
      </c>
      <c r="AF53" s="159">
        <f>'Mix éner %'!AE51</f>
        <v>0</v>
      </c>
      <c r="AG53" s="159">
        <f>'Mix éner %'!AF51</f>
        <v>0</v>
      </c>
      <c r="AH53" s="159">
        <f>'Mix éner %'!AG51</f>
        <v>0</v>
      </c>
      <c r="AI53" s="159">
        <f>'Mix éner %'!AH51</f>
        <v>10556.78095742297</v>
      </c>
      <c r="AJ53" s="159">
        <f>'Mix éner %'!AI51</f>
        <v>0</v>
      </c>
      <c r="AK53" s="159">
        <f>'Mix éner %'!AJ51</f>
        <v>3987.3339393925598</v>
      </c>
      <c r="AL53" s="159">
        <f>'Mix éner %'!AK51</f>
        <v>0</v>
      </c>
      <c r="AM53" s="159">
        <f>'Mix éner %'!AL51</f>
        <v>18333.692119639993</v>
      </c>
    </row>
    <row r="54" spans="3:39" x14ac:dyDescent="0.3">
      <c r="C54" s="682" t="s">
        <v>479</v>
      </c>
      <c r="D54" s="682"/>
      <c r="E54" s="156"/>
      <c r="F54" s="156"/>
      <c r="G54" s="156"/>
      <c r="H54" s="156"/>
      <c r="I54" s="156"/>
      <c r="J54" s="156"/>
      <c r="K54" s="156"/>
      <c r="L54" s="156"/>
      <c r="M54" s="156"/>
      <c r="N54" s="156"/>
      <c r="O54" s="156"/>
      <c r="P54" s="156"/>
      <c r="Q54" s="156"/>
      <c r="R54" s="156"/>
      <c r="W54" s="682" t="s">
        <v>479</v>
      </c>
      <c r="X54" s="682"/>
      <c r="Y54" s="156">
        <f>'Mix éner %'!X52</f>
        <v>2947.0130933333321</v>
      </c>
      <c r="Z54" s="156">
        <f>'Mix éner %'!Y52</f>
        <v>425.96555555555562</v>
      </c>
      <c r="AA54" s="156">
        <f>'Mix éner %'!Z52</f>
        <v>8854.6754541666633</v>
      </c>
      <c r="AB54" s="156">
        <f>'Mix éner %'!AA52</f>
        <v>16993.603387240568</v>
      </c>
      <c r="AC54" s="156">
        <f>'Mix éner %'!AB52</f>
        <v>5653.7886795457998</v>
      </c>
      <c r="AD54" s="156">
        <f>'Mix éner %'!AC52</f>
        <v>3441.4563021949289</v>
      </c>
      <c r="AE54" s="156">
        <f>'Mix éner %'!AD52</f>
        <v>0</v>
      </c>
      <c r="AF54" s="156">
        <f>'Mix éner %'!AE52</f>
        <v>0</v>
      </c>
      <c r="AG54" s="156">
        <f>'Mix éner %'!AF52</f>
        <v>0</v>
      </c>
      <c r="AH54" s="156">
        <f>'Mix éner %'!AG52</f>
        <v>0</v>
      </c>
      <c r="AI54" s="156">
        <f>'Mix éner %'!AH52</f>
        <v>8024.4371387400006</v>
      </c>
      <c r="AJ54" s="156">
        <f>'Mix éner %'!AI52</f>
        <v>0</v>
      </c>
      <c r="AK54" s="156">
        <f>'Mix éner %'!AJ52</f>
        <v>179.28474672570002</v>
      </c>
      <c r="AL54" s="156">
        <f>'Mix éner %'!AK52</f>
        <v>0</v>
      </c>
      <c r="AM54" s="156">
        <f>'Mix éner %'!AL52</f>
        <v>46520.224357502557</v>
      </c>
    </row>
    <row r="55" spans="3:39" x14ac:dyDescent="0.3">
      <c r="C55" s="158" t="s">
        <v>480</v>
      </c>
      <c r="D55" s="158" t="s">
        <v>456</v>
      </c>
      <c r="E55" s="159"/>
      <c r="F55" s="159"/>
      <c r="G55" s="159"/>
      <c r="H55" s="159"/>
      <c r="I55" s="159"/>
      <c r="J55" s="159"/>
      <c r="K55" s="159"/>
      <c r="L55" s="159"/>
      <c r="M55" s="159"/>
      <c r="N55" s="159"/>
      <c r="O55" s="159"/>
      <c r="P55" s="159"/>
      <c r="Q55" s="159"/>
      <c r="R55" s="156"/>
      <c r="W55" s="158" t="s">
        <v>480</v>
      </c>
      <c r="X55" s="158" t="s">
        <v>456</v>
      </c>
      <c r="Y55" s="159">
        <f>'Mix éner %'!X53</f>
        <v>1889.4269894403535</v>
      </c>
      <c r="Z55" s="159">
        <f>'Mix éner %'!Y53</f>
        <v>0</v>
      </c>
      <c r="AA55" s="159">
        <f>'Mix éner %'!Z53</f>
        <v>5195.9242209609711</v>
      </c>
      <c r="AB55" s="159">
        <f>'Mix éner %'!AA53</f>
        <v>269.91814134862187</v>
      </c>
      <c r="AC55" s="159">
        <f>'Mix éner %'!AB53</f>
        <v>2294.3042014632861</v>
      </c>
      <c r="AD55" s="159">
        <f>'Mix éner %'!AC53</f>
        <v>3441.4563021949289</v>
      </c>
      <c r="AE55" s="159">
        <f>'Mix éner %'!AD53</f>
        <v>0</v>
      </c>
      <c r="AF55" s="159">
        <f>'Mix éner %'!AE53</f>
        <v>0</v>
      </c>
      <c r="AG55" s="159">
        <f>'Mix éner %'!AF53</f>
        <v>0</v>
      </c>
      <c r="AH55" s="159">
        <f>'Mix éner %'!AG53</f>
        <v>0</v>
      </c>
      <c r="AI55" s="159">
        <f>'Mix éner %'!AH53</f>
        <v>404.87721202293278</v>
      </c>
      <c r="AJ55" s="159">
        <f>'Mix éner %'!AI53</f>
        <v>0</v>
      </c>
      <c r="AK55" s="159">
        <f>'Mix éner %'!AJ53</f>
        <v>0</v>
      </c>
      <c r="AL55" s="159">
        <f>'Mix éner %'!AK53</f>
        <v>0</v>
      </c>
      <c r="AM55" s="159">
        <f>'Mix éner %'!AL53</f>
        <v>13495.907067431095</v>
      </c>
    </row>
    <row r="56" spans="3:39" x14ac:dyDescent="0.3">
      <c r="C56" s="158" t="s">
        <v>481</v>
      </c>
      <c r="D56" s="158" t="s">
        <v>456</v>
      </c>
      <c r="E56" s="159"/>
      <c r="F56" s="159"/>
      <c r="G56" s="159"/>
      <c r="H56" s="159"/>
      <c r="I56" s="159"/>
      <c r="J56" s="159"/>
      <c r="K56" s="159"/>
      <c r="L56" s="159"/>
      <c r="M56" s="159"/>
      <c r="N56" s="159"/>
      <c r="O56" s="159"/>
      <c r="P56" s="159"/>
      <c r="Q56" s="159"/>
      <c r="R56" s="156"/>
      <c r="W56" s="158" t="s">
        <v>481</v>
      </c>
      <c r="X56" s="158" t="s">
        <v>456</v>
      </c>
      <c r="Y56" s="159">
        <f>'Mix éner %'!X54</f>
        <v>0</v>
      </c>
      <c r="Z56" s="159">
        <f>'Mix éner %'!Y54</f>
        <v>0</v>
      </c>
      <c r="AA56" s="159">
        <f>'Mix éner %'!Z54</f>
        <v>1354.1065407952688</v>
      </c>
      <c r="AB56" s="159">
        <f>'Mix éner %'!AA54</f>
        <v>10080.570914809225</v>
      </c>
      <c r="AC56" s="159">
        <f>'Mix éner %'!AB54</f>
        <v>0</v>
      </c>
      <c r="AD56" s="159">
        <f>'Mix éner %'!AC54</f>
        <v>0</v>
      </c>
      <c r="AE56" s="159">
        <f>'Mix éner %'!AD54</f>
        <v>0</v>
      </c>
      <c r="AF56" s="159">
        <f>'Mix éner %'!AE54</f>
        <v>0</v>
      </c>
      <c r="AG56" s="159">
        <f>'Mix éner %'!AF54</f>
        <v>0</v>
      </c>
      <c r="AH56" s="159">
        <f>'Mix éner %'!AG54</f>
        <v>0</v>
      </c>
      <c r="AI56" s="159">
        <f>'Mix éner %'!AH54</f>
        <v>3610.95077545405</v>
      </c>
      <c r="AJ56" s="159">
        <f>'Mix éner %'!AI54</f>
        <v>0</v>
      </c>
      <c r="AK56" s="159">
        <f>'Mix éner %'!AJ54</f>
        <v>0</v>
      </c>
      <c r="AL56" s="159">
        <f>'Mix éner %'!AK54</f>
        <v>0</v>
      </c>
      <c r="AM56" s="159">
        <f>'Mix éner %'!AL54</f>
        <v>15045.628231058543</v>
      </c>
    </row>
    <row r="57" spans="3:39" x14ac:dyDescent="0.3">
      <c r="C57" s="158" t="s">
        <v>482</v>
      </c>
      <c r="D57" s="158" t="s">
        <v>456</v>
      </c>
      <c r="E57" s="159"/>
      <c r="F57" s="159"/>
      <c r="G57" s="159"/>
      <c r="H57" s="159"/>
      <c r="I57" s="159"/>
      <c r="J57" s="159"/>
      <c r="K57" s="159"/>
      <c r="L57" s="159"/>
      <c r="M57" s="159"/>
      <c r="N57" s="159"/>
      <c r="O57" s="159"/>
      <c r="P57" s="159"/>
      <c r="Q57" s="159"/>
      <c r="R57" s="156"/>
      <c r="W57" s="158" t="s">
        <v>482</v>
      </c>
      <c r="X57" s="158" t="s">
        <v>456</v>
      </c>
      <c r="Y57" s="159">
        <f>'Mix éner %'!X55</f>
        <v>1057.5861038929786</v>
      </c>
      <c r="Z57" s="159">
        <f>'Mix éner %'!Y55</f>
        <v>425.96555555555562</v>
      </c>
      <c r="AA57" s="159">
        <f>'Mix éner %'!Z55</f>
        <v>2304.6446924104234</v>
      </c>
      <c r="AB57" s="159">
        <f>'Mix éner %'!AA55</f>
        <v>6643.114331082721</v>
      </c>
      <c r="AC57" s="159">
        <f>'Mix éner %'!AB55</f>
        <v>3359.4844780825138</v>
      </c>
      <c r="AD57" s="159">
        <f>'Mix éner %'!AC55</f>
        <v>0</v>
      </c>
      <c r="AE57" s="159">
        <f>'Mix éner %'!AD55</f>
        <v>0</v>
      </c>
      <c r="AF57" s="159">
        <f>'Mix éner %'!AE55</f>
        <v>0</v>
      </c>
      <c r="AG57" s="159">
        <f>'Mix éner %'!AF55</f>
        <v>0</v>
      </c>
      <c r="AH57" s="159">
        <f>'Mix éner %'!AG55</f>
        <v>0</v>
      </c>
      <c r="AI57" s="159">
        <f>'Mix éner %'!AH55</f>
        <v>4008.6091512630173</v>
      </c>
      <c r="AJ57" s="159">
        <f>'Mix éner %'!AI55</f>
        <v>0</v>
      </c>
      <c r="AK57" s="159">
        <f>'Mix éner %'!AJ55</f>
        <v>179.28474672570002</v>
      </c>
      <c r="AL57" s="159">
        <f>'Mix éner %'!AK55</f>
        <v>0</v>
      </c>
      <c r="AM57" s="159">
        <f>'Mix éner %'!AL55</f>
        <v>17978.689059012911</v>
      </c>
    </row>
    <row r="58" spans="3:39" x14ac:dyDescent="0.3">
      <c r="C58" s="682" t="s">
        <v>483</v>
      </c>
      <c r="D58" s="682"/>
      <c r="E58" s="156"/>
      <c r="F58" s="156"/>
      <c r="G58" s="156"/>
      <c r="H58" s="156"/>
      <c r="I58" s="156"/>
      <c r="J58" s="156"/>
      <c r="K58" s="156"/>
      <c r="L58" s="156"/>
      <c r="M58" s="156"/>
      <c r="N58" s="156"/>
      <c r="O58" s="156"/>
      <c r="P58" s="156"/>
      <c r="Q58" s="156"/>
      <c r="R58" s="156"/>
      <c r="W58" s="682" t="s">
        <v>483</v>
      </c>
      <c r="X58" s="682"/>
      <c r="Y58" s="156">
        <f>'Mix éner %'!X56</f>
        <v>2906.4971183333309</v>
      </c>
      <c r="Z58" s="156">
        <f>'Mix éner %'!Y56</f>
        <v>120.4155555555556</v>
      </c>
      <c r="AA58" s="156">
        <f>'Mix éner %'!Z56</f>
        <v>3214.26671555555</v>
      </c>
      <c r="AB58" s="156">
        <f>'Mix éner %'!AA56</f>
        <v>25927.976481341484</v>
      </c>
      <c r="AC58" s="156">
        <f>'Mix éner %'!AB56</f>
        <v>1895.7675902964493</v>
      </c>
      <c r="AD58" s="156">
        <f>'Mix éner %'!AC56</f>
        <v>0</v>
      </c>
      <c r="AE58" s="156">
        <f>'Mix éner %'!AD56</f>
        <v>0</v>
      </c>
      <c r="AF58" s="156">
        <f>'Mix éner %'!AE56</f>
        <v>0</v>
      </c>
      <c r="AG58" s="156">
        <f>'Mix éner %'!AF56</f>
        <v>0</v>
      </c>
      <c r="AH58" s="156">
        <f>'Mix éner %'!AG56</f>
        <v>0</v>
      </c>
      <c r="AI58" s="156">
        <f>'Mix éner %'!AH56</f>
        <v>22638.94627696</v>
      </c>
      <c r="AJ58" s="156">
        <f>'Mix éner %'!AI56</f>
        <v>0</v>
      </c>
      <c r="AK58" s="156">
        <f>'Mix éner %'!AJ56</f>
        <v>4002.1427687796968</v>
      </c>
      <c r="AL58" s="156">
        <f>'Mix éner %'!AK56</f>
        <v>0</v>
      </c>
      <c r="AM58" s="156">
        <f>'Mix éner %'!AL56</f>
        <v>60706.012506822066</v>
      </c>
    </row>
    <row r="59" spans="3:39" x14ac:dyDescent="0.3">
      <c r="C59" s="158" t="s">
        <v>484</v>
      </c>
      <c r="D59" s="158" t="s">
        <v>456</v>
      </c>
      <c r="E59" s="159"/>
      <c r="F59" s="159"/>
      <c r="G59" s="159"/>
      <c r="H59" s="159"/>
      <c r="I59" s="159"/>
      <c r="J59" s="159"/>
      <c r="K59" s="159"/>
      <c r="L59" s="159"/>
      <c r="M59" s="159"/>
      <c r="N59" s="159"/>
      <c r="O59" s="159"/>
      <c r="P59" s="159"/>
      <c r="Q59" s="159"/>
      <c r="R59" s="156"/>
      <c r="W59" s="158" t="s">
        <v>484</v>
      </c>
      <c r="X59" s="158" t="s">
        <v>456</v>
      </c>
      <c r="Y59" s="159">
        <f>'Mix éner %'!X57</f>
        <v>1768.6159680000003</v>
      </c>
      <c r="Z59" s="159">
        <f>'Mix éner %'!Y57</f>
        <v>0</v>
      </c>
      <c r="AA59" s="159">
        <f>'Mix éner %'!Z57</f>
        <v>855.78192000000013</v>
      </c>
      <c r="AB59" s="159">
        <f>'Mix éner %'!AA57</f>
        <v>6370.8209600000018</v>
      </c>
      <c r="AC59" s="159">
        <f>'Mix éner %'!AB57</f>
        <v>38.034752000000012</v>
      </c>
      <c r="AD59" s="159">
        <f>'Mix éner %'!AC57</f>
        <v>0</v>
      </c>
      <c r="AE59" s="159">
        <f>'Mix éner %'!AD57</f>
        <v>0</v>
      </c>
      <c r="AF59" s="159">
        <f>'Mix éner %'!AE57</f>
        <v>0</v>
      </c>
      <c r="AG59" s="159">
        <f>'Mix éner %'!AF57</f>
        <v>0</v>
      </c>
      <c r="AH59" s="159">
        <f>'Mix éner %'!AG57</f>
        <v>0</v>
      </c>
      <c r="AI59" s="159">
        <f>'Mix éner %'!AH57</f>
        <v>475.4344000000001</v>
      </c>
      <c r="AJ59" s="159">
        <f>'Mix éner %'!AI57</f>
        <v>0</v>
      </c>
      <c r="AK59" s="159">
        <f>'Mix éner %'!AJ57</f>
        <v>0</v>
      </c>
      <c r="AL59" s="159">
        <f>'Mix éner %'!AK57</f>
        <v>0</v>
      </c>
      <c r="AM59" s="159">
        <f>'Mix éner %'!AL57</f>
        <v>9508.6880000000019</v>
      </c>
    </row>
    <row r="60" spans="3:39" x14ac:dyDescent="0.3">
      <c r="C60" s="158" t="s">
        <v>485</v>
      </c>
      <c r="D60" s="158" t="s">
        <v>456</v>
      </c>
      <c r="E60" s="159"/>
      <c r="F60" s="159"/>
      <c r="G60" s="159"/>
      <c r="H60" s="159"/>
      <c r="I60" s="159"/>
      <c r="J60" s="159"/>
      <c r="K60" s="159"/>
      <c r="L60" s="159"/>
      <c r="M60" s="159"/>
      <c r="N60" s="159"/>
      <c r="O60" s="159"/>
      <c r="P60" s="159"/>
      <c r="Q60" s="159"/>
      <c r="R60" s="156"/>
      <c r="W60" s="158" t="s">
        <v>485</v>
      </c>
      <c r="X60" s="158" t="s">
        <v>456</v>
      </c>
      <c r="Y60" s="159">
        <f>'Mix éner %'!X58</f>
        <v>1137.8811503333307</v>
      </c>
      <c r="Z60" s="159">
        <f>'Mix éner %'!Y58</f>
        <v>120.4155555555556</v>
      </c>
      <c r="AA60" s="159">
        <f>'Mix éner %'!Z58</f>
        <v>2358.4847955555497</v>
      </c>
      <c r="AB60" s="159">
        <f>'Mix éner %'!AA58</f>
        <v>19557.155521341483</v>
      </c>
      <c r="AC60" s="159">
        <f>'Mix éner %'!AB58</f>
        <v>1857.7328382964492</v>
      </c>
      <c r="AD60" s="159">
        <f>'Mix éner %'!AC58</f>
        <v>0</v>
      </c>
      <c r="AE60" s="159">
        <f>'Mix éner %'!AD58</f>
        <v>0</v>
      </c>
      <c r="AF60" s="159">
        <f>'Mix éner %'!AE58</f>
        <v>0</v>
      </c>
      <c r="AG60" s="159">
        <f>'Mix éner %'!AF58</f>
        <v>0</v>
      </c>
      <c r="AH60" s="159">
        <f>'Mix éner %'!AG58</f>
        <v>0</v>
      </c>
      <c r="AI60" s="159">
        <f>'Mix éner %'!AH58</f>
        <v>22163.511876960001</v>
      </c>
      <c r="AJ60" s="159">
        <f>'Mix éner %'!AI58</f>
        <v>0</v>
      </c>
      <c r="AK60" s="159">
        <f>'Mix éner %'!AJ58</f>
        <v>4002.1427687796968</v>
      </c>
      <c r="AL60" s="159">
        <f>'Mix éner %'!AK58</f>
        <v>0</v>
      </c>
      <c r="AM60" s="159">
        <f>'Mix éner %'!AL58</f>
        <v>51197.324506822064</v>
      </c>
    </row>
    <row r="61" spans="3:39" x14ac:dyDescent="0.3">
      <c r="C61" s="682" t="s">
        <v>486</v>
      </c>
      <c r="D61" s="682"/>
      <c r="E61" s="156"/>
      <c r="F61" s="156"/>
      <c r="G61" s="156"/>
      <c r="H61" s="156"/>
      <c r="I61" s="156"/>
      <c r="J61" s="156"/>
      <c r="K61" s="156"/>
      <c r="L61" s="156"/>
      <c r="M61" s="156"/>
      <c r="N61" s="156"/>
      <c r="O61" s="156"/>
      <c r="P61" s="156"/>
      <c r="Q61" s="156"/>
      <c r="R61" s="156"/>
      <c r="W61" s="682" t="s">
        <v>486</v>
      </c>
      <c r="X61" s="682"/>
      <c r="Y61" s="156">
        <f>'Mix éner %'!X59</f>
        <v>252.76999999999916</v>
      </c>
      <c r="Z61" s="156">
        <f>'Mix éner %'!Y59</f>
        <v>252.76999999999916</v>
      </c>
      <c r="AA61" s="156">
        <f>'Mix éner %'!Z59</f>
        <v>1231.9814463888836</v>
      </c>
      <c r="AB61" s="156">
        <f>'Mix éner %'!AA59</f>
        <v>10361.183922705612</v>
      </c>
      <c r="AC61" s="156">
        <f>'Mix éner %'!AB59</f>
        <v>312.07202797199767</v>
      </c>
      <c r="AD61" s="156">
        <f>'Mix éner %'!AC59</f>
        <v>0</v>
      </c>
      <c r="AE61" s="156">
        <f>'Mix éner %'!AD59</f>
        <v>0</v>
      </c>
      <c r="AF61" s="156">
        <f>'Mix éner %'!AE59</f>
        <v>0</v>
      </c>
      <c r="AG61" s="156">
        <f>'Mix éner %'!AF59</f>
        <v>0</v>
      </c>
      <c r="AH61" s="156">
        <f>'Mix éner %'!AG59</f>
        <v>0</v>
      </c>
      <c r="AI61" s="156">
        <f>'Mix éner %'!AH59</f>
        <v>17675.53702408</v>
      </c>
      <c r="AJ61" s="156">
        <f>'Mix éner %'!AI59</f>
        <v>0</v>
      </c>
      <c r="AK61" s="156">
        <f>'Mix éner %'!AJ59</f>
        <v>362.7698433899489</v>
      </c>
      <c r="AL61" s="156">
        <f>'Mix éner %'!AK59</f>
        <v>0</v>
      </c>
      <c r="AM61" s="156">
        <f>'Mix éner %'!AL59</f>
        <v>30449.084264536443</v>
      </c>
    </row>
    <row r="62" spans="3:39" x14ac:dyDescent="0.3">
      <c r="C62" s="682" t="s">
        <v>31</v>
      </c>
      <c r="D62" s="682"/>
      <c r="E62" s="156"/>
      <c r="F62" s="156"/>
      <c r="G62" s="156"/>
      <c r="H62" s="156"/>
      <c r="I62" s="156"/>
      <c r="J62" s="156"/>
      <c r="K62" s="156"/>
      <c r="L62" s="156"/>
      <c r="M62" s="156"/>
      <c r="N62" s="156"/>
      <c r="O62" s="156"/>
      <c r="P62" s="156"/>
      <c r="Q62" s="156"/>
      <c r="R62" s="156"/>
      <c r="W62" s="682" t="s">
        <v>31</v>
      </c>
      <c r="X62" s="682"/>
      <c r="Y62" s="156">
        <f>'Mix éner %'!X60</f>
        <v>0</v>
      </c>
      <c r="Z62" s="156">
        <f>'Mix éner %'!Y60</f>
        <v>0</v>
      </c>
      <c r="AA62" s="156">
        <f>'Mix éner %'!Z60</f>
        <v>10524.823882777724</v>
      </c>
      <c r="AB62" s="156">
        <f>'Mix éner %'!AA60</f>
        <v>2670.829006758569</v>
      </c>
      <c r="AC62" s="156">
        <f>'Mix éner %'!AB60</f>
        <v>16.953069026500003</v>
      </c>
      <c r="AD62" s="156">
        <f>'Mix éner %'!AC60</f>
        <v>0</v>
      </c>
      <c r="AE62" s="156">
        <f>'Mix éner %'!AD60</f>
        <v>0</v>
      </c>
      <c r="AF62" s="156">
        <f>'Mix éner %'!AE60</f>
        <v>0</v>
      </c>
      <c r="AG62" s="156">
        <f>'Mix éner %'!AF60</f>
        <v>0</v>
      </c>
      <c r="AH62" s="156">
        <f>'Mix éner %'!AG60</f>
        <v>0</v>
      </c>
      <c r="AI62" s="156">
        <f>'Mix éner %'!AH60</f>
        <v>4319.0922966999988</v>
      </c>
      <c r="AJ62" s="156">
        <f>'Mix éner %'!AI60</f>
        <v>0</v>
      </c>
      <c r="AK62" s="156">
        <f>'Mix éner %'!AJ60</f>
        <v>0</v>
      </c>
      <c r="AL62" s="156">
        <f>'Mix éner %'!AK60</f>
        <v>0</v>
      </c>
      <c r="AM62" s="156">
        <f>'Mix éner %'!AL60</f>
        <v>17531.698255262789</v>
      </c>
    </row>
    <row r="63" spans="3:39" x14ac:dyDescent="0.3">
      <c r="C63" s="682" t="s">
        <v>487</v>
      </c>
      <c r="D63" s="682"/>
      <c r="E63" s="156"/>
      <c r="F63" s="156"/>
      <c r="G63" s="156"/>
      <c r="H63" s="156"/>
      <c r="I63" s="156"/>
      <c r="J63" s="156"/>
      <c r="K63" s="156"/>
      <c r="L63" s="156"/>
      <c r="M63" s="156"/>
      <c r="N63" s="156"/>
      <c r="O63" s="156"/>
      <c r="P63" s="156"/>
      <c r="Q63" s="156"/>
      <c r="R63" s="156"/>
      <c r="W63" s="682" t="s">
        <v>487</v>
      </c>
      <c r="X63" s="682"/>
      <c r="Y63" s="156">
        <f>'Mix éner %'!X61</f>
        <v>0</v>
      </c>
      <c r="Z63" s="156">
        <f>'Mix éner %'!Y61</f>
        <v>0</v>
      </c>
      <c r="AA63" s="156">
        <f>'Mix éner %'!Z61</f>
        <v>3736.1898336110939</v>
      </c>
      <c r="AB63" s="156">
        <f>'Mix éner %'!AA61</f>
        <v>15954.49803751097</v>
      </c>
      <c r="AC63" s="156">
        <f>'Mix éner %'!AB61</f>
        <v>7218.1573391460006</v>
      </c>
      <c r="AD63" s="156">
        <f>'Mix éner %'!AC61</f>
        <v>0</v>
      </c>
      <c r="AE63" s="156">
        <f>'Mix éner %'!AD61</f>
        <v>0</v>
      </c>
      <c r="AF63" s="156">
        <f>'Mix éner %'!AE61</f>
        <v>0</v>
      </c>
      <c r="AG63" s="156">
        <f>'Mix éner %'!AF61</f>
        <v>0</v>
      </c>
      <c r="AH63" s="156">
        <f>'Mix éner %'!AG61</f>
        <v>0</v>
      </c>
      <c r="AI63" s="156">
        <f>'Mix éner %'!AH61</f>
        <v>17521.061223439996</v>
      </c>
      <c r="AJ63" s="156">
        <f>'Mix éner %'!AI61</f>
        <v>0</v>
      </c>
      <c r="AK63" s="156">
        <f>'Mix éner %'!AJ61</f>
        <v>4397.5255481910008</v>
      </c>
      <c r="AL63" s="156">
        <f>'Mix éner %'!AK61</f>
        <v>0</v>
      </c>
      <c r="AM63" s="156">
        <f>'Mix éner %'!AL61</f>
        <v>48827.431981899063</v>
      </c>
    </row>
    <row r="64" spans="3:39" x14ac:dyDescent="0.3">
      <c r="C64" s="158" t="s">
        <v>488</v>
      </c>
      <c r="D64" s="158" t="s">
        <v>456</v>
      </c>
      <c r="E64" s="159"/>
      <c r="F64" s="159"/>
      <c r="G64" s="159"/>
      <c r="H64" s="159"/>
      <c r="I64" s="159"/>
      <c r="J64" s="159"/>
      <c r="K64" s="159"/>
      <c r="L64" s="159"/>
      <c r="M64" s="159"/>
      <c r="N64" s="159"/>
      <c r="O64" s="159"/>
      <c r="P64" s="159"/>
      <c r="Q64" s="159"/>
      <c r="R64" s="156"/>
      <c r="W64" s="158" t="s">
        <v>488</v>
      </c>
      <c r="X64" s="158" t="s">
        <v>456</v>
      </c>
      <c r="Y64" s="159">
        <f>'Mix éner %'!X62</f>
        <v>0</v>
      </c>
      <c r="Z64" s="159">
        <f>'Mix éner %'!Y62</f>
        <v>0</v>
      </c>
      <c r="AA64" s="159">
        <f>'Mix éner %'!Z62</f>
        <v>532.47945527777631</v>
      </c>
      <c r="AB64" s="159">
        <f>'Mix éner %'!AA62</f>
        <v>8691.2150654563429</v>
      </c>
      <c r="AC64" s="159">
        <f>'Mix éner %'!AB62</f>
        <v>6926.5228845077008</v>
      </c>
      <c r="AD64" s="159">
        <f>'Mix éner %'!AC62</f>
        <v>0</v>
      </c>
      <c r="AE64" s="159">
        <f>'Mix éner %'!AD62</f>
        <v>0</v>
      </c>
      <c r="AF64" s="159">
        <f>'Mix éner %'!AE62</f>
        <v>0</v>
      </c>
      <c r="AG64" s="159">
        <f>'Mix éner %'!AF62</f>
        <v>0</v>
      </c>
      <c r="AH64" s="159">
        <f>'Mix éner %'!AG62</f>
        <v>0</v>
      </c>
      <c r="AI64" s="159">
        <f>'Mix éner %'!AH62</f>
        <v>6965.1635038000004</v>
      </c>
      <c r="AJ64" s="159">
        <f>'Mix éner %'!AI62</f>
        <v>0</v>
      </c>
      <c r="AK64" s="159">
        <f>'Mix éner %'!AJ62</f>
        <v>3839.4459605484003</v>
      </c>
      <c r="AL64" s="159">
        <f>'Mix éner %'!AK62</f>
        <v>0</v>
      </c>
      <c r="AM64" s="159">
        <f>'Mix éner %'!AL62</f>
        <v>26954.826869590222</v>
      </c>
    </row>
    <row r="65" spans="3:40" x14ac:dyDescent="0.3">
      <c r="C65" s="158" t="s">
        <v>489</v>
      </c>
      <c r="D65" s="158" t="s">
        <v>456</v>
      </c>
      <c r="E65" s="159"/>
      <c r="F65" s="159"/>
      <c r="G65" s="159"/>
      <c r="H65" s="159"/>
      <c r="I65" s="159"/>
      <c r="J65" s="159"/>
      <c r="K65" s="159"/>
      <c r="L65" s="159"/>
      <c r="M65" s="159"/>
      <c r="N65" s="159"/>
      <c r="O65" s="159"/>
      <c r="P65" s="159"/>
      <c r="Q65" s="159"/>
      <c r="R65" s="156"/>
      <c r="W65" s="158" t="s">
        <v>489</v>
      </c>
      <c r="X65" s="158" t="s">
        <v>456</v>
      </c>
      <c r="Y65" s="159">
        <f>'Mix éner %'!X63</f>
        <v>0</v>
      </c>
      <c r="Z65" s="159">
        <f>'Mix éner %'!Y63</f>
        <v>0</v>
      </c>
      <c r="AA65" s="159">
        <f>'Mix éner %'!Z63</f>
        <v>3203.7103783333177</v>
      </c>
      <c r="AB65" s="159">
        <f>'Mix éner %'!AA63</f>
        <v>7263.282972054626</v>
      </c>
      <c r="AC65" s="159">
        <f>'Mix éner %'!AB63</f>
        <v>291.63445463830004</v>
      </c>
      <c r="AD65" s="159">
        <f>'Mix éner %'!AC63</f>
        <v>0</v>
      </c>
      <c r="AE65" s="159">
        <f>'Mix éner %'!AD63</f>
        <v>0</v>
      </c>
      <c r="AF65" s="159">
        <f>'Mix éner %'!AE63</f>
        <v>0</v>
      </c>
      <c r="AG65" s="159">
        <f>'Mix éner %'!AF63</f>
        <v>0</v>
      </c>
      <c r="AH65" s="159">
        <f>'Mix éner %'!AG63</f>
        <v>0</v>
      </c>
      <c r="AI65" s="159">
        <f>'Mix éner %'!AH63</f>
        <v>10555.897719639997</v>
      </c>
      <c r="AJ65" s="159">
        <f>'Mix éner %'!AI63</f>
        <v>0</v>
      </c>
      <c r="AK65" s="159">
        <f>'Mix éner %'!AJ63</f>
        <v>558.07958764260002</v>
      </c>
      <c r="AL65" s="159">
        <f>'Mix éner %'!AK63</f>
        <v>0</v>
      </c>
      <c r="AM65" s="159">
        <f>'Mix éner %'!AL63</f>
        <v>21872.60511230884</v>
      </c>
    </row>
    <row r="66" spans="3:40" x14ac:dyDescent="0.3">
      <c r="C66" s="682" t="s">
        <v>490</v>
      </c>
      <c r="D66" s="682"/>
      <c r="E66" s="156"/>
      <c r="F66" s="156"/>
      <c r="G66" s="156"/>
      <c r="H66" s="156"/>
      <c r="I66" s="156"/>
      <c r="J66" s="156"/>
      <c r="K66" s="156"/>
      <c r="L66" s="156"/>
      <c r="M66" s="156"/>
      <c r="N66" s="156"/>
      <c r="O66" s="156"/>
      <c r="P66" s="156"/>
      <c r="Q66" s="156"/>
      <c r="R66" s="156"/>
      <c r="W66" s="682" t="s">
        <v>491</v>
      </c>
      <c r="X66" s="682"/>
      <c r="Y66" s="156">
        <f>'Mix éner %'!X64</f>
        <v>10558.737068333328</v>
      </c>
      <c r="Z66" s="156">
        <f>'Mix éner %'!Y64</f>
        <v>1506.6566666666658</v>
      </c>
      <c r="AA66" s="156">
        <f>'Mix éner %'!Z64</f>
        <v>29007.364877499906</v>
      </c>
      <c r="AB66" s="156">
        <f>'Mix éner %'!AA64</f>
        <v>121946.04474784172</v>
      </c>
      <c r="AC66" s="156">
        <f>'Mix éner %'!AB64</f>
        <v>16484.556159392097</v>
      </c>
      <c r="AD66" s="156">
        <f>'Mix éner %'!AC64</f>
        <v>3441.4563021949289</v>
      </c>
      <c r="AE66" s="156">
        <f>'Mix éner %'!AD64</f>
        <v>0</v>
      </c>
      <c r="AF66" s="156">
        <f>'Mix éner %'!AE64</f>
        <v>0</v>
      </c>
      <c r="AG66" s="156">
        <f>'Mix éner %'!AF64</f>
        <v>0</v>
      </c>
      <c r="AH66" s="156">
        <f>'Mix éner %'!AG64</f>
        <v>0</v>
      </c>
      <c r="AI66" s="156">
        <f>'Mix éner %'!AH64</f>
        <v>110391.24984893997</v>
      </c>
      <c r="AJ66" s="156">
        <f>'Mix éner %'!AI64</f>
        <v>0</v>
      </c>
      <c r="AK66" s="156">
        <f>'Mix éner %'!AJ64</f>
        <v>20143.257846150496</v>
      </c>
      <c r="AL66" s="156">
        <f>'Mix éner %'!AK64</f>
        <v>0</v>
      </c>
      <c r="AM66" s="156">
        <f>'Mix éner %'!AL64</f>
        <v>313479.32351701916</v>
      </c>
    </row>
    <row r="67" spans="3:40" x14ac:dyDescent="0.3">
      <c r="E67" s="150"/>
      <c r="Y67" s="157"/>
      <c r="Z67" s="157"/>
      <c r="AA67" s="157"/>
      <c r="AB67" s="157"/>
      <c r="AC67" s="157"/>
      <c r="AD67" s="157"/>
      <c r="AE67" s="157"/>
      <c r="AF67" s="157"/>
      <c r="AG67" s="157"/>
      <c r="AH67" s="157"/>
      <c r="AI67" s="157"/>
      <c r="AJ67" s="157"/>
      <c r="AK67" s="157"/>
      <c r="AL67" s="157"/>
      <c r="AM67" s="157"/>
    </row>
    <row r="70" spans="3:40" x14ac:dyDescent="0.3">
      <c r="C70" s="678" t="s">
        <v>4</v>
      </c>
      <c r="D70" s="678"/>
      <c r="E70" s="678"/>
      <c r="F70" s="678"/>
      <c r="G70" s="678"/>
      <c r="H70" s="678"/>
      <c r="I70" s="678"/>
      <c r="J70" s="678"/>
      <c r="K70" s="678"/>
      <c r="L70" s="678"/>
      <c r="M70" s="678"/>
      <c r="N70" s="678"/>
      <c r="O70" s="678"/>
      <c r="P70" s="678"/>
      <c r="Q70" s="678"/>
      <c r="R70" s="678"/>
      <c r="S70" s="678"/>
      <c r="T70" s="678"/>
      <c r="U70" s="678"/>
      <c r="V70" s="678"/>
      <c r="W70" s="678"/>
      <c r="X70" s="678"/>
      <c r="Y70" s="678"/>
      <c r="Z70" s="678"/>
      <c r="AA70" s="678"/>
      <c r="AB70" s="678"/>
      <c r="AC70" s="678"/>
      <c r="AD70" s="678"/>
      <c r="AE70" s="678"/>
      <c r="AF70" s="678"/>
      <c r="AG70" s="678"/>
      <c r="AH70" s="678"/>
      <c r="AI70" s="678"/>
      <c r="AJ70" s="678"/>
      <c r="AK70" s="678"/>
      <c r="AL70" s="678"/>
      <c r="AM70" s="678"/>
      <c r="AN70" s="678"/>
    </row>
    <row r="72" spans="3:40" x14ac:dyDescent="0.3">
      <c r="C72" s="151" t="s">
        <v>435</v>
      </c>
      <c r="V72" s="151" t="s">
        <v>436</v>
      </c>
      <c r="W72" s="151"/>
      <c r="X72" s="151"/>
      <c r="Y72" s="151"/>
      <c r="Z72" s="151"/>
      <c r="AA72" s="151"/>
      <c r="AB72" s="151"/>
      <c r="AC72" s="151"/>
      <c r="AD72" s="151"/>
      <c r="AE72" s="151"/>
      <c r="AF72" s="151"/>
      <c r="AG72" s="151"/>
      <c r="AH72" s="151"/>
      <c r="AI72" s="151"/>
      <c r="AJ72" s="151"/>
      <c r="AK72" s="151"/>
      <c r="AL72" s="151"/>
      <c r="AM72" s="151"/>
    </row>
    <row r="74" spans="3:40" x14ac:dyDescent="0.3">
      <c r="C74" s="685" t="s">
        <v>535</v>
      </c>
      <c r="D74" s="685"/>
      <c r="E74" s="685"/>
      <c r="F74" s="685"/>
      <c r="G74" s="685"/>
      <c r="H74" s="685"/>
      <c r="I74" s="685"/>
      <c r="J74" s="685"/>
      <c r="K74" s="685"/>
      <c r="L74" s="685"/>
      <c r="M74" s="685"/>
      <c r="N74" s="685"/>
      <c r="O74" s="685"/>
      <c r="P74" s="685"/>
      <c r="Q74" s="685"/>
      <c r="R74" s="685"/>
      <c r="S74" s="685"/>
      <c r="T74" s="685"/>
      <c r="U74" s="195"/>
      <c r="W74" s="680">
        <v>2030</v>
      </c>
      <c r="X74" s="680"/>
      <c r="Y74" s="680"/>
      <c r="Z74" s="680"/>
      <c r="AA74" s="680"/>
      <c r="AB74" s="680"/>
      <c r="AC74" s="680"/>
      <c r="AD74" s="680"/>
      <c r="AE74" s="680"/>
      <c r="AF74" s="680"/>
      <c r="AG74" s="680"/>
      <c r="AH74" s="680"/>
      <c r="AI74" s="680"/>
      <c r="AJ74" s="680"/>
      <c r="AK74" s="680"/>
      <c r="AL74" s="680"/>
      <c r="AM74" s="680"/>
    </row>
    <row r="75" spans="3:40" ht="14.7" customHeight="1" x14ac:dyDescent="0.3">
      <c r="C75" s="686" t="s">
        <v>494</v>
      </c>
      <c r="D75" s="686"/>
      <c r="E75" s="687" t="s">
        <v>438</v>
      </c>
      <c r="F75" s="687" t="s">
        <v>439</v>
      </c>
      <c r="G75" s="687" t="s">
        <v>440</v>
      </c>
      <c r="H75" s="687" t="s">
        <v>441</v>
      </c>
      <c r="I75" s="687" t="s">
        <v>536</v>
      </c>
      <c r="J75" s="687" t="s">
        <v>537</v>
      </c>
      <c r="K75" s="687" t="s">
        <v>442</v>
      </c>
      <c r="L75" s="687"/>
      <c r="M75" s="687"/>
      <c r="N75" s="687"/>
      <c r="O75" s="687"/>
      <c r="P75" s="687"/>
      <c r="Q75" s="687" t="s">
        <v>445</v>
      </c>
      <c r="R75" s="687" t="s">
        <v>446</v>
      </c>
      <c r="S75" s="687" t="s">
        <v>447</v>
      </c>
      <c r="T75" s="687" t="s">
        <v>52</v>
      </c>
      <c r="U75" s="196"/>
      <c r="W75" s="681" t="s">
        <v>538</v>
      </c>
      <c r="X75" s="681"/>
      <c r="Y75" s="677" t="s">
        <v>438</v>
      </c>
      <c r="Z75" s="152"/>
      <c r="AA75" s="677" t="s">
        <v>440</v>
      </c>
      <c r="AB75" s="677" t="s">
        <v>441</v>
      </c>
      <c r="AC75" s="677" t="s">
        <v>442</v>
      </c>
      <c r="AD75" s="677"/>
      <c r="AE75" s="677"/>
      <c r="AF75" s="677"/>
      <c r="AG75" s="677" t="s">
        <v>443</v>
      </c>
      <c r="AH75" s="677" t="s">
        <v>444</v>
      </c>
      <c r="AI75" s="677" t="s">
        <v>445</v>
      </c>
      <c r="AJ75" s="154"/>
      <c r="AK75" s="677" t="s">
        <v>446</v>
      </c>
      <c r="AL75" s="153" t="s">
        <v>447</v>
      </c>
      <c r="AM75" s="677" t="s">
        <v>52</v>
      </c>
    </row>
    <row r="76" spans="3:40" ht="69.599999999999994" x14ac:dyDescent="0.3">
      <c r="C76" s="634" t="s">
        <v>24</v>
      </c>
      <c r="D76" s="634"/>
      <c r="E76" s="687"/>
      <c r="F76" s="687"/>
      <c r="G76" s="687"/>
      <c r="H76" s="687"/>
      <c r="I76" s="687"/>
      <c r="J76" s="687"/>
      <c r="K76" s="168" t="s">
        <v>450</v>
      </c>
      <c r="L76" s="168" t="s">
        <v>451</v>
      </c>
      <c r="M76" s="168" t="s">
        <v>452</v>
      </c>
      <c r="N76" s="168" t="s">
        <v>453</v>
      </c>
      <c r="O76" s="168" t="s">
        <v>443</v>
      </c>
      <c r="P76" s="168" t="s">
        <v>444</v>
      </c>
      <c r="Q76" s="687"/>
      <c r="R76" s="687"/>
      <c r="S76" s="687" t="s">
        <v>447</v>
      </c>
      <c r="T76" s="687"/>
      <c r="U76" s="196"/>
      <c r="W76" s="681"/>
      <c r="X76" s="681"/>
      <c r="Y76" s="677"/>
      <c r="Z76" s="152" t="s">
        <v>454</v>
      </c>
      <c r="AA76" s="677"/>
      <c r="AB76" s="677"/>
      <c r="AC76" s="153" t="s">
        <v>450</v>
      </c>
      <c r="AD76" s="153" t="s">
        <v>451</v>
      </c>
      <c r="AE76" s="153" t="s">
        <v>452</v>
      </c>
      <c r="AF76" s="153" t="s">
        <v>453</v>
      </c>
      <c r="AG76" s="677"/>
      <c r="AH76" s="677"/>
      <c r="AI76" s="677"/>
      <c r="AJ76" s="155" t="s">
        <v>455</v>
      </c>
      <c r="AK76" s="677"/>
      <c r="AL76" s="153" t="s">
        <v>447</v>
      </c>
      <c r="AM76" s="677"/>
    </row>
    <row r="77" spans="3:40" x14ac:dyDescent="0.3">
      <c r="C77" s="175" t="s">
        <v>460</v>
      </c>
      <c r="D77" s="176" t="s">
        <v>497</v>
      </c>
      <c r="E77" s="197">
        <f>24.9212693535595%+8%</f>
        <v>0.32921269353559501</v>
      </c>
      <c r="F77" s="197">
        <v>0</v>
      </c>
      <c r="G77" s="197">
        <v>0</v>
      </c>
      <c r="H77" s="197">
        <v>0.33790467496737397</v>
      </c>
      <c r="I77" s="197">
        <v>0</v>
      </c>
      <c r="J77" s="197">
        <v>0</v>
      </c>
      <c r="K77" s="197">
        <v>0.08</v>
      </c>
      <c r="L77" s="197">
        <v>0</v>
      </c>
      <c r="M77" s="197">
        <v>0</v>
      </c>
      <c r="N77" s="197">
        <v>0</v>
      </c>
      <c r="O77" s="197">
        <v>0</v>
      </c>
      <c r="P77" s="197">
        <v>0</v>
      </c>
      <c r="Q77" s="197">
        <v>0.252882631497031</v>
      </c>
      <c r="R77" s="197">
        <v>0</v>
      </c>
      <c r="S77" s="197">
        <v>0</v>
      </c>
      <c r="T77" s="198">
        <f t="shared" ref="T77:T82" si="1">SUM(E77:S77)</f>
        <v>1</v>
      </c>
      <c r="U77" s="199"/>
      <c r="W77" s="682" t="s">
        <v>24</v>
      </c>
      <c r="X77" s="682"/>
      <c r="Y77" s="688"/>
      <c r="Z77" s="688"/>
      <c r="AA77" s="688"/>
      <c r="AB77" s="688"/>
      <c r="AC77" s="688"/>
      <c r="AD77" s="688"/>
      <c r="AE77" s="688"/>
      <c r="AF77" s="688"/>
      <c r="AG77" s="688"/>
      <c r="AH77" s="688"/>
      <c r="AI77" s="688"/>
      <c r="AJ77" s="688"/>
      <c r="AK77" s="688"/>
      <c r="AL77" s="688"/>
      <c r="AM77" s="688"/>
    </row>
    <row r="78" spans="3:40" x14ac:dyDescent="0.3">
      <c r="C78" s="175" t="s">
        <v>463</v>
      </c>
      <c r="D78" s="176" t="s">
        <v>497</v>
      </c>
      <c r="E78" s="197">
        <v>0.02</v>
      </c>
      <c r="F78" s="197">
        <v>0</v>
      </c>
      <c r="G78" s="197">
        <v>0.02</v>
      </c>
      <c r="H78" s="197">
        <v>0.18</v>
      </c>
      <c r="I78" s="197">
        <v>0</v>
      </c>
      <c r="J78" s="197">
        <v>0</v>
      </c>
      <c r="K78" s="197">
        <v>0.03</v>
      </c>
      <c r="L78" s="197">
        <v>0</v>
      </c>
      <c r="M78" s="197">
        <v>0</v>
      </c>
      <c r="N78" s="197">
        <v>0</v>
      </c>
      <c r="O78" s="197">
        <v>0</v>
      </c>
      <c r="P78" s="197">
        <v>0</v>
      </c>
      <c r="Q78" s="197">
        <v>0.75</v>
      </c>
      <c r="R78" s="197">
        <v>0</v>
      </c>
      <c r="S78" s="197">
        <v>0</v>
      </c>
      <c r="T78" s="198">
        <f t="shared" si="1"/>
        <v>1</v>
      </c>
      <c r="U78" s="199"/>
      <c r="W78" s="158" t="s">
        <v>460</v>
      </c>
      <c r="X78" s="158" t="s">
        <v>497</v>
      </c>
      <c r="Y78" s="200">
        <f>'Mix éner %'!Y73</f>
        <v>0.37820479572313859</v>
      </c>
      <c r="Z78" s="200">
        <f>'Mix éner %'!Z73</f>
        <v>0.56179520427686125</v>
      </c>
      <c r="AA78" s="200">
        <f>'Mix éner %'!AA73</f>
        <v>0</v>
      </c>
      <c r="AB78" s="200">
        <f>'Mix éner %'!AB73</f>
        <v>0</v>
      </c>
      <c r="AC78" s="200">
        <f>'Mix éner %'!AC73</f>
        <v>0.03</v>
      </c>
      <c r="AD78" s="200">
        <f>'Mix éner %'!AD73</f>
        <v>0.03</v>
      </c>
      <c r="AE78" s="200">
        <f>'Mix éner %'!AE73</f>
        <v>0</v>
      </c>
      <c r="AF78" s="200">
        <f>'Mix éner %'!AF73</f>
        <v>0</v>
      </c>
      <c r="AG78" s="200">
        <f>'Mix éner %'!AG73</f>
        <v>0</v>
      </c>
      <c r="AH78" s="200">
        <f>'Mix éner %'!AH73</f>
        <v>0</v>
      </c>
      <c r="AI78" s="200">
        <f>'Mix éner %'!AI73</f>
        <v>0</v>
      </c>
      <c r="AJ78" s="200">
        <f>'Mix éner %'!AJ73</f>
        <v>0</v>
      </c>
      <c r="AK78" s="200">
        <f>'Mix éner %'!AK73</f>
        <v>0</v>
      </c>
      <c r="AL78" s="200">
        <f>'Mix éner %'!AL73</f>
        <v>0</v>
      </c>
      <c r="AM78" s="200">
        <f>'Mix éner %'!AM73</f>
        <v>0.99999999999999989</v>
      </c>
    </row>
    <row r="79" spans="3:40" x14ac:dyDescent="0.3">
      <c r="C79" s="175" t="s">
        <v>465</v>
      </c>
      <c r="D79" s="176" t="s">
        <v>497</v>
      </c>
      <c r="E79" s="197"/>
      <c r="F79" s="197"/>
      <c r="G79" s="197"/>
      <c r="H79" s="197"/>
      <c r="I79" s="197"/>
      <c r="J79" s="197"/>
      <c r="K79" s="197"/>
      <c r="L79" s="197"/>
      <c r="M79" s="197"/>
      <c r="N79" s="197"/>
      <c r="O79" s="197"/>
      <c r="P79" s="197"/>
      <c r="Q79" s="197"/>
      <c r="R79" s="197"/>
      <c r="S79" s="197"/>
      <c r="T79" s="198">
        <f t="shared" si="1"/>
        <v>0</v>
      </c>
      <c r="U79" s="199"/>
      <c r="W79" s="158" t="s">
        <v>463</v>
      </c>
      <c r="X79" s="158" t="s">
        <v>497</v>
      </c>
      <c r="Y79" s="200">
        <f>'Mix éner %'!Y77</f>
        <v>0.02</v>
      </c>
      <c r="Z79" s="200">
        <f>'Mix éner %'!Z77</f>
        <v>0</v>
      </c>
      <c r="AA79" s="200">
        <f>'Mix éner %'!AA77</f>
        <v>0.02</v>
      </c>
      <c r="AB79" s="200">
        <f>'Mix éner %'!AB77</f>
        <v>0.2</v>
      </c>
      <c r="AC79" s="200">
        <f>'Mix éner %'!AC77</f>
        <v>0.01</v>
      </c>
      <c r="AD79" s="200">
        <f>'Mix éner %'!AD77</f>
        <v>0</v>
      </c>
      <c r="AE79" s="200">
        <f>'Mix éner %'!AE77</f>
        <v>0</v>
      </c>
      <c r="AF79" s="200">
        <f>'Mix éner %'!AF77</f>
        <v>0</v>
      </c>
      <c r="AG79" s="200">
        <f>'Mix éner %'!AG77</f>
        <v>0</v>
      </c>
      <c r="AH79" s="200">
        <f>'Mix éner %'!AH77</f>
        <v>0</v>
      </c>
      <c r="AI79" s="200">
        <f>'Mix éner %'!AI77</f>
        <v>0.75</v>
      </c>
      <c r="AJ79" s="200">
        <f>'Mix éner %'!AJ77</f>
        <v>0</v>
      </c>
      <c r="AK79" s="200">
        <f>'Mix éner %'!AK77</f>
        <v>0</v>
      </c>
      <c r="AL79" s="200">
        <f>'Mix éner %'!AL77</f>
        <v>0</v>
      </c>
      <c r="AM79" s="200">
        <f>'Mix éner %'!AM77</f>
        <v>1</v>
      </c>
    </row>
    <row r="80" spans="3:40" x14ac:dyDescent="0.3">
      <c r="C80" s="175" t="s">
        <v>468</v>
      </c>
      <c r="D80" s="176" t="s">
        <v>497</v>
      </c>
      <c r="E80" s="198">
        <v>0</v>
      </c>
      <c r="F80" s="198">
        <v>0</v>
      </c>
      <c r="G80" s="198">
        <v>0.01</v>
      </c>
      <c r="H80" s="198">
        <v>0.19</v>
      </c>
      <c r="I80" s="198">
        <v>0</v>
      </c>
      <c r="J80" s="198">
        <v>0</v>
      </c>
      <c r="K80" s="198">
        <v>0</v>
      </c>
      <c r="L80" s="198">
        <v>0</v>
      </c>
      <c r="M80" s="198">
        <v>0</v>
      </c>
      <c r="N80" s="198">
        <v>0</v>
      </c>
      <c r="O80" s="198">
        <v>0</v>
      </c>
      <c r="P80" s="198">
        <v>0</v>
      </c>
      <c r="Q80" s="198">
        <v>0.79</v>
      </c>
      <c r="R80" s="198">
        <v>0.01</v>
      </c>
      <c r="S80" s="198">
        <v>0</v>
      </c>
      <c r="T80" s="198">
        <f t="shared" si="1"/>
        <v>1</v>
      </c>
      <c r="U80" s="199"/>
      <c r="W80" s="158" t="s">
        <v>465</v>
      </c>
      <c r="X80" s="158" t="s">
        <v>497</v>
      </c>
      <c r="Y80" s="200">
        <f>'Mix éner %'!Y81</f>
        <v>0</v>
      </c>
      <c r="Z80" s="200">
        <f>'Mix éner %'!Z81</f>
        <v>0</v>
      </c>
      <c r="AA80" s="200">
        <f>'Mix éner %'!AA81</f>
        <v>0</v>
      </c>
      <c r="AB80" s="200">
        <f>'Mix éner %'!AB81</f>
        <v>0.54803256445047488</v>
      </c>
      <c r="AC80" s="200">
        <f>'Mix éner %'!AC81</f>
        <v>0</v>
      </c>
      <c r="AD80" s="200">
        <f>'Mix éner %'!AD81</f>
        <v>0</v>
      </c>
      <c r="AE80" s="200">
        <f>'Mix éner %'!AE81</f>
        <v>0</v>
      </c>
      <c r="AF80" s="200">
        <f>'Mix éner %'!AF81</f>
        <v>0</v>
      </c>
      <c r="AG80" s="200">
        <f>'Mix éner %'!AG81</f>
        <v>0</v>
      </c>
      <c r="AH80" s="200">
        <f>'Mix éner %'!AH81</f>
        <v>0</v>
      </c>
      <c r="AI80" s="200">
        <f>'Mix éner %'!AI81</f>
        <v>0.1519674355495251</v>
      </c>
      <c r="AJ80" s="200">
        <f>'Mix éner %'!AJ81</f>
        <v>0</v>
      </c>
      <c r="AK80" s="200">
        <f>'Mix éner %'!AK81</f>
        <v>0</v>
      </c>
      <c r="AL80" s="200">
        <f>'Mix éner %'!AL81</f>
        <v>0.3</v>
      </c>
      <c r="AM80" s="200">
        <f>'Mix éner %'!AM81</f>
        <v>1</v>
      </c>
    </row>
    <row r="81" spans="3:39" x14ac:dyDescent="0.3">
      <c r="C81" s="175" t="s">
        <v>470</v>
      </c>
      <c r="D81" s="176" t="s">
        <v>497</v>
      </c>
      <c r="E81" s="198">
        <v>0</v>
      </c>
      <c r="F81" s="198">
        <v>0</v>
      </c>
      <c r="G81" s="198">
        <v>0</v>
      </c>
      <c r="H81" s="198">
        <v>0.82784299151006202</v>
      </c>
      <c r="I81" s="198">
        <v>0</v>
      </c>
      <c r="J81" s="198">
        <v>0</v>
      </c>
      <c r="K81" s="198">
        <v>0</v>
      </c>
      <c r="L81" s="198">
        <v>0</v>
      </c>
      <c r="M81" s="198">
        <v>0</v>
      </c>
      <c r="N81" s="198">
        <v>0</v>
      </c>
      <c r="O81" s="198">
        <v>0</v>
      </c>
      <c r="P81" s="198">
        <v>0</v>
      </c>
      <c r="Q81" s="198">
        <v>0.17215700848993801</v>
      </c>
      <c r="R81" s="198">
        <v>0</v>
      </c>
      <c r="S81" s="198">
        <v>0</v>
      </c>
      <c r="T81" s="198">
        <f t="shared" si="1"/>
        <v>1</v>
      </c>
      <c r="U81" s="199"/>
      <c r="W81" s="164" t="s">
        <v>466</v>
      </c>
      <c r="X81" s="158" t="s">
        <v>497</v>
      </c>
      <c r="Y81" s="200">
        <f>'Mix éner %'!Y85</f>
        <v>0.04</v>
      </c>
      <c r="Z81" s="200">
        <f>'Mix éner %'!Z85</f>
        <v>0</v>
      </c>
      <c r="AA81" s="200">
        <f>'Mix éner %'!AA85</f>
        <v>0.01</v>
      </c>
      <c r="AB81" s="200">
        <f>'Mix éner %'!AB85</f>
        <v>0.31</v>
      </c>
      <c r="AC81" s="200">
        <f>'Mix éner %'!AC85</f>
        <v>0.03</v>
      </c>
      <c r="AD81" s="200">
        <f>'Mix éner %'!AD85</f>
        <v>0</v>
      </c>
      <c r="AE81" s="200">
        <f>'Mix éner %'!AE85</f>
        <v>0</v>
      </c>
      <c r="AF81" s="200">
        <f>'Mix éner %'!AF85</f>
        <v>0</v>
      </c>
      <c r="AG81" s="200">
        <f>'Mix éner %'!AG85</f>
        <v>0</v>
      </c>
      <c r="AH81" s="200">
        <f>'Mix éner %'!AH85</f>
        <v>0</v>
      </c>
      <c r="AI81" s="200">
        <f>'Mix éner %'!AI85</f>
        <v>0.6</v>
      </c>
      <c r="AJ81" s="200">
        <f>'Mix éner %'!AJ85</f>
        <v>0</v>
      </c>
      <c r="AK81" s="200">
        <f>'Mix éner %'!AK85</f>
        <v>0.01</v>
      </c>
      <c r="AL81" s="200">
        <f>'Mix éner %'!AL85</f>
        <v>0</v>
      </c>
      <c r="AM81" s="200">
        <f>'Mix éner %'!AM85</f>
        <v>1</v>
      </c>
    </row>
    <row r="82" spans="3:39" x14ac:dyDescent="0.3">
      <c r="C82" s="175" t="s">
        <v>472</v>
      </c>
      <c r="D82" s="176" t="s">
        <v>497</v>
      </c>
      <c r="E82" s="201">
        <v>0</v>
      </c>
      <c r="F82" s="201">
        <v>0</v>
      </c>
      <c r="G82" s="201">
        <v>0.08</v>
      </c>
      <c r="H82" s="201">
        <v>0.1</v>
      </c>
      <c r="I82" s="201">
        <v>0</v>
      </c>
      <c r="J82" s="201">
        <v>0</v>
      </c>
      <c r="K82" s="201">
        <v>0</v>
      </c>
      <c r="L82" s="201">
        <v>0</v>
      </c>
      <c r="M82" s="201">
        <v>0</v>
      </c>
      <c r="N82" s="201">
        <v>0</v>
      </c>
      <c r="O82" s="201">
        <v>0</v>
      </c>
      <c r="P82" s="201">
        <v>0</v>
      </c>
      <c r="Q82" s="201">
        <v>0.69</v>
      </c>
      <c r="R82" s="198">
        <v>0</v>
      </c>
      <c r="S82" s="198">
        <v>0.13</v>
      </c>
      <c r="T82" s="198">
        <f t="shared" si="1"/>
        <v>0.99999999999999989</v>
      </c>
      <c r="U82" s="199"/>
      <c r="W82" s="158" t="s">
        <v>468</v>
      </c>
      <c r="X82" s="158" t="s">
        <v>497</v>
      </c>
      <c r="Y82" s="200">
        <f>'Mix éner %'!Y89</f>
        <v>0</v>
      </c>
      <c r="Z82" s="200">
        <f>'Mix éner %'!Z89</f>
        <v>0</v>
      </c>
      <c r="AA82" s="200">
        <f>'Mix éner %'!AA89</f>
        <v>0</v>
      </c>
      <c r="AB82" s="200">
        <f>'Mix éner %'!AB89</f>
        <v>0.15000000000000002</v>
      </c>
      <c r="AC82" s="200">
        <f>'Mix éner %'!AC89</f>
        <v>0</v>
      </c>
      <c r="AD82" s="200">
        <f>'Mix éner %'!AD89</f>
        <v>0</v>
      </c>
      <c r="AE82" s="200">
        <f>'Mix éner %'!AE89</f>
        <v>0</v>
      </c>
      <c r="AF82" s="200">
        <f>'Mix éner %'!AF89</f>
        <v>0</v>
      </c>
      <c r="AG82" s="200">
        <f>'Mix éner %'!AG89</f>
        <v>0</v>
      </c>
      <c r="AH82" s="200">
        <f>'Mix éner %'!AH89</f>
        <v>0</v>
      </c>
      <c r="AI82" s="200">
        <f>'Mix éner %'!AI89</f>
        <v>0.85</v>
      </c>
      <c r="AJ82" s="200">
        <f>'Mix éner %'!AJ89</f>
        <v>0</v>
      </c>
      <c r="AK82" s="200">
        <f>'Mix éner %'!AK89</f>
        <v>0</v>
      </c>
      <c r="AL82" s="200">
        <f>'Mix éner %'!AL89</f>
        <v>0</v>
      </c>
      <c r="AM82" s="200">
        <f>'Mix éner %'!AM89</f>
        <v>1</v>
      </c>
    </row>
    <row r="83" spans="3:39" x14ac:dyDescent="0.3">
      <c r="C83" s="634" t="s">
        <v>25</v>
      </c>
      <c r="D83" s="634"/>
      <c r="E83" s="202"/>
      <c r="F83" s="202"/>
      <c r="G83" s="202"/>
      <c r="H83" s="202"/>
      <c r="I83" s="202"/>
      <c r="J83" s="202"/>
      <c r="K83" s="202"/>
      <c r="L83" s="202"/>
      <c r="M83" s="202"/>
      <c r="N83" s="202"/>
      <c r="O83" s="202"/>
      <c r="P83" s="202"/>
      <c r="Q83" s="202"/>
      <c r="R83" s="202"/>
      <c r="S83" s="202"/>
      <c r="T83" s="202"/>
      <c r="U83" s="199"/>
      <c r="W83" s="158" t="s">
        <v>470</v>
      </c>
      <c r="X83" s="158" t="s">
        <v>497</v>
      </c>
      <c r="Y83" s="200">
        <f>'Mix éner %'!Y93</f>
        <v>0</v>
      </c>
      <c r="Z83" s="200">
        <f>'Mix éner %'!Z93</f>
        <v>0</v>
      </c>
      <c r="AA83" s="200">
        <f>'Mix éner %'!AA93</f>
        <v>0</v>
      </c>
      <c r="AB83" s="200">
        <f>'Mix éner %'!AB93</f>
        <v>0.55000000000000004</v>
      </c>
      <c r="AC83" s="200">
        <f>'Mix éner %'!AC93</f>
        <v>0</v>
      </c>
      <c r="AD83" s="200">
        <f>'Mix éner %'!AD93</f>
        <v>0</v>
      </c>
      <c r="AE83" s="200">
        <f>'Mix éner %'!AE93</f>
        <v>0</v>
      </c>
      <c r="AF83" s="200">
        <f>'Mix éner %'!AF93</f>
        <v>0</v>
      </c>
      <c r="AG83" s="200">
        <f>'Mix éner %'!AG93</f>
        <v>0</v>
      </c>
      <c r="AH83" s="200">
        <f>'Mix éner %'!AH93</f>
        <v>0</v>
      </c>
      <c r="AI83" s="200">
        <f>'Mix éner %'!AI93</f>
        <v>0.45</v>
      </c>
      <c r="AJ83" s="200">
        <f>'Mix éner %'!AJ93</f>
        <v>0</v>
      </c>
      <c r="AK83" s="200">
        <f>'Mix éner %'!AK93</f>
        <v>0</v>
      </c>
      <c r="AL83" s="200">
        <f>'Mix éner %'!AL93</f>
        <v>0</v>
      </c>
      <c r="AM83" s="200">
        <f>'Mix éner %'!AM93</f>
        <v>1</v>
      </c>
    </row>
    <row r="84" spans="3:39" x14ac:dyDescent="0.3">
      <c r="C84" s="175" t="s">
        <v>474</v>
      </c>
      <c r="D84" s="176" t="s">
        <v>497</v>
      </c>
      <c r="E84" s="198">
        <v>0</v>
      </c>
      <c r="F84" s="198">
        <v>0</v>
      </c>
      <c r="G84" s="198">
        <v>0</v>
      </c>
      <c r="H84" s="198">
        <v>0.21</v>
      </c>
      <c r="I84" s="198">
        <v>0</v>
      </c>
      <c r="J84" s="198">
        <v>0</v>
      </c>
      <c r="K84" s="198">
        <v>0</v>
      </c>
      <c r="L84" s="198">
        <v>0</v>
      </c>
      <c r="M84" s="198">
        <v>0</v>
      </c>
      <c r="N84" s="198">
        <v>0</v>
      </c>
      <c r="O84" s="198">
        <v>0</v>
      </c>
      <c r="P84" s="198">
        <v>0</v>
      </c>
      <c r="Q84" s="198">
        <v>0.79</v>
      </c>
      <c r="R84" s="198">
        <v>0</v>
      </c>
      <c r="S84" s="198">
        <v>0</v>
      </c>
      <c r="T84" s="198">
        <f>SUM(E84:S84)</f>
        <v>1</v>
      </c>
      <c r="U84" s="199"/>
      <c r="W84" s="158" t="s">
        <v>472</v>
      </c>
      <c r="X84" s="158" t="s">
        <v>497</v>
      </c>
      <c r="Y84" s="200">
        <f>'Mix éner %'!Y97</f>
        <v>0</v>
      </c>
      <c r="Z84" s="200">
        <f>'Mix éner %'!Z97</f>
        <v>0</v>
      </c>
      <c r="AA84" s="200">
        <f>'Mix éner %'!AA97</f>
        <v>0</v>
      </c>
      <c r="AB84" s="200">
        <f>'Mix éner %'!AB97</f>
        <v>0.20888383042858899</v>
      </c>
      <c r="AC84" s="200">
        <f>'Mix éner %'!AC97</f>
        <v>0.03</v>
      </c>
      <c r="AD84" s="200">
        <f>'Mix éner %'!AD97</f>
        <v>0</v>
      </c>
      <c r="AE84" s="200">
        <f>'Mix éner %'!AE97</f>
        <v>0</v>
      </c>
      <c r="AF84" s="200">
        <f>'Mix éner %'!AF97</f>
        <v>0</v>
      </c>
      <c r="AG84" s="200">
        <f>'Mix éner %'!AG97</f>
        <v>0</v>
      </c>
      <c r="AH84" s="200">
        <f>'Mix éner %'!AH97</f>
        <v>0</v>
      </c>
      <c r="AI84" s="200">
        <f>'Mix éner %'!AI97</f>
        <v>0.7011161695714111</v>
      </c>
      <c r="AJ84" s="200">
        <f>'Mix éner %'!AJ97</f>
        <v>0</v>
      </c>
      <c r="AK84" s="200">
        <f>'Mix éner %'!AK97</f>
        <v>0.03</v>
      </c>
      <c r="AL84" s="200">
        <f>'Mix éner %'!AL97</f>
        <v>0.03</v>
      </c>
      <c r="AM84" s="200">
        <f>'Mix éner %'!AM97</f>
        <v>1</v>
      </c>
    </row>
    <row r="85" spans="3:39" x14ac:dyDescent="0.3">
      <c r="C85" s="175" t="s">
        <v>475</v>
      </c>
      <c r="D85" s="176" t="s">
        <v>497</v>
      </c>
      <c r="E85" s="198">
        <v>0</v>
      </c>
      <c r="F85" s="198">
        <v>0</v>
      </c>
      <c r="G85" s="198">
        <v>0.05</v>
      </c>
      <c r="H85" s="198">
        <v>0.38773860579796099</v>
      </c>
      <c r="I85" s="198">
        <v>0</v>
      </c>
      <c r="J85" s="198">
        <v>0</v>
      </c>
      <c r="K85" s="198">
        <v>3.0411115934223999E-2</v>
      </c>
      <c r="L85" s="198">
        <v>0</v>
      </c>
      <c r="M85" s="198">
        <v>0</v>
      </c>
      <c r="N85" s="198">
        <v>0</v>
      </c>
      <c r="O85" s="198">
        <v>0</v>
      </c>
      <c r="P85" s="198">
        <v>0</v>
      </c>
      <c r="Q85" s="198">
        <v>0.35185027826781501</v>
      </c>
      <c r="R85" s="198">
        <v>0.18</v>
      </c>
      <c r="S85" s="198">
        <v>0</v>
      </c>
      <c r="T85" s="198">
        <f>SUM(E85:S85)</f>
        <v>1</v>
      </c>
      <c r="U85" s="199"/>
      <c r="W85" s="682" t="s">
        <v>25</v>
      </c>
      <c r="X85" s="682"/>
      <c r="Y85" s="688"/>
      <c r="Z85" s="688"/>
      <c r="AA85" s="688"/>
      <c r="AB85" s="688"/>
      <c r="AC85" s="688"/>
      <c r="AD85" s="688"/>
      <c r="AE85" s="688"/>
      <c r="AF85" s="688"/>
      <c r="AG85" s="688"/>
      <c r="AH85" s="688"/>
      <c r="AI85" s="688"/>
      <c r="AJ85" s="688"/>
      <c r="AK85" s="688"/>
      <c r="AL85" s="688"/>
      <c r="AM85" s="688"/>
    </row>
    <row r="86" spans="3:39" x14ac:dyDescent="0.3">
      <c r="C86" s="175" t="s">
        <v>478</v>
      </c>
      <c r="D86" s="176" t="s">
        <v>497</v>
      </c>
      <c r="E86" s="198">
        <v>0</v>
      </c>
      <c r="F86" s="198">
        <v>0</v>
      </c>
      <c r="G86" s="198">
        <v>0.02</v>
      </c>
      <c r="H86" s="198">
        <v>0.38017303490005899</v>
      </c>
      <c r="I86" s="201">
        <v>0</v>
      </c>
      <c r="J86" s="201">
        <v>0</v>
      </c>
      <c r="K86" s="198">
        <v>0.01</v>
      </c>
      <c r="L86" s="201">
        <v>0</v>
      </c>
      <c r="M86" s="201">
        <v>0</v>
      </c>
      <c r="N86" s="201">
        <v>0</v>
      </c>
      <c r="O86" s="201">
        <v>0</v>
      </c>
      <c r="P86" s="201">
        <v>0</v>
      </c>
      <c r="Q86" s="198">
        <v>0.35</v>
      </c>
      <c r="R86" s="198">
        <v>0.239826965099941</v>
      </c>
      <c r="S86" s="201">
        <v>0</v>
      </c>
      <c r="T86" s="198">
        <f>SUM(E86:S86)</f>
        <v>1</v>
      </c>
      <c r="U86" s="199"/>
      <c r="W86" s="158" t="s">
        <v>474</v>
      </c>
      <c r="X86" s="158" t="s">
        <v>497</v>
      </c>
      <c r="Y86" s="200">
        <f>'Mix éner %'!Y102</f>
        <v>0</v>
      </c>
      <c r="Z86" s="200">
        <f>'Mix éner %'!Z102</f>
        <v>0</v>
      </c>
      <c r="AA86" s="200">
        <f>'Mix éner %'!AA102</f>
        <v>4.9999999999999992E-3</v>
      </c>
      <c r="AB86" s="200">
        <f>'Mix éner %'!AB102</f>
        <v>0.92999999999999994</v>
      </c>
      <c r="AC86" s="200">
        <f>'Mix éner %'!AC102</f>
        <v>4.9999999999999992E-3</v>
      </c>
      <c r="AD86" s="200">
        <f>'Mix éner %'!AD102</f>
        <v>0</v>
      </c>
      <c r="AE86" s="200">
        <f>'Mix éner %'!AE102</f>
        <v>0</v>
      </c>
      <c r="AF86" s="200">
        <f>'Mix éner %'!AF102</f>
        <v>0</v>
      </c>
      <c r="AG86" s="200">
        <f>'Mix éner %'!AG102</f>
        <v>0</v>
      </c>
      <c r="AH86" s="200">
        <f>'Mix éner %'!AH102</f>
        <v>0</v>
      </c>
      <c r="AI86" s="200">
        <f>'Mix éner %'!AI102</f>
        <v>0.06</v>
      </c>
      <c r="AJ86" s="200">
        <f>'Mix éner %'!AJ102</f>
        <v>0</v>
      </c>
      <c r="AK86" s="200">
        <f>'Mix éner %'!AK102</f>
        <v>0</v>
      </c>
      <c r="AL86" s="200">
        <f>'Mix éner %'!AL102</f>
        <v>0</v>
      </c>
      <c r="AM86" s="200">
        <f>'Mix éner %'!AM102</f>
        <v>1</v>
      </c>
    </row>
    <row r="87" spans="3:39" x14ac:dyDescent="0.3">
      <c r="C87" s="634" t="s">
        <v>479</v>
      </c>
      <c r="D87" s="634"/>
      <c r="E87" s="202"/>
      <c r="F87" s="202"/>
      <c r="G87" s="202"/>
      <c r="H87" s="202"/>
      <c r="I87" s="202"/>
      <c r="J87" s="202"/>
      <c r="K87" s="202"/>
      <c r="L87" s="202"/>
      <c r="M87" s="202"/>
      <c r="N87" s="202"/>
      <c r="O87" s="202"/>
      <c r="P87" s="202"/>
      <c r="Q87" s="202"/>
      <c r="R87" s="202"/>
      <c r="S87" s="202"/>
      <c r="T87" s="202"/>
      <c r="U87" s="199"/>
      <c r="W87" s="158" t="s">
        <v>475</v>
      </c>
      <c r="X87" s="158" t="s">
        <v>497</v>
      </c>
      <c r="Y87" s="200">
        <f>'Mix éner %'!Y106</f>
        <v>0</v>
      </c>
      <c r="Z87" s="200">
        <f>'Mix éner %'!Z106</f>
        <v>0</v>
      </c>
      <c r="AA87" s="200">
        <f>'Mix éner %'!AA106</f>
        <v>0.02</v>
      </c>
      <c r="AB87" s="200">
        <f>'Mix éner %'!AB106</f>
        <v>0.35</v>
      </c>
      <c r="AC87" s="200">
        <f>'Mix éner %'!AC106</f>
        <v>1.4E-2</v>
      </c>
      <c r="AD87" s="200">
        <f>'Mix éner %'!AD106</f>
        <v>0</v>
      </c>
      <c r="AE87" s="200">
        <f>'Mix éner %'!AE106</f>
        <v>0</v>
      </c>
      <c r="AF87" s="200">
        <f>'Mix éner %'!AF106</f>
        <v>0</v>
      </c>
      <c r="AG87" s="200">
        <f>'Mix éner %'!AG106</f>
        <v>0</v>
      </c>
      <c r="AH87" s="200">
        <f>'Mix éner %'!AH106</f>
        <v>0</v>
      </c>
      <c r="AI87" s="200">
        <f>'Mix éner %'!AI106</f>
        <v>0.47599999999999998</v>
      </c>
      <c r="AJ87" s="200">
        <f>'Mix éner %'!AJ106</f>
        <v>0</v>
      </c>
      <c r="AK87" s="200">
        <f>'Mix éner %'!AK106</f>
        <v>0.14000000000000001</v>
      </c>
      <c r="AL87" s="200">
        <f>'Mix éner %'!AL106</f>
        <v>0</v>
      </c>
      <c r="AM87" s="200">
        <f>'Mix éner %'!AM106</f>
        <v>1</v>
      </c>
    </row>
    <row r="88" spans="3:39" x14ac:dyDescent="0.3">
      <c r="C88" s="175" t="s">
        <v>480</v>
      </c>
      <c r="D88" s="176" t="s">
        <v>497</v>
      </c>
      <c r="E88" s="198">
        <v>0</v>
      </c>
      <c r="F88" s="198">
        <v>0</v>
      </c>
      <c r="G88" s="198">
        <v>0.23</v>
      </c>
      <c r="H88" s="198">
        <v>0.02</v>
      </c>
      <c r="I88" s="198">
        <v>0</v>
      </c>
      <c r="J88" s="198">
        <v>0</v>
      </c>
      <c r="K88" s="198">
        <v>0.6</v>
      </c>
      <c r="L88" s="198">
        <v>0</v>
      </c>
      <c r="M88" s="198">
        <v>0</v>
      </c>
      <c r="N88" s="198">
        <v>0</v>
      </c>
      <c r="O88" s="198">
        <v>0</v>
      </c>
      <c r="P88" s="198">
        <v>0</v>
      </c>
      <c r="Q88" s="198">
        <v>0.15</v>
      </c>
      <c r="R88" s="198">
        <v>0</v>
      </c>
      <c r="S88" s="198">
        <v>0</v>
      </c>
      <c r="T88" s="198">
        <f>SUM(E88:S88)</f>
        <v>1</v>
      </c>
      <c r="U88" s="199"/>
      <c r="W88" s="158" t="s">
        <v>478</v>
      </c>
      <c r="X88" s="158" t="s">
        <v>497</v>
      </c>
      <c r="Y88" s="200">
        <f>'Mix éner %'!Y110</f>
        <v>0</v>
      </c>
      <c r="Z88" s="200">
        <f>'Mix éner %'!Z110</f>
        <v>0</v>
      </c>
      <c r="AA88" s="200">
        <f>'Mix éner %'!AA110</f>
        <v>0.06</v>
      </c>
      <c r="AB88" s="200">
        <f>'Mix éner %'!AB110</f>
        <v>0.04</v>
      </c>
      <c r="AC88" s="200">
        <f>'Mix éner %'!AC110</f>
        <v>0.04</v>
      </c>
      <c r="AD88" s="200">
        <f>'Mix éner %'!AD110</f>
        <v>0</v>
      </c>
      <c r="AE88" s="200">
        <f>'Mix éner %'!AE110</f>
        <v>0</v>
      </c>
      <c r="AF88" s="200">
        <f>'Mix éner %'!AF110</f>
        <v>0</v>
      </c>
      <c r="AG88" s="200">
        <f>'Mix éner %'!AG110</f>
        <v>0.04</v>
      </c>
      <c r="AH88" s="200">
        <f>'Mix éner %'!AH110</f>
        <v>0</v>
      </c>
      <c r="AI88" s="200">
        <f>'Mix éner %'!AI110</f>
        <v>0.56999999999999995</v>
      </c>
      <c r="AJ88" s="200">
        <f>'Mix éner %'!AJ110</f>
        <v>0.02</v>
      </c>
      <c r="AK88" s="200">
        <f>'Mix éner %'!AK110</f>
        <v>0.23</v>
      </c>
      <c r="AL88" s="200">
        <f>'Mix éner %'!AL110</f>
        <v>0</v>
      </c>
      <c r="AM88" s="200">
        <f>'Mix éner %'!AM110</f>
        <v>1</v>
      </c>
    </row>
    <row r="89" spans="3:39" x14ac:dyDescent="0.3">
      <c r="C89" s="175" t="s">
        <v>481</v>
      </c>
      <c r="D89" s="176" t="s">
        <v>497</v>
      </c>
      <c r="E89" s="198">
        <v>0</v>
      </c>
      <c r="F89" s="198">
        <v>0</v>
      </c>
      <c r="G89" s="198">
        <v>0.03</v>
      </c>
      <c r="H89" s="198">
        <v>0.50119397890568995</v>
      </c>
      <c r="I89" s="198">
        <v>0</v>
      </c>
      <c r="J89" s="198">
        <v>0</v>
      </c>
      <c r="K89" s="198">
        <v>0</v>
      </c>
      <c r="L89" s="198">
        <v>0</v>
      </c>
      <c r="M89" s="198">
        <v>0</v>
      </c>
      <c r="N89" s="198">
        <v>0</v>
      </c>
      <c r="O89" s="198">
        <v>0</v>
      </c>
      <c r="P89" s="198">
        <v>0</v>
      </c>
      <c r="Q89" s="198">
        <v>0.46880602109431002</v>
      </c>
      <c r="R89" s="198">
        <v>0</v>
      </c>
      <c r="S89" s="198">
        <v>0</v>
      </c>
      <c r="T89" s="198">
        <f>SUM(E89:S89)</f>
        <v>1</v>
      </c>
      <c r="U89" s="199"/>
      <c r="W89" s="682" t="s">
        <v>479</v>
      </c>
      <c r="X89" s="682"/>
      <c r="Y89" s="688"/>
      <c r="Z89" s="688"/>
      <c r="AA89" s="688"/>
      <c r="AB89" s="688"/>
      <c r="AC89" s="688"/>
      <c r="AD89" s="688"/>
      <c r="AE89" s="688"/>
      <c r="AF89" s="688"/>
      <c r="AG89" s="688"/>
      <c r="AH89" s="688"/>
      <c r="AI89" s="688"/>
      <c r="AJ89" s="688"/>
      <c r="AK89" s="688"/>
      <c r="AL89" s="688"/>
      <c r="AM89" s="688"/>
    </row>
    <row r="90" spans="3:39" x14ac:dyDescent="0.3">
      <c r="C90" s="175" t="s">
        <v>482</v>
      </c>
      <c r="D90" s="176" t="s">
        <v>497</v>
      </c>
      <c r="E90" s="201">
        <v>0</v>
      </c>
      <c r="F90" s="201">
        <v>0</v>
      </c>
      <c r="G90" s="198">
        <v>0.01</v>
      </c>
      <c r="H90" s="198">
        <v>0.55000000000000004</v>
      </c>
      <c r="I90" s="201">
        <v>0</v>
      </c>
      <c r="J90" s="201">
        <v>0</v>
      </c>
      <c r="K90" s="198">
        <v>1.9519577919500101E-2</v>
      </c>
      <c r="L90" s="201">
        <v>0</v>
      </c>
      <c r="M90" s="201">
        <v>0</v>
      </c>
      <c r="N90" s="201">
        <v>0</v>
      </c>
      <c r="O90" s="201">
        <v>0</v>
      </c>
      <c r="P90" s="201">
        <v>0</v>
      </c>
      <c r="Q90" s="198">
        <v>0.42048042208050002</v>
      </c>
      <c r="R90" s="201">
        <v>0</v>
      </c>
      <c r="S90" s="201">
        <v>0</v>
      </c>
      <c r="T90" s="198">
        <f>SUM(E90:S90)</f>
        <v>1.0000000000000002</v>
      </c>
      <c r="U90" s="199"/>
      <c r="W90" s="158" t="s">
        <v>480</v>
      </c>
      <c r="X90" s="158" t="s">
        <v>497</v>
      </c>
      <c r="Y90" s="200">
        <f>'Mix éner %'!Y115</f>
        <v>0.03</v>
      </c>
      <c r="Z90" s="200">
        <f>'Mix éner %'!Z115</f>
        <v>0</v>
      </c>
      <c r="AA90" s="200">
        <f>'Mix éner %'!AA115</f>
        <v>0.13</v>
      </c>
      <c r="AB90" s="200">
        <f>'Mix éner %'!AB115</f>
        <v>0.01</v>
      </c>
      <c r="AC90" s="200">
        <f>'Mix éner %'!AC115</f>
        <v>0.23</v>
      </c>
      <c r="AD90" s="200">
        <f>'Mix éner %'!AD115</f>
        <v>0.46</v>
      </c>
      <c r="AE90" s="200">
        <f>'Mix éner %'!AE115</f>
        <v>0</v>
      </c>
      <c r="AF90" s="200">
        <f>'Mix éner %'!AF115</f>
        <v>0</v>
      </c>
      <c r="AG90" s="200">
        <f>'Mix éner %'!AG115</f>
        <v>0</v>
      </c>
      <c r="AH90" s="200">
        <f>'Mix éner %'!AH115</f>
        <v>0</v>
      </c>
      <c r="AI90" s="200">
        <f>'Mix éner %'!AI115</f>
        <v>0.13</v>
      </c>
      <c r="AJ90" s="200">
        <f>'Mix éner %'!AJ115</f>
        <v>0</v>
      </c>
      <c r="AK90" s="200">
        <f>'Mix éner %'!AK115</f>
        <v>0.01</v>
      </c>
      <c r="AL90" s="200">
        <f>'Mix éner %'!AL115</f>
        <v>0</v>
      </c>
      <c r="AM90" s="200">
        <f>'Mix éner %'!AM115</f>
        <v>1</v>
      </c>
    </row>
    <row r="91" spans="3:39" x14ac:dyDescent="0.3">
      <c r="C91" s="634" t="s">
        <v>483</v>
      </c>
      <c r="D91" s="634"/>
      <c r="E91" s="202"/>
      <c r="F91" s="202"/>
      <c r="G91" s="202"/>
      <c r="H91" s="202"/>
      <c r="I91" s="202"/>
      <c r="J91" s="202"/>
      <c r="K91" s="202"/>
      <c r="L91" s="202"/>
      <c r="M91" s="202"/>
      <c r="N91" s="202"/>
      <c r="O91" s="202"/>
      <c r="P91" s="202"/>
      <c r="Q91" s="202"/>
      <c r="R91" s="202"/>
      <c r="S91" s="202"/>
      <c r="T91" s="202"/>
      <c r="U91" s="199"/>
      <c r="W91" s="158" t="s">
        <v>481</v>
      </c>
      <c r="X91" s="158" t="s">
        <v>497</v>
      </c>
      <c r="Y91" s="200">
        <f>'Mix éner %'!Y119</f>
        <v>0</v>
      </c>
      <c r="Z91" s="200">
        <f>'Mix éner %'!Z119</f>
        <v>0</v>
      </c>
      <c r="AA91" s="200">
        <f>'Mix éner %'!AA119</f>
        <v>0</v>
      </c>
      <c r="AB91" s="200">
        <f>'Mix éner %'!AB119</f>
        <v>0.54</v>
      </c>
      <c r="AC91" s="200">
        <f>'Mix éner %'!AC119</f>
        <v>0</v>
      </c>
      <c r="AD91" s="200">
        <f>'Mix éner %'!AD119</f>
        <v>0</v>
      </c>
      <c r="AE91" s="200">
        <f>'Mix éner %'!AE119</f>
        <v>0</v>
      </c>
      <c r="AF91" s="200">
        <f>'Mix éner %'!AF119</f>
        <v>0</v>
      </c>
      <c r="AG91" s="200">
        <f>'Mix éner %'!AG119</f>
        <v>0</v>
      </c>
      <c r="AH91" s="200">
        <f>'Mix éner %'!AH119</f>
        <v>0</v>
      </c>
      <c r="AI91" s="200">
        <f>'Mix éner %'!AI119</f>
        <v>0.45</v>
      </c>
      <c r="AJ91" s="200">
        <f>'Mix éner %'!AJ119</f>
        <v>0</v>
      </c>
      <c r="AK91" s="200">
        <f>'Mix éner %'!AK119</f>
        <v>0</v>
      </c>
      <c r="AL91" s="200">
        <f>'Mix éner %'!AL119</f>
        <v>0.01</v>
      </c>
      <c r="AM91" s="200">
        <f>'Mix éner %'!AM119</f>
        <v>1</v>
      </c>
    </row>
    <row r="92" spans="3:39" x14ac:dyDescent="0.3">
      <c r="C92" s="175" t="s">
        <v>484</v>
      </c>
      <c r="D92" s="176" t="s">
        <v>497</v>
      </c>
      <c r="E92" s="198">
        <v>0.05</v>
      </c>
      <c r="F92" s="198">
        <v>0</v>
      </c>
      <c r="G92" s="198">
        <v>0.03</v>
      </c>
      <c r="H92" s="198">
        <v>0.51</v>
      </c>
      <c r="I92" s="198">
        <v>0</v>
      </c>
      <c r="J92" s="198">
        <v>0</v>
      </c>
      <c r="K92" s="198">
        <v>0.04</v>
      </c>
      <c r="L92" s="201">
        <v>0</v>
      </c>
      <c r="M92" s="201">
        <v>0</v>
      </c>
      <c r="N92" s="201">
        <v>0</v>
      </c>
      <c r="O92" s="201">
        <v>0</v>
      </c>
      <c r="P92" s="201">
        <v>0</v>
      </c>
      <c r="Q92" s="198">
        <v>0.37</v>
      </c>
      <c r="R92" s="198">
        <v>0</v>
      </c>
      <c r="S92" s="198">
        <v>0</v>
      </c>
      <c r="T92" s="198">
        <f>SUM(E92:S92)</f>
        <v>1</v>
      </c>
      <c r="U92" s="199"/>
      <c r="W92" s="158" t="s">
        <v>482</v>
      </c>
      <c r="X92" s="158" t="s">
        <v>497</v>
      </c>
      <c r="Y92" s="200">
        <f>'Mix éner %'!Y123</f>
        <v>0</v>
      </c>
      <c r="Z92" s="200">
        <f>'Mix éner %'!Z123</f>
        <v>0</v>
      </c>
      <c r="AA92" s="200">
        <f>'Mix éner %'!AA123</f>
        <v>0.01</v>
      </c>
      <c r="AB92" s="200">
        <f>'Mix éner %'!AB123</f>
        <v>0.51</v>
      </c>
      <c r="AC92" s="200">
        <f>'Mix éner %'!AC123</f>
        <v>0.04</v>
      </c>
      <c r="AD92" s="200">
        <f>'Mix éner %'!AD123</f>
        <v>0</v>
      </c>
      <c r="AE92" s="200">
        <f>'Mix éner %'!AE123</f>
        <v>0</v>
      </c>
      <c r="AF92" s="200">
        <f>'Mix éner %'!AF123</f>
        <v>0</v>
      </c>
      <c r="AG92" s="200">
        <f>'Mix éner %'!AG123</f>
        <v>0</v>
      </c>
      <c r="AH92" s="200">
        <f>'Mix éner %'!AH123</f>
        <v>0</v>
      </c>
      <c r="AI92" s="200">
        <f>'Mix éner %'!AI123</f>
        <v>0.44</v>
      </c>
      <c r="AJ92" s="200">
        <f>'Mix éner %'!AJ123</f>
        <v>0</v>
      </c>
      <c r="AK92" s="200">
        <f>'Mix éner %'!AK123</f>
        <v>0</v>
      </c>
      <c r="AL92" s="200">
        <f>'Mix éner %'!AL123</f>
        <v>0</v>
      </c>
      <c r="AM92" s="200">
        <f>'Mix éner %'!AM123</f>
        <v>1</v>
      </c>
    </row>
    <row r="93" spans="3:39" x14ac:dyDescent="0.3">
      <c r="C93" s="175" t="s">
        <v>485</v>
      </c>
      <c r="D93" s="176" t="s">
        <v>497</v>
      </c>
      <c r="E93" s="201">
        <v>0</v>
      </c>
      <c r="F93" s="201">
        <v>0</v>
      </c>
      <c r="G93" s="198">
        <v>0.02</v>
      </c>
      <c r="H93" s="198">
        <v>0.36</v>
      </c>
      <c r="I93" s="201">
        <v>0</v>
      </c>
      <c r="J93" s="201">
        <v>0</v>
      </c>
      <c r="K93" s="198">
        <v>5.3557005701464301E-2</v>
      </c>
      <c r="L93" s="201">
        <v>0</v>
      </c>
      <c r="M93" s="201">
        <v>0</v>
      </c>
      <c r="N93" s="201">
        <v>0</v>
      </c>
      <c r="O93" s="201">
        <v>0</v>
      </c>
      <c r="P93" s="201">
        <v>0</v>
      </c>
      <c r="Q93" s="198">
        <v>0.49830341301132902</v>
      </c>
      <c r="R93" s="198">
        <v>6.8139581287206499E-2</v>
      </c>
      <c r="S93" s="201">
        <v>0</v>
      </c>
      <c r="T93" s="198">
        <f>SUM(E93:S93)</f>
        <v>0.99999999999999989</v>
      </c>
      <c r="U93" s="199"/>
      <c r="W93" s="682" t="s">
        <v>483</v>
      </c>
      <c r="X93" s="682"/>
      <c r="Y93" s="688"/>
      <c r="Z93" s="688"/>
      <c r="AA93" s="688"/>
      <c r="AB93" s="688"/>
      <c r="AC93" s="688"/>
      <c r="AD93" s="688"/>
      <c r="AE93" s="688"/>
      <c r="AF93" s="688"/>
      <c r="AG93" s="688"/>
      <c r="AH93" s="688"/>
      <c r="AI93" s="688"/>
      <c r="AJ93" s="688"/>
      <c r="AK93" s="688"/>
      <c r="AL93" s="688"/>
      <c r="AM93" s="688"/>
    </row>
    <row r="94" spans="3:39" x14ac:dyDescent="0.3">
      <c r="C94" s="634" t="s">
        <v>486</v>
      </c>
      <c r="D94" s="634"/>
      <c r="E94" s="198">
        <v>0</v>
      </c>
      <c r="F94" s="198">
        <v>0</v>
      </c>
      <c r="G94" s="198">
        <v>0</v>
      </c>
      <c r="H94" s="198">
        <v>0.3</v>
      </c>
      <c r="I94" s="198">
        <v>0</v>
      </c>
      <c r="J94" s="198">
        <v>0</v>
      </c>
      <c r="K94" s="198">
        <v>0</v>
      </c>
      <c r="L94" s="198">
        <v>0</v>
      </c>
      <c r="M94" s="198">
        <v>0</v>
      </c>
      <c r="N94" s="198">
        <v>0</v>
      </c>
      <c r="O94" s="198">
        <v>0</v>
      </c>
      <c r="P94" s="198">
        <v>0</v>
      </c>
      <c r="Q94" s="198">
        <v>0.7</v>
      </c>
      <c r="R94" s="198">
        <v>0</v>
      </c>
      <c r="S94" s="198">
        <v>0</v>
      </c>
      <c r="T94" s="198">
        <f>SUM(E94:S94)</f>
        <v>1</v>
      </c>
      <c r="U94" s="199"/>
      <c r="W94" s="158" t="s">
        <v>484</v>
      </c>
      <c r="X94" s="158" t="s">
        <v>497</v>
      </c>
      <c r="Y94" s="200">
        <f>'Mix éner %'!Y128</f>
        <v>0.01</v>
      </c>
      <c r="Z94" s="200">
        <f>'Mix éner %'!Z128</f>
        <v>0</v>
      </c>
      <c r="AA94" s="200">
        <f>'Mix éner %'!AA128</f>
        <v>0</v>
      </c>
      <c r="AB94" s="200">
        <f>'Mix éner %'!AB128</f>
        <v>0.35</v>
      </c>
      <c r="AC94" s="200">
        <f>'Mix éner %'!AC128</f>
        <v>0.39</v>
      </c>
      <c r="AD94" s="200">
        <f>'Mix éner %'!AD128</f>
        <v>0</v>
      </c>
      <c r="AE94" s="200">
        <f>'Mix éner %'!AE128</f>
        <v>0</v>
      </c>
      <c r="AF94" s="200">
        <f>'Mix éner %'!AF128</f>
        <v>0</v>
      </c>
      <c r="AG94" s="200">
        <f>'Mix éner %'!AG128</f>
        <v>0</v>
      </c>
      <c r="AH94" s="200">
        <f>'Mix éner %'!AH128</f>
        <v>0</v>
      </c>
      <c r="AI94" s="200">
        <f>'Mix éner %'!AI128</f>
        <v>0.25</v>
      </c>
      <c r="AJ94" s="200">
        <f>'Mix éner %'!AJ128</f>
        <v>0</v>
      </c>
      <c r="AK94" s="200">
        <f>'Mix éner %'!AK128</f>
        <v>0</v>
      </c>
      <c r="AL94" s="200">
        <f>'Mix éner %'!AL128</f>
        <v>0</v>
      </c>
      <c r="AM94" s="200">
        <f>'Mix éner %'!AM128</f>
        <v>1</v>
      </c>
    </row>
    <row r="95" spans="3:39" x14ac:dyDescent="0.3">
      <c r="C95" s="635" t="s">
        <v>31</v>
      </c>
      <c r="D95" s="635"/>
      <c r="E95" s="198">
        <v>0</v>
      </c>
      <c r="F95" s="198">
        <v>0</v>
      </c>
      <c r="G95" s="198">
        <v>0.57952756765901603</v>
      </c>
      <c r="H95" s="198">
        <v>0.12495101241018899</v>
      </c>
      <c r="I95" s="198">
        <v>0</v>
      </c>
      <c r="J95" s="198">
        <v>0</v>
      </c>
      <c r="K95" s="198">
        <v>3.74265186152841E-2</v>
      </c>
      <c r="L95" s="198">
        <v>2.5959042399769299E-2</v>
      </c>
      <c r="M95" s="198">
        <v>0</v>
      </c>
      <c r="N95" s="198">
        <v>0</v>
      </c>
      <c r="O95" s="198">
        <v>0</v>
      </c>
      <c r="P95" s="198">
        <v>0</v>
      </c>
      <c r="Q95" s="198">
        <v>0.23213585891574101</v>
      </c>
      <c r="R95" s="198">
        <v>0</v>
      </c>
      <c r="S95" s="198">
        <v>0</v>
      </c>
      <c r="T95" s="198">
        <f>SUM(E95:S95)</f>
        <v>0.99999999999999956</v>
      </c>
      <c r="U95" s="199"/>
      <c r="W95" s="158" t="s">
        <v>485</v>
      </c>
      <c r="X95" s="158" t="s">
        <v>497</v>
      </c>
      <c r="Y95" s="200">
        <f>'Mix éner %'!Y132</f>
        <v>0</v>
      </c>
      <c r="Z95" s="200">
        <f>'Mix éner %'!Z132</f>
        <v>0</v>
      </c>
      <c r="AA95" s="200">
        <f>'Mix éner %'!AA132</f>
        <v>0</v>
      </c>
      <c r="AB95" s="200">
        <f>'Mix éner %'!AB132</f>
        <v>0.33540341301132914</v>
      </c>
      <c r="AC95" s="200">
        <f>'Mix éner %'!AC132</f>
        <v>0.08</v>
      </c>
      <c r="AD95" s="200">
        <f>'Mix éner %'!AD132</f>
        <v>0</v>
      </c>
      <c r="AE95" s="200">
        <f>'Mix éner %'!AE132</f>
        <v>0</v>
      </c>
      <c r="AF95" s="200">
        <f>'Mix éner %'!AF132</f>
        <v>0</v>
      </c>
      <c r="AG95" s="200">
        <f>'Mix éner %'!AG132</f>
        <v>0.04</v>
      </c>
      <c r="AH95" s="200">
        <f>'Mix éner %'!AH132</f>
        <v>0</v>
      </c>
      <c r="AI95" s="200">
        <f>'Mix éner %'!AI132</f>
        <v>0.45600000000000002</v>
      </c>
      <c r="AJ95" s="200">
        <f>'Mix éner %'!AJ132</f>
        <v>0.02</v>
      </c>
      <c r="AK95" s="200">
        <f>'Mix éner %'!AK132</f>
        <v>6.8139581287206499E-2</v>
      </c>
      <c r="AL95" s="200">
        <f>'Mix éner %'!AL132</f>
        <v>0</v>
      </c>
      <c r="AM95" s="200">
        <f>'Mix éner %'!AM132</f>
        <v>0.99954299429853566</v>
      </c>
    </row>
    <row r="96" spans="3:39" x14ac:dyDescent="0.3">
      <c r="C96" s="634" t="s">
        <v>487</v>
      </c>
      <c r="D96" s="634"/>
      <c r="E96" s="202"/>
      <c r="F96" s="202"/>
      <c r="G96" s="202"/>
      <c r="H96" s="202"/>
      <c r="I96" s="202"/>
      <c r="J96" s="202"/>
      <c r="K96" s="202"/>
      <c r="L96" s="202"/>
      <c r="M96" s="202"/>
      <c r="N96" s="202"/>
      <c r="O96" s="202"/>
      <c r="P96" s="202"/>
      <c r="Q96" s="202"/>
      <c r="R96" s="202"/>
      <c r="S96" s="202"/>
      <c r="T96" s="202"/>
      <c r="U96" s="199"/>
      <c r="W96" s="682" t="s">
        <v>486</v>
      </c>
      <c r="X96" s="682"/>
      <c r="Y96" s="203">
        <f>'Mix éner %'!Y136</f>
        <v>0</v>
      </c>
      <c r="Z96" s="203">
        <f>'Mix éner %'!Z136</f>
        <v>0</v>
      </c>
      <c r="AA96" s="203">
        <f>'Mix éner %'!AA136</f>
        <v>0</v>
      </c>
      <c r="AB96" s="203">
        <f>'Mix éner %'!AB136</f>
        <v>0.27999999999999992</v>
      </c>
      <c r="AC96" s="203">
        <f>'Mix éner %'!AC136</f>
        <v>0</v>
      </c>
      <c r="AD96" s="203">
        <f>'Mix éner %'!AD136</f>
        <v>0</v>
      </c>
      <c r="AE96" s="203">
        <f>'Mix éner %'!AE136</f>
        <v>0</v>
      </c>
      <c r="AF96" s="203">
        <f>'Mix éner %'!AF136</f>
        <v>0</v>
      </c>
      <c r="AG96" s="203">
        <f>'Mix éner %'!AG136</f>
        <v>0.02</v>
      </c>
      <c r="AH96" s="203">
        <f>'Mix éner %'!AH136</f>
        <v>0</v>
      </c>
      <c r="AI96" s="203">
        <f>'Mix éner %'!AI136</f>
        <v>0.68</v>
      </c>
      <c r="AJ96" s="203">
        <f>'Mix éner %'!AJ136</f>
        <v>0.01</v>
      </c>
      <c r="AK96" s="203">
        <f>'Mix éner %'!AK136</f>
        <v>0.01</v>
      </c>
      <c r="AL96" s="203">
        <f>'Mix éner %'!AL136</f>
        <v>0</v>
      </c>
      <c r="AM96" s="203">
        <f>'Mix éner %'!AM136</f>
        <v>1</v>
      </c>
    </row>
    <row r="97" spans="3:39" x14ac:dyDescent="0.3">
      <c r="C97" s="175" t="s">
        <v>488</v>
      </c>
      <c r="D97" s="176" t="s">
        <v>497</v>
      </c>
      <c r="E97" s="198">
        <v>0</v>
      </c>
      <c r="F97" s="198">
        <v>0</v>
      </c>
      <c r="G97" s="198">
        <v>0</v>
      </c>
      <c r="H97" s="198">
        <v>0.24</v>
      </c>
      <c r="I97" s="198">
        <v>0</v>
      </c>
      <c r="J97" s="198">
        <v>0</v>
      </c>
      <c r="K97" s="198">
        <v>0.25</v>
      </c>
      <c r="L97" s="198">
        <v>0</v>
      </c>
      <c r="M97" s="198">
        <v>0</v>
      </c>
      <c r="N97" s="198">
        <v>0</v>
      </c>
      <c r="O97" s="198">
        <v>0</v>
      </c>
      <c r="P97" s="198">
        <v>0</v>
      </c>
      <c r="Q97" s="198">
        <v>0.36591293942866598</v>
      </c>
      <c r="R97" s="198">
        <v>0.144087060571334</v>
      </c>
      <c r="S97" s="198">
        <v>0</v>
      </c>
      <c r="T97" s="198">
        <f>SUM(E97:S97)</f>
        <v>1</v>
      </c>
      <c r="U97" s="199"/>
      <c r="W97" s="682" t="s">
        <v>31</v>
      </c>
      <c r="X97" s="682"/>
      <c r="Y97" s="203">
        <f>'Mix éner %'!Y140</f>
        <v>0</v>
      </c>
      <c r="Z97" s="203">
        <f>'Mix éner %'!Z140</f>
        <v>0</v>
      </c>
      <c r="AA97" s="203">
        <f>'Mix éner %'!AA140</f>
        <v>0.45</v>
      </c>
      <c r="AB97" s="203">
        <f>'Mix éner %'!AB140</f>
        <v>0.12495101241018899</v>
      </c>
      <c r="AC97" s="203">
        <f>'Mix éner %'!AC140</f>
        <v>3.74265186152841E-2</v>
      </c>
      <c r="AD97" s="203">
        <f>'Mix éner %'!AD140</f>
        <v>2.5959042399769299E-2</v>
      </c>
      <c r="AE97" s="203">
        <f>'Mix éner %'!AE140</f>
        <v>0</v>
      </c>
      <c r="AF97" s="203">
        <f>'Mix éner %'!AF140</f>
        <v>0</v>
      </c>
      <c r="AG97" s="203">
        <f>'Mix éner %'!AG140</f>
        <v>0</v>
      </c>
      <c r="AH97" s="203">
        <f>'Mix éner %'!AH140</f>
        <v>0</v>
      </c>
      <c r="AI97" s="203">
        <f>'Mix éner %'!AI140</f>
        <v>0.34200000000000003</v>
      </c>
      <c r="AJ97" s="203">
        <f>'Mix éner %'!AJ140</f>
        <v>0</v>
      </c>
      <c r="AK97" s="203">
        <f>'Mix éner %'!AK140</f>
        <v>0</v>
      </c>
      <c r="AL97" s="203">
        <f>'Mix éner %'!AL140</f>
        <v>0.02</v>
      </c>
      <c r="AM97" s="203">
        <f>'Mix éner %'!AM140</f>
        <v>1.0003365734252425</v>
      </c>
    </row>
    <row r="98" spans="3:39" x14ac:dyDescent="0.3">
      <c r="C98" s="175" t="s">
        <v>489</v>
      </c>
      <c r="D98" s="176" t="s">
        <v>497</v>
      </c>
      <c r="E98" s="198">
        <v>0</v>
      </c>
      <c r="F98" s="198">
        <v>0</v>
      </c>
      <c r="G98" s="198">
        <v>0.04</v>
      </c>
      <c r="H98" s="198">
        <v>0.301490724374404</v>
      </c>
      <c r="I98" s="198">
        <v>0</v>
      </c>
      <c r="J98" s="198">
        <v>0</v>
      </c>
      <c r="K98" s="198">
        <v>0.02</v>
      </c>
      <c r="L98" s="198">
        <v>0</v>
      </c>
      <c r="M98" s="198">
        <v>0</v>
      </c>
      <c r="N98" s="198">
        <v>0</v>
      </c>
      <c r="O98" s="198">
        <v>0</v>
      </c>
      <c r="P98" s="198">
        <v>0</v>
      </c>
      <c r="Q98" s="198">
        <v>0.61850927562559599</v>
      </c>
      <c r="R98" s="198">
        <v>0.02</v>
      </c>
      <c r="S98" s="198">
        <v>0</v>
      </c>
      <c r="T98" s="198">
        <f>SUM(E98:S98)</f>
        <v>1</v>
      </c>
      <c r="U98" s="199"/>
      <c r="W98" s="682" t="s">
        <v>487</v>
      </c>
      <c r="X98" s="682"/>
      <c r="Y98" s="688"/>
      <c r="Z98" s="688"/>
      <c r="AA98" s="688"/>
      <c r="AB98" s="688"/>
      <c r="AC98" s="688"/>
      <c r="AD98" s="688"/>
      <c r="AE98" s="688"/>
      <c r="AF98" s="688"/>
      <c r="AG98" s="688"/>
      <c r="AH98" s="688"/>
      <c r="AI98" s="688"/>
      <c r="AJ98" s="688"/>
      <c r="AK98" s="688"/>
      <c r="AL98" s="688"/>
      <c r="AM98" s="688"/>
    </row>
    <row r="99" spans="3:39" x14ac:dyDescent="0.3">
      <c r="W99" s="158" t="s">
        <v>488</v>
      </c>
      <c r="X99" s="158" t="s">
        <v>497</v>
      </c>
      <c r="Y99" s="200">
        <f>'Mix éner %'!Y145</f>
        <v>0</v>
      </c>
      <c r="Z99" s="200">
        <f>'Mix éner %'!Z145</f>
        <v>0</v>
      </c>
      <c r="AA99" s="200">
        <f>'Mix éner %'!AA145</f>
        <v>0</v>
      </c>
      <c r="AB99" s="200">
        <f>'Mix éner %'!AB145</f>
        <v>0.20091293942866595</v>
      </c>
      <c r="AC99" s="200">
        <f>'Mix éner %'!AC145</f>
        <v>0.3</v>
      </c>
      <c r="AD99" s="200">
        <f>'Mix éner %'!AD145</f>
        <v>2.5000000000000001E-2</v>
      </c>
      <c r="AE99" s="200">
        <f>'Mix éner %'!AE145</f>
        <v>0</v>
      </c>
      <c r="AF99" s="200">
        <f>'Mix éner %'!AF145</f>
        <v>0.05</v>
      </c>
      <c r="AG99" s="200">
        <f>'Mix éner %'!AG145</f>
        <v>0</v>
      </c>
      <c r="AH99" s="200">
        <f>'Mix éner %'!AH145</f>
        <v>0</v>
      </c>
      <c r="AI99" s="200">
        <f>'Mix éner %'!AI145</f>
        <v>0.28000000000000003</v>
      </c>
      <c r="AJ99" s="200">
        <f>'Mix éner %'!AJ145</f>
        <v>0</v>
      </c>
      <c r="AK99" s="200">
        <f>'Mix éner %'!AK145</f>
        <v>0.144087060571334</v>
      </c>
      <c r="AL99" s="200">
        <f>'Mix éner %'!AL145</f>
        <v>0</v>
      </c>
      <c r="AM99" s="200">
        <f>'Mix éner %'!AM145</f>
        <v>1</v>
      </c>
    </row>
    <row r="100" spans="3:39" x14ac:dyDescent="0.3">
      <c r="W100" s="158" t="s">
        <v>489</v>
      </c>
      <c r="X100" s="158" t="s">
        <v>497</v>
      </c>
      <c r="Y100" s="200">
        <f>'Mix éner %'!Y149</f>
        <v>0</v>
      </c>
      <c r="Z100" s="200">
        <f>'Mix éner %'!Z149</f>
        <v>0</v>
      </c>
      <c r="AA100" s="200">
        <f>'Mix éner %'!AA149</f>
        <v>0.04</v>
      </c>
      <c r="AB100" s="200">
        <f>'Mix éner %'!AB149</f>
        <v>0.30999999999999994</v>
      </c>
      <c r="AC100" s="200">
        <f>'Mix éner %'!AC149</f>
        <v>0.02</v>
      </c>
      <c r="AD100" s="200">
        <f>'Mix éner %'!AD149</f>
        <v>0</v>
      </c>
      <c r="AE100" s="200">
        <f>'Mix éner %'!AE149</f>
        <v>0</v>
      </c>
      <c r="AF100" s="200">
        <f>'Mix éner %'!AF149</f>
        <v>0</v>
      </c>
      <c r="AG100" s="200">
        <f>'Mix éner %'!AG149</f>
        <v>0.06</v>
      </c>
      <c r="AH100" s="200">
        <f>'Mix éner %'!AH149</f>
        <v>0</v>
      </c>
      <c r="AI100" s="200">
        <f>'Mix éner %'!AI149</f>
        <v>0.52</v>
      </c>
      <c r="AJ100" s="200">
        <f>'Mix éner %'!AJ149</f>
        <v>0.03</v>
      </c>
      <c r="AK100" s="200">
        <f>'Mix éner %'!AK149</f>
        <v>0.02</v>
      </c>
      <c r="AL100" s="200">
        <f>'Mix éner %'!AL149</f>
        <v>0</v>
      </c>
      <c r="AM100" s="200">
        <f>'Mix éner %'!AM149</f>
        <v>1</v>
      </c>
    </row>
    <row r="102" spans="3:39" x14ac:dyDescent="0.3">
      <c r="Y102" s="157"/>
      <c r="Z102" s="157"/>
      <c r="AA102" s="157"/>
      <c r="AB102" s="157"/>
      <c r="AC102" s="157"/>
      <c r="AD102" s="157"/>
      <c r="AE102" s="157"/>
      <c r="AF102" s="157"/>
      <c r="AG102" s="157"/>
      <c r="AH102" s="157"/>
      <c r="AI102" s="157"/>
      <c r="AJ102" s="157"/>
      <c r="AK102" s="157"/>
      <c r="AL102" s="157"/>
      <c r="AM102" s="157"/>
    </row>
    <row r="104" spans="3:39" x14ac:dyDescent="0.3">
      <c r="C104" s="685" t="s">
        <v>539</v>
      </c>
      <c r="D104" s="685"/>
      <c r="E104" s="685"/>
      <c r="F104" s="685"/>
      <c r="G104" s="685"/>
      <c r="H104" s="685"/>
      <c r="I104" s="685"/>
      <c r="J104" s="685"/>
      <c r="K104" s="685"/>
      <c r="L104" s="685"/>
      <c r="M104" s="685"/>
      <c r="N104" s="685"/>
      <c r="O104" s="685"/>
      <c r="P104" s="685"/>
      <c r="Q104" s="685"/>
      <c r="R104" s="685"/>
      <c r="S104" s="685"/>
      <c r="T104" s="685"/>
      <c r="U104" s="195"/>
      <c r="W104" s="680">
        <v>2050</v>
      </c>
      <c r="X104" s="680"/>
      <c r="Y104" s="680"/>
      <c r="Z104" s="680"/>
      <c r="AA104" s="680"/>
      <c r="AB104" s="680"/>
      <c r="AC104" s="680"/>
      <c r="AD104" s="680"/>
      <c r="AE104" s="680"/>
      <c r="AF104" s="680"/>
      <c r="AG104" s="680"/>
      <c r="AH104" s="680"/>
      <c r="AI104" s="680"/>
      <c r="AJ104" s="680"/>
      <c r="AK104" s="680"/>
      <c r="AL104" s="680"/>
      <c r="AM104" s="680"/>
    </row>
    <row r="105" spans="3:39" ht="14.7" customHeight="1" x14ac:dyDescent="0.3">
      <c r="C105" s="686" t="s">
        <v>494</v>
      </c>
      <c r="D105" s="686"/>
      <c r="E105" s="687" t="s">
        <v>438</v>
      </c>
      <c r="F105" s="687" t="s">
        <v>439</v>
      </c>
      <c r="G105" s="687" t="s">
        <v>440</v>
      </c>
      <c r="H105" s="687" t="s">
        <v>441</v>
      </c>
      <c r="I105" s="687" t="s">
        <v>536</v>
      </c>
      <c r="J105" s="687" t="s">
        <v>537</v>
      </c>
      <c r="K105" s="687" t="s">
        <v>442</v>
      </c>
      <c r="L105" s="687"/>
      <c r="M105" s="687"/>
      <c r="N105" s="687"/>
      <c r="O105" s="687"/>
      <c r="P105" s="687"/>
      <c r="Q105" s="687" t="s">
        <v>445</v>
      </c>
      <c r="R105" s="687" t="s">
        <v>446</v>
      </c>
      <c r="S105" s="687" t="s">
        <v>447</v>
      </c>
      <c r="T105" s="687" t="s">
        <v>52</v>
      </c>
      <c r="U105" s="196"/>
      <c r="W105" s="681" t="s">
        <v>538</v>
      </c>
      <c r="X105" s="681"/>
      <c r="Y105" s="677" t="s">
        <v>438</v>
      </c>
      <c r="Z105" s="152"/>
      <c r="AA105" s="677" t="s">
        <v>440</v>
      </c>
      <c r="AB105" s="677" t="s">
        <v>441</v>
      </c>
      <c r="AC105" s="677" t="s">
        <v>442</v>
      </c>
      <c r="AD105" s="677"/>
      <c r="AE105" s="677"/>
      <c r="AF105" s="677"/>
      <c r="AG105" s="677" t="s">
        <v>443</v>
      </c>
      <c r="AH105" s="677" t="s">
        <v>444</v>
      </c>
      <c r="AI105" s="677" t="s">
        <v>445</v>
      </c>
      <c r="AJ105" s="154"/>
      <c r="AK105" s="677" t="s">
        <v>446</v>
      </c>
      <c r="AL105" s="153" t="s">
        <v>447</v>
      </c>
      <c r="AM105" s="677" t="s">
        <v>52</v>
      </c>
    </row>
    <row r="106" spans="3:39" ht="69.599999999999994" x14ac:dyDescent="0.3">
      <c r="C106" s="634" t="s">
        <v>24</v>
      </c>
      <c r="D106" s="634"/>
      <c r="E106" s="687"/>
      <c r="F106" s="687"/>
      <c r="G106" s="687"/>
      <c r="H106" s="687"/>
      <c r="I106" s="687"/>
      <c r="J106" s="687"/>
      <c r="K106" s="168" t="s">
        <v>450</v>
      </c>
      <c r="L106" s="168" t="s">
        <v>451</v>
      </c>
      <c r="M106" s="168" t="s">
        <v>452</v>
      </c>
      <c r="N106" s="168" t="s">
        <v>453</v>
      </c>
      <c r="O106" s="168" t="s">
        <v>443</v>
      </c>
      <c r="P106" s="168" t="s">
        <v>444</v>
      </c>
      <c r="Q106" s="687"/>
      <c r="R106" s="687"/>
      <c r="S106" s="687" t="s">
        <v>447</v>
      </c>
      <c r="T106" s="687"/>
      <c r="U106" s="196"/>
      <c r="W106" s="681"/>
      <c r="X106" s="681"/>
      <c r="Y106" s="677"/>
      <c r="Z106" s="152" t="s">
        <v>454</v>
      </c>
      <c r="AA106" s="677"/>
      <c r="AB106" s="677"/>
      <c r="AC106" s="153" t="s">
        <v>450</v>
      </c>
      <c r="AD106" s="153" t="s">
        <v>451</v>
      </c>
      <c r="AE106" s="153" t="s">
        <v>452</v>
      </c>
      <c r="AF106" s="153" t="s">
        <v>453</v>
      </c>
      <c r="AG106" s="677"/>
      <c r="AH106" s="677"/>
      <c r="AI106" s="677"/>
      <c r="AJ106" s="155" t="s">
        <v>455</v>
      </c>
      <c r="AK106" s="677"/>
      <c r="AL106" s="153" t="s">
        <v>447</v>
      </c>
      <c r="AM106" s="677"/>
    </row>
    <row r="107" spans="3:39" x14ac:dyDescent="0.3">
      <c r="C107" s="175" t="s">
        <v>460</v>
      </c>
      <c r="D107" s="176" t="s">
        <v>497</v>
      </c>
      <c r="E107" s="197">
        <f>11.1635061772858%+5%</f>
        <v>0.16163506177285802</v>
      </c>
      <c r="F107" s="197">
        <v>0</v>
      </c>
      <c r="G107" s="197">
        <v>0</v>
      </c>
      <c r="H107" s="197">
        <v>0.38847880683545799</v>
      </c>
      <c r="I107" s="197">
        <v>0</v>
      </c>
      <c r="J107" s="197">
        <v>0</v>
      </c>
      <c r="K107" s="197">
        <v>0.173010449959066</v>
      </c>
      <c r="L107" s="197">
        <v>0</v>
      </c>
      <c r="M107" s="197">
        <v>0</v>
      </c>
      <c r="N107" s="197">
        <v>0</v>
      </c>
      <c r="O107" s="197">
        <v>0</v>
      </c>
      <c r="P107" s="197">
        <v>0</v>
      </c>
      <c r="Q107" s="197">
        <v>0.27687568143261798</v>
      </c>
      <c r="R107" s="197">
        <v>0</v>
      </c>
      <c r="S107" s="197">
        <v>0</v>
      </c>
      <c r="T107" s="198">
        <f t="shared" ref="T107:T112" si="2">SUM(E107:S107)</f>
        <v>1</v>
      </c>
      <c r="U107" s="199"/>
      <c r="W107" s="682" t="s">
        <v>24</v>
      </c>
      <c r="X107" s="682"/>
      <c r="Y107" s="688"/>
      <c r="Z107" s="688"/>
      <c r="AA107" s="688"/>
      <c r="AB107" s="688"/>
      <c r="AC107" s="688"/>
      <c r="AD107" s="688"/>
      <c r="AE107" s="688"/>
      <c r="AF107" s="688"/>
      <c r="AG107" s="688"/>
      <c r="AH107" s="688"/>
      <c r="AI107" s="688"/>
      <c r="AJ107" s="688"/>
      <c r="AK107" s="688"/>
      <c r="AL107" s="688"/>
      <c r="AM107" s="688"/>
    </row>
    <row r="108" spans="3:39" x14ac:dyDescent="0.3">
      <c r="C108" s="175" t="s">
        <v>463</v>
      </c>
      <c r="D108" s="176" t="s">
        <v>497</v>
      </c>
      <c r="E108" s="197">
        <v>1.0514067876993801E-2</v>
      </c>
      <c r="F108" s="197">
        <v>0</v>
      </c>
      <c r="G108" s="197">
        <v>1.60951739582194E-2</v>
      </c>
      <c r="H108" s="197">
        <v>0.14413969617456701</v>
      </c>
      <c r="I108" s="197">
        <v>0</v>
      </c>
      <c r="J108" s="197">
        <v>0</v>
      </c>
      <c r="K108" s="197">
        <v>2.19855996537811E-2</v>
      </c>
      <c r="L108" s="197">
        <v>0</v>
      </c>
      <c r="M108" s="197">
        <v>0</v>
      </c>
      <c r="N108" s="197">
        <v>0</v>
      </c>
      <c r="O108" s="197">
        <v>0</v>
      </c>
      <c r="P108" s="197">
        <v>0</v>
      </c>
      <c r="Q108" s="197">
        <v>0.80726546233643903</v>
      </c>
      <c r="R108" s="197">
        <v>0</v>
      </c>
      <c r="S108" s="197">
        <v>0</v>
      </c>
      <c r="T108" s="198">
        <f t="shared" si="2"/>
        <v>1.0000000000000004</v>
      </c>
      <c r="U108" s="199"/>
      <c r="W108" s="158" t="s">
        <v>460</v>
      </c>
      <c r="X108" s="158" t="s">
        <v>497</v>
      </c>
      <c r="Y108" s="200">
        <f>'Mix éner %'!Y74</f>
        <v>0.33394678771298414</v>
      </c>
      <c r="Z108" s="200">
        <f>'Mix éner %'!Z74</f>
        <v>0.49605321228701588</v>
      </c>
      <c r="AA108" s="200">
        <f>'Mix éner %'!AA74</f>
        <v>0</v>
      </c>
      <c r="AB108" s="200">
        <f>'Mix éner %'!AB74</f>
        <v>0</v>
      </c>
      <c r="AC108" s="200">
        <f>'Mix éner %'!AC74</f>
        <v>0.05</v>
      </c>
      <c r="AD108" s="200">
        <f>'Mix éner %'!AD74</f>
        <v>0.12</v>
      </c>
      <c r="AE108" s="200">
        <f>'Mix éner %'!AE74</f>
        <v>0</v>
      </c>
      <c r="AF108" s="200">
        <f>'Mix éner %'!AF74</f>
        <v>0</v>
      </c>
      <c r="AG108" s="200">
        <f>'Mix éner %'!AG74</f>
        <v>0</v>
      </c>
      <c r="AH108" s="200">
        <f>'Mix éner %'!AH74</f>
        <v>0</v>
      </c>
      <c r="AI108" s="200">
        <f>'Mix éner %'!AI74</f>
        <v>0</v>
      </c>
      <c r="AJ108" s="200">
        <f>'Mix éner %'!AJ74</f>
        <v>0</v>
      </c>
      <c r="AK108" s="200">
        <f>'Mix éner %'!AK74</f>
        <v>0</v>
      </c>
      <c r="AL108" s="200">
        <f>'Mix éner %'!AL74</f>
        <v>0</v>
      </c>
      <c r="AM108" s="200">
        <f>'Mix éner %'!AM74</f>
        <v>1</v>
      </c>
    </row>
    <row r="109" spans="3:39" x14ac:dyDescent="0.3">
      <c r="C109" s="175" t="s">
        <v>465</v>
      </c>
      <c r="D109" s="176" t="s">
        <v>497</v>
      </c>
      <c r="E109" s="197">
        <v>0</v>
      </c>
      <c r="F109" s="197">
        <v>0</v>
      </c>
      <c r="G109" s="197">
        <v>0</v>
      </c>
      <c r="H109" s="197">
        <v>0.15207756232687</v>
      </c>
      <c r="I109" s="197">
        <v>0</v>
      </c>
      <c r="J109" s="197">
        <v>0</v>
      </c>
      <c r="K109" s="197">
        <v>0</v>
      </c>
      <c r="L109" s="197">
        <v>0</v>
      </c>
      <c r="M109" s="197">
        <v>0</v>
      </c>
      <c r="N109" s="197">
        <v>0</v>
      </c>
      <c r="O109" s="197">
        <v>0</v>
      </c>
      <c r="P109" s="197">
        <v>0</v>
      </c>
      <c r="Q109" s="197">
        <v>0.13767313019390601</v>
      </c>
      <c r="R109" s="197">
        <v>0</v>
      </c>
      <c r="S109" s="197">
        <v>0.71024930747922399</v>
      </c>
      <c r="T109" s="198">
        <f t="shared" si="2"/>
        <v>1</v>
      </c>
      <c r="U109" s="199"/>
      <c r="W109" s="158" t="s">
        <v>463</v>
      </c>
      <c r="X109" s="158" t="s">
        <v>497</v>
      </c>
      <c r="Y109" s="200">
        <f>'Mix éner %'!Y78</f>
        <v>1.0514067876993801E-2</v>
      </c>
      <c r="Z109" s="200">
        <f>'Mix éner %'!Z78</f>
        <v>0</v>
      </c>
      <c r="AA109" s="200">
        <f>'Mix éner %'!AA78</f>
        <v>1.60951739582194E-2</v>
      </c>
      <c r="AB109" s="200">
        <f>'Mix éner %'!AB78</f>
        <v>0.14413969617456701</v>
      </c>
      <c r="AC109" s="200">
        <f>'Mix éner %'!AC78</f>
        <v>2.19855996537811E-2</v>
      </c>
      <c r="AD109" s="200">
        <f>'Mix éner %'!AD78</f>
        <v>0</v>
      </c>
      <c r="AE109" s="200">
        <f>'Mix éner %'!AE78</f>
        <v>0</v>
      </c>
      <c r="AF109" s="200">
        <f>'Mix éner %'!AF78</f>
        <v>0</v>
      </c>
      <c r="AG109" s="200">
        <f>'Mix éner %'!AG78</f>
        <v>0</v>
      </c>
      <c r="AH109" s="200">
        <f>'Mix éner %'!AH78</f>
        <v>0</v>
      </c>
      <c r="AI109" s="200">
        <f>'Mix éner %'!AI78</f>
        <v>0.80726546233643903</v>
      </c>
      <c r="AJ109" s="200">
        <f>'Mix éner %'!AJ78</f>
        <v>0</v>
      </c>
      <c r="AK109" s="200">
        <f>'Mix éner %'!AK78</f>
        <v>0</v>
      </c>
      <c r="AL109" s="200">
        <f>'Mix éner %'!AL78</f>
        <v>0</v>
      </c>
      <c r="AM109" s="200">
        <f>'Mix éner %'!AM78</f>
        <v>1.0000000000000004</v>
      </c>
    </row>
    <row r="110" spans="3:39" x14ac:dyDescent="0.3">
      <c r="C110" s="175" t="s">
        <v>468</v>
      </c>
      <c r="D110" s="176" t="s">
        <v>497</v>
      </c>
      <c r="E110" s="198">
        <v>0</v>
      </c>
      <c r="F110" s="198">
        <v>0</v>
      </c>
      <c r="G110" s="198">
        <v>0</v>
      </c>
      <c r="H110" s="198">
        <v>0.120723236835815</v>
      </c>
      <c r="I110" s="198">
        <v>0</v>
      </c>
      <c r="J110" s="198">
        <v>0</v>
      </c>
      <c r="K110" s="198">
        <v>0</v>
      </c>
      <c r="L110" s="198">
        <v>0</v>
      </c>
      <c r="M110" s="198">
        <v>0</v>
      </c>
      <c r="N110" s="198">
        <v>0</v>
      </c>
      <c r="O110" s="198">
        <v>0</v>
      </c>
      <c r="P110" s="198">
        <v>0</v>
      </c>
      <c r="Q110" s="198">
        <v>0.87111370424531198</v>
      </c>
      <c r="R110" s="198">
        <v>0.01</v>
      </c>
      <c r="S110" s="198">
        <v>0</v>
      </c>
      <c r="T110" s="198">
        <f t="shared" si="2"/>
        <v>1.001836941081127</v>
      </c>
      <c r="U110" s="199"/>
      <c r="W110" s="158" t="s">
        <v>465</v>
      </c>
      <c r="X110" s="158" t="s">
        <v>497</v>
      </c>
      <c r="Y110" s="200">
        <f>'Mix éner %'!Y82</f>
        <v>0</v>
      </c>
      <c r="Z110" s="200">
        <f>'Mix éner %'!Z82</f>
        <v>0</v>
      </c>
      <c r="AA110" s="200">
        <f>'Mix éner %'!AA82</f>
        <v>0</v>
      </c>
      <c r="AB110" s="200">
        <f>'Mix éner %'!AB82</f>
        <v>0.15207756232687</v>
      </c>
      <c r="AC110" s="200">
        <f>'Mix éner %'!AC82</f>
        <v>0</v>
      </c>
      <c r="AD110" s="200">
        <f>'Mix éner %'!AD82</f>
        <v>0</v>
      </c>
      <c r="AE110" s="200">
        <f>'Mix éner %'!AE82</f>
        <v>0</v>
      </c>
      <c r="AF110" s="200">
        <f>'Mix éner %'!AF82</f>
        <v>0</v>
      </c>
      <c r="AG110" s="200">
        <f>'Mix éner %'!AG82</f>
        <v>0</v>
      </c>
      <c r="AH110" s="200">
        <f>'Mix éner %'!AH82</f>
        <v>0</v>
      </c>
      <c r="AI110" s="200">
        <f>'Mix éner %'!AI82</f>
        <v>0.13767313019390601</v>
      </c>
      <c r="AJ110" s="200">
        <f>'Mix éner %'!AJ82</f>
        <v>0</v>
      </c>
      <c r="AK110" s="200">
        <f>'Mix éner %'!AK82</f>
        <v>0</v>
      </c>
      <c r="AL110" s="200">
        <f>'Mix éner %'!AL82</f>
        <v>0.71024930747922399</v>
      </c>
      <c r="AM110" s="200">
        <f>'Mix éner %'!AM82</f>
        <v>1</v>
      </c>
    </row>
    <row r="111" spans="3:39" x14ac:dyDescent="0.3">
      <c r="C111" s="175" t="s">
        <v>470</v>
      </c>
      <c r="D111" s="176" t="s">
        <v>497</v>
      </c>
      <c r="E111" s="198">
        <v>0</v>
      </c>
      <c r="F111" s="198">
        <v>0</v>
      </c>
      <c r="G111" s="198">
        <v>0</v>
      </c>
      <c r="H111" s="198">
        <v>0.75856622834587695</v>
      </c>
      <c r="I111" s="198">
        <v>0</v>
      </c>
      <c r="J111" s="198">
        <v>0</v>
      </c>
      <c r="K111" s="198">
        <v>0</v>
      </c>
      <c r="L111" s="198">
        <v>0</v>
      </c>
      <c r="M111" s="198">
        <v>0</v>
      </c>
      <c r="N111" s="198">
        <v>0</v>
      </c>
      <c r="O111" s="198">
        <v>0</v>
      </c>
      <c r="P111" s="198">
        <v>0</v>
      </c>
      <c r="Q111" s="198">
        <v>0.241433771654123</v>
      </c>
      <c r="R111" s="198">
        <v>0</v>
      </c>
      <c r="S111" s="198">
        <v>0</v>
      </c>
      <c r="T111" s="198">
        <f t="shared" si="2"/>
        <v>1</v>
      </c>
      <c r="U111" s="199"/>
      <c r="W111" s="164" t="s">
        <v>466</v>
      </c>
      <c r="X111" s="158" t="s">
        <v>497</v>
      </c>
      <c r="Y111" s="200">
        <f>'Mix éner %'!Y86</f>
        <v>0.03</v>
      </c>
      <c r="Z111" s="200">
        <f>'Mix éner %'!Z86</f>
        <v>0</v>
      </c>
      <c r="AA111" s="200">
        <f>'Mix éner %'!AA86</f>
        <v>0.01</v>
      </c>
      <c r="AB111" s="200">
        <f>'Mix éner %'!AB86</f>
        <v>0.20000000000000007</v>
      </c>
      <c r="AC111" s="200">
        <f>'Mix éner %'!AC86</f>
        <v>0.05</v>
      </c>
      <c r="AD111" s="200">
        <f>'Mix éner %'!AD86</f>
        <v>0</v>
      </c>
      <c r="AE111" s="200">
        <f>'Mix éner %'!AE86</f>
        <v>0</v>
      </c>
      <c r="AF111" s="200">
        <f>'Mix éner %'!AF86</f>
        <v>0</v>
      </c>
      <c r="AG111" s="200">
        <f>'Mix éner %'!AG86</f>
        <v>0</v>
      </c>
      <c r="AH111" s="200">
        <f>'Mix éner %'!AH86</f>
        <v>0</v>
      </c>
      <c r="AI111" s="200">
        <f>'Mix éner %'!AI86</f>
        <v>0.7</v>
      </c>
      <c r="AJ111" s="200">
        <f>'Mix éner %'!AJ86</f>
        <v>0</v>
      </c>
      <c r="AK111" s="200">
        <f>'Mix éner %'!AK86</f>
        <v>0.01</v>
      </c>
      <c r="AL111" s="200">
        <f>'Mix éner %'!AL86</f>
        <v>0</v>
      </c>
      <c r="AM111" s="200">
        <f>'Mix éner %'!AM86</f>
        <v>1</v>
      </c>
    </row>
    <row r="112" spans="3:39" x14ac:dyDescent="0.3">
      <c r="C112" s="175" t="s">
        <v>472</v>
      </c>
      <c r="D112" s="176" t="s">
        <v>497</v>
      </c>
      <c r="E112" s="198">
        <v>0</v>
      </c>
      <c r="F112" s="198">
        <v>0</v>
      </c>
      <c r="G112" s="198">
        <v>0</v>
      </c>
      <c r="H112" s="198">
        <v>0.05</v>
      </c>
      <c r="I112" s="198">
        <v>0</v>
      </c>
      <c r="J112" s="198">
        <v>0</v>
      </c>
      <c r="K112" s="198">
        <v>0.02</v>
      </c>
      <c r="L112" s="198">
        <v>0</v>
      </c>
      <c r="M112" s="198">
        <v>0</v>
      </c>
      <c r="N112" s="198">
        <v>0</v>
      </c>
      <c r="O112" s="198">
        <v>0</v>
      </c>
      <c r="P112" s="198">
        <v>0</v>
      </c>
      <c r="Q112" s="198">
        <v>0.67509256676624396</v>
      </c>
      <c r="R112" s="198">
        <v>0</v>
      </c>
      <c r="S112" s="198">
        <v>0.25490743323375598</v>
      </c>
      <c r="T112" s="198">
        <f t="shared" si="2"/>
        <v>1</v>
      </c>
      <c r="U112" s="199"/>
      <c r="W112" s="158" t="s">
        <v>468</v>
      </c>
      <c r="X112" s="158" t="s">
        <v>497</v>
      </c>
      <c r="Y112" s="200">
        <f>'Mix éner %'!Y90</f>
        <v>0</v>
      </c>
      <c r="Z112" s="200">
        <f>'Mix éner %'!Z90</f>
        <v>0</v>
      </c>
      <c r="AA112" s="200">
        <f>'Mix éner %'!AA90</f>
        <v>0</v>
      </c>
      <c r="AB112" s="200">
        <f>'Mix éner %'!AB90</f>
        <v>0.11</v>
      </c>
      <c r="AC112" s="200">
        <f>'Mix éner %'!AC90</f>
        <v>0</v>
      </c>
      <c r="AD112" s="200">
        <f>'Mix éner %'!AD90</f>
        <v>0</v>
      </c>
      <c r="AE112" s="200">
        <f>'Mix éner %'!AE90</f>
        <v>0</v>
      </c>
      <c r="AF112" s="200">
        <f>'Mix éner %'!AF90</f>
        <v>0</v>
      </c>
      <c r="AG112" s="200">
        <f>'Mix éner %'!AG90</f>
        <v>0</v>
      </c>
      <c r="AH112" s="200">
        <f>'Mix éner %'!AH90</f>
        <v>0</v>
      </c>
      <c r="AI112" s="200">
        <f>'Mix éner %'!AI90</f>
        <v>0.87</v>
      </c>
      <c r="AJ112" s="200">
        <f>'Mix éner %'!AJ90</f>
        <v>0</v>
      </c>
      <c r="AK112" s="200">
        <f>'Mix éner %'!AK90</f>
        <v>0</v>
      </c>
      <c r="AL112" s="200">
        <f>'Mix éner %'!AL90</f>
        <v>0.02</v>
      </c>
      <c r="AM112" s="200">
        <f>'Mix éner %'!AM90</f>
        <v>1</v>
      </c>
    </row>
    <row r="113" spans="3:39" x14ac:dyDescent="0.3">
      <c r="C113" s="634" t="s">
        <v>25</v>
      </c>
      <c r="D113" s="634"/>
      <c r="E113" s="202"/>
      <c r="F113" s="202"/>
      <c r="G113" s="202"/>
      <c r="H113" s="202"/>
      <c r="I113" s="202"/>
      <c r="J113" s="202"/>
      <c r="K113" s="202"/>
      <c r="L113" s="202"/>
      <c r="M113" s="202"/>
      <c r="N113" s="202"/>
      <c r="O113" s="202"/>
      <c r="P113" s="202"/>
      <c r="Q113" s="202"/>
      <c r="R113" s="202"/>
      <c r="S113" s="202"/>
      <c r="T113" s="202"/>
      <c r="U113" s="199"/>
      <c r="W113" s="158" t="s">
        <v>470</v>
      </c>
      <c r="X113" s="158" t="s">
        <v>497</v>
      </c>
      <c r="Y113" s="200">
        <f>'Mix éner %'!Y94</f>
        <v>0</v>
      </c>
      <c r="Z113" s="200">
        <f>'Mix éner %'!Z94</f>
        <v>0</v>
      </c>
      <c r="AA113" s="200">
        <f>'Mix éner %'!AA94</f>
        <v>0</v>
      </c>
      <c r="AB113" s="200">
        <f>'Mix éner %'!AB94</f>
        <v>0.2</v>
      </c>
      <c r="AC113" s="200">
        <f>'Mix éner %'!AC94</f>
        <v>0</v>
      </c>
      <c r="AD113" s="200">
        <f>'Mix éner %'!AD94</f>
        <v>0</v>
      </c>
      <c r="AE113" s="200">
        <f>'Mix éner %'!AE94</f>
        <v>0</v>
      </c>
      <c r="AF113" s="200">
        <f>'Mix éner %'!AF94</f>
        <v>0</v>
      </c>
      <c r="AG113" s="200">
        <f>'Mix éner %'!AG94</f>
        <v>0</v>
      </c>
      <c r="AH113" s="200">
        <f>'Mix éner %'!AH94</f>
        <v>0</v>
      </c>
      <c r="AI113" s="200">
        <f>'Mix éner %'!AI94</f>
        <v>0.8</v>
      </c>
      <c r="AJ113" s="200">
        <f>'Mix éner %'!AJ94</f>
        <v>0</v>
      </c>
      <c r="AK113" s="200">
        <f>'Mix éner %'!AK94</f>
        <v>0</v>
      </c>
      <c r="AL113" s="200">
        <f>'Mix éner %'!AL94</f>
        <v>0</v>
      </c>
      <c r="AM113" s="200">
        <f>'Mix éner %'!AM94</f>
        <v>1</v>
      </c>
    </row>
    <row r="114" spans="3:39" x14ac:dyDescent="0.3">
      <c r="C114" s="175" t="s">
        <v>474</v>
      </c>
      <c r="D114" s="176" t="s">
        <v>497</v>
      </c>
      <c r="E114" s="198">
        <v>0</v>
      </c>
      <c r="F114" s="198">
        <v>0</v>
      </c>
      <c r="G114" s="198">
        <v>0</v>
      </c>
      <c r="H114" s="198">
        <v>0.18437935446393</v>
      </c>
      <c r="I114" s="198">
        <v>0</v>
      </c>
      <c r="J114" s="198">
        <v>0</v>
      </c>
      <c r="K114" s="198">
        <v>0</v>
      </c>
      <c r="L114" s="198">
        <v>0</v>
      </c>
      <c r="M114" s="198">
        <v>0</v>
      </c>
      <c r="N114" s="198">
        <v>0</v>
      </c>
      <c r="O114" s="198">
        <v>0</v>
      </c>
      <c r="P114" s="198">
        <v>0</v>
      </c>
      <c r="Q114" s="198">
        <v>0.81562064553607005</v>
      </c>
      <c r="R114" s="198">
        <v>0</v>
      </c>
      <c r="S114" s="198">
        <v>0</v>
      </c>
      <c r="T114" s="198">
        <f>SUM(E114:S114)</f>
        <v>1</v>
      </c>
      <c r="U114" s="199"/>
      <c r="W114" s="158" t="s">
        <v>472</v>
      </c>
      <c r="X114" s="158" t="s">
        <v>497</v>
      </c>
      <c r="Y114" s="200">
        <f>'Mix éner %'!Y98</f>
        <v>0</v>
      </c>
      <c r="Z114" s="200">
        <f>'Mix éner %'!Z98</f>
        <v>0</v>
      </c>
      <c r="AA114" s="200">
        <f>'Mix éner %'!AA98</f>
        <v>0</v>
      </c>
      <c r="AB114" s="200">
        <f>'Mix éner %'!AB98</f>
        <v>0.08</v>
      </c>
      <c r="AC114" s="200">
        <f>'Mix éner %'!AC98</f>
        <v>0.05</v>
      </c>
      <c r="AD114" s="200">
        <f>'Mix éner %'!AD98</f>
        <v>0</v>
      </c>
      <c r="AE114" s="200">
        <f>'Mix éner %'!AE98</f>
        <v>0</v>
      </c>
      <c r="AF114" s="200">
        <f>'Mix éner %'!AF98</f>
        <v>0</v>
      </c>
      <c r="AG114" s="200">
        <f>'Mix éner %'!AG98</f>
        <v>0</v>
      </c>
      <c r="AH114" s="200">
        <f>'Mix éner %'!AH98</f>
        <v>0</v>
      </c>
      <c r="AI114" s="200">
        <f>'Mix éner %'!AI98</f>
        <v>0.79</v>
      </c>
      <c r="AJ114" s="200">
        <f>'Mix éner %'!AJ98</f>
        <v>0</v>
      </c>
      <c r="AK114" s="200">
        <f>'Mix éner %'!AK98</f>
        <v>0</v>
      </c>
      <c r="AL114" s="200">
        <f>'Mix éner %'!AL98</f>
        <v>0.08</v>
      </c>
      <c r="AM114" s="200">
        <f>'Mix éner %'!AM98</f>
        <v>1</v>
      </c>
    </row>
    <row r="115" spans="3:39" x14ac:dyDescent="0.3">
      <c r="C115" s="175" t="s">
        <v>475</v>
      </c>
      <c r="D115" s="176" t="s">
        <v>497</v>
      </c>
      <c r="E115" s="198">
        <v>0</v>
      </c>
      <c r="F115" s="198">
        <v>0</v>
      </c>
      <c r="G115" s="198">
        <v>0</v>
      </c>
      <c r="H115" s="198">
        <v>0.30017784015294602</v>
      </c>
      <c r="I115" s="198">
        <v>0</v>
      </c>
      <c r="J115" s="198">
        <v>0</v>
      </c>
      <c r="K115" s="198">
        <v>3.0411115934223999E-2</v>
      </c>
      <c r="L115" s="198">
        <v>0</v>
      </c>
      <c r="M115" s="198">
        <v>0</v>
      </c>
      <c r="N115" s="198">
        <v>0</v>
      </c>
      <c r="O115" s="198">
        <v>0</v>
      </c>
      <c r="P115" s="198">
        <v>0</v>
      </c>
      <c r="Q115" s="198">
        <v>0.491288793440946</v>
      </c>
      <c r="R115" s="198">
        <v>0.17812225047188401</v>
      </c>
      <c r="S115" s="198">
        <v>0</v>
      </c>
      <c r="T115" s="198">
        <f>SUM(E115:S115)</f>
        <v>1</v>
      </c>
      <c r="U115" s="199"/>
      <c r="W115" s="682" t="s">
        <v>25</v>
      </c>
      <c r="X115" s="682"/>
      <c r="Y115" s="688"/>
      <c r="Z115" s="688"/>
      <c r="AA115" s="688"/>
      <c r="AB115" s="688"/>
      <c r="AC115" s="688"/>
      <c r="AD115" s="688"/>
      <c r="AE115" s="688"/>
      <c r="AF115" s="688"/>
      <c r="AG115" s="688"/>
      <c r="AH115" s="688"/>
      <c r="AI115" s="688"/>
      <c r="AJ115" s="688"/>
      <c r="AK115" s="688"/>
      <c r="AL115" s="688"/>
      <c r="AM115" s="688"/>
    </row>
    <row r="116" spans="3:39" x14ac:dyDescent="0.3">
      <c r="C116" s="175" t="s">
        <v>478</v>
      </c>
      <c r="D116" s="176" t="s">
        <v>497</v>
      </c>
      <c r="E116" s="198">
        <v>0</v>
      </c>
      <c r="F116" s="198">
        <v>0</v>
      </c>
      <c r="G116" s="198">
        <v>0</v>
      </c>
      <c r="H116" s="198">
        <v>0.2</v>
      </c>
      <c r="I116" s="198">
        <v>0</v>
      </c>
      <c r="J116" s="198">
        <v>0</v>
      </c>
      <c r="K116" s="198">
        <v>0.01</v>
      </c>
      <c r="L116" s="198">
        <v>0</v>
      </c>
      <c r="M116" s="198">
        <v>0</v>
      </c>
      <c r="N116" s="198">
        <v>0</v>
      </c>
      <c r="O116" s="198">
        <v>0</v>
      </c>
      <c r="P116" s="198">
        <v>0</v>
      </c>
      <c r="Q116" s="198">
        <v>0.38453372443584799</v>
      </c>
      <c r="R116" s="198">
        <v>0.40546627556415199</v>
      </c>
      <c r="S116" s="198">
        <v>0</v>
      </c>
      <c r="T116" s="198">
        <f>SUM(E116:S116)</f>
        <v>1</v>
      </c>
      <c r="U116" s="199"/>
      <c r="W116" s="158" t="s">
        <v>474</v>
      </c>
      <c r="X116" s="158" t="s">
        <v>497</v>
      </c>
      <c r="Y116" s="200">
        <f>'Mix éner %'!Y103</f>
        <v>0</v>
      </c>
      <c r="Z116" s="200">
        <f>'Mix éner %'!Z103</f>
        <v>0</v>
      </c>
      <c r="AA116" s="200">
        <f>'Mix éner %'!AA103</f>
        <v>4.9999999999999992E-3</v>
      </c>
      <c r="AB116" s="200">
        <f>'Mix éner %'!AB103</f>
        <v>0.92999999999999994</v>
      </c>
      <c r="AC116" s="200">
        <f>'Mix éner %'!AC103</f>
        <v>4.9999999999999992E-3</v>
      </c>
      <c r="AD116" s="200">
        <f>'Mix éner %'!AD103</f>
        <v>0</v>
      </c>
      <c r="AE116" s="200">
        <f>'Mix éner %'!AE103</f>
        <v>0</v>
      </c>
      <c r="AF116" s="200">
        <f>'Mix éner %'!AF103</f>
        <v>0</v>
      </c>
      <c r="AG116" s="200">
        <f>'Mix éner %'!AG103</f>
        <v>0</v>
      </c>
      <c r="AH116" s="200">
        <f>'Mix éner %'!AH103</f>
        <v>0</v>
      </c>
      <c r="AI116" s="200">
        <f>'Mix éner %'!AI103</f>
        <v>0.06</v>
      </c>
      <c r="AJ116" s="200">
        <f>'Mix éner %'!AJ103</f>
        <v>0</v>
      </c>
      <c r="AK116" s="200">
        <f>'Mix éner %'!AK103</f>
        <v>0</v>
      </c>
      <c r="AL116" s="200">
        <f>'Mix éner %'!AL103</f>
        <v>0</v>
      </c>
      <c r="AM116" s="200">
        <f>'Mix éner %'!AM103</f>
        <v>1</v>
      </c>
    </row>
    <row r="117" spans="3:39" x14ac:dyDescent="0.3">
      <c r="C117" s="634" t="s">
        <v>479</v>
      </c>
      <c r="D117" s="634"/>
      <c r="E117" s="202"/>
      <c r="F117" s="202"/>
      <c r="G117" s="202"/>
      <c r="H117" s="202"/>
      <c r="I117" s="202"/>
      <c r="J117" s="202"/>
      <c r="K117" s="202"/>
      <c r="L117" s="202"/>
      <c r="M117" s="202"/>
      <c r="N117" s="202"/>
      <c r="O117" s="202"/>
      <c r="P117" s="202"/>
      <c r="Q117" s="202"/>
      <c r="R117" s="202"/>
      <c r="S117" s="202"/>
      <c r="T117" s="202"/>
      <c r="U117" s="199"/>
      <c r="W117" s="158" t="s">
        <v>475</v>
      </c>
      <c r="X117" s="158" t="s">
        <v>497</v>
      </c>
      <c r="Y117" s="200">
        <f>'Mix éner %'!Y107</f>
        <v>0</v>
      </c>
      <c r="Z117" s="200">
        <f>'Mix éner %'!Z107</f>
        <v>0</v>
      </c>
      <c r="AA117" s="200">
        <f>'Mix éner %'!AA107</f>
        <v>1.7000000000000001E-2</v>
      </c>
      <c r="AB117" s="200">
        <f>'Mix éner %'!AB107</f>
        <v>0.1</v>
      </c>
      <c r="AC117" s="200">
        <f>'Mix éner %'!AC107</f>
        <v>1.4999999999999999E-2</v>
      </c>
      <c r="AD117" s="200">
        <f>'Mix éner %'!AD107</f>
        <v>0</v>
      </c>
      <c r="AE117" s="200">
        <f>'Mix éner %'!AE107</f>
        <v>0</v>
      </c>
      <c r="AF117" s="200">
        <f>'Mix éner %'!AF107</f>
        <v>0</v>
      </c>
      <c r="AG117" s="200">
        <f>'Mix éner %'!AG107</f>
        <v>0</v>
      </c>
      <c r="AH117" s="200">
        <f>'Mix éner %'!AH107</f>
        <v>0</v>
      </c>
      <c r="AI117" s="200">
        <f>'Mix éner %'!AI107</f>
        <v>0.71799999999999997</v>
      </c>
      <c r="AJ117" s="200">
        <f>'Mix éner %'!AJ107</f>
        <v>0</v>
      </c>
      <c r="AK117" s="200">
        <f>'Mix éner %'!AK107</f>
        <v>0.15</v>
      </c>
      <c r="AL117" s="200">
        <f>'Mix éner %'!AL107</f>
        <v>0</v>
      </c>
      <c r="AM117" s="200">
        <f>'Mix éner %'!AM107</f>
        <v>1</v>
      </c>
    </row>
    <row r="118" spans="3:39" x14ac:dyDescent="0.3">
      <c r="C118" s="175" t="s">
        <v>480</v>
      </c>
      <c r="D118" s="176" t="s">
        <v>497</v>
      </c>
      <c r="E118" s="198">
        <v>0</v>
      </c>
      <c r="F118" s="198">
        <v>0</v>
      </c>
      <c r="G118" s="198">
        <v>0</v>
      </c>
      <c r="H118" s="198">
        <v>0.02</v>
      </c>
      <c r="I118" s="198">
        <v>0</v>
      </c>
      <c r="J118" s="198">
        <v>0</v>
      </c>
      <c r="K118" s="198">
        <v>0.77376433898308705</v>
      </c>
      <c r="L118" s="198">
        <v>0</v>
      </c>
      <c r="M118" s="198">
        <v>0</v>
      </c>
      <c r="N118" s="198">
        <v>0</v>
      </c>
      <c r="O118" s="198">
        <v>0</v>
      </c>
      <c r="P118" s="198">
        <v>0</v>
      </c>
      <c r="Q118" s="198">
        <v>0.2</v>
      </c>
      <c r="R118" s="198">
        <v>6.2356610169135799E-3</v>
      </c>
      <c r="S118" s="198">
        <v>0</v>
      </c>
      <c r="T118" s="198">
        <f>SUM(E118:S118)</f>
        <v>1.0000000000000007</v>
      </c>
      <c r="U118" s="199"/>
      <c r="W118" s="158" t="s">
        <v>478</v>
      </c>
      <c r="X118" s="158" t="s">
        <v>497</v>
      </c>
      <c r="Y118" s="200">
        <f>'Mix éner %'!Y111</f>
        <v>0</v>
      </c>
      <c r="Z118" s="200">
        <f>'Mix éner %'!Z111</f>
        <v>0</v>
      </c>
      <c r="AA118" s="200">
        <f>'Mix éner %'!AA111</f>
        <v>0</v>
      </c>
      <c r="AB118" s="200">
        <f>'Mix éner %'!AB111</f>
        <v>0.02</v>
      </c>
      <c r="AC118" s="200">
        <f>'Mix éner %'!AC111</f>
        <v>0.05</v>
      </c>
      <c r="AD118" s="200">
        <f>'Mix éner %'!AD111</f>
        <v>0</v>
      </c>
      <c r="AE118" s="200">
        <f>'Mix éner %'!AE111</f>
        <v>0</v>
      </c>
      <c r="AF118" s="200">
        <f>'Mix éner %'!AF111</f>
        <v>0</v>
      </c>
      <c r="AG118" s="200">
        <f>'Mix éner %'!AG111</f>
        <v>0.1</v>
      </c>
      <c r="AH118" s="200">
        <f>'Mix éner %'!AH111</f>
        <v>0.01</v>
      </c>
      <c r="AI118" s="200">
        <f>'Mix éner %'!AI111</f>
        <v>0.56999999999999995</v>
      </c>
      <c r="AJ118" s="200">
        <f>'Mix éner %'!AJ111</f>
        <v>0</v>
      </c>
      <c r="AK118" s="200">
        <f>'Mix éner %'!AK111</f>
        <v>0.25</v>
      </c>
      <c r="AL118" s="200">
        <f>'Mix éner %'!AL111</f>
        <v>0</v>
      </c>
      <c r="AM118" s="200">
        <f>'Mix éner %'!AM111</f>
        <v>1</v>
      </c>
    </row>
    <row r="119" spans="3:39" x14ac:dyDescent="0.3">
      <c r="C119" s="175" t="s">
        <v>481</v>
      </c>
      <c r="D119" s="176" t="s">
        <v>497</v>
      </c>
      <c r="E119" s="198">
        <v>0</v>
      </c>
      <c r="F119" s="198">
        <v>0</v>
      </c>
      <c r="G119" s="198">
        <v>0</v>
      </c>
      <c r="H119" s="198">
        <v>0.15407598863227701</v>
      </c>
      <c r="I119" s="198">
        <v>0</v>
      </c>
      <c r="J119" s="198">
        <v>0</v>
      </c>
      <c r="K119" s="198">
        <v>0</v>
      </c>
      <c r="L119" s="198">
        <v>0</v>
      </c>
      <c r="M119" s="198">
        <v>0</v>
      </c>
      <c r="N119" s="198">
        <v>0</v>
      </c>
      <c r="O119" s="198">
        <v>0</v>
      </c>
      <c r="P119" s="198">
        <v>0</v>
      </c>
      <c r="Q119" s="198">
        <v>0.84592401136772299</v>
      </c>
      <c r="R119" s="198">
        <v>0</v>
      </c>
      <c r="S119" s="198">
        <v>0</v>
      </c>
      <c r="T119" s="198">
        <f>SUM(E119:S119)</f>
        <v>1</v>
      </c>
      <c r="U119" s="199"/>
      <c r="W119" s="682" t="s">
        <v>479</v>
      </c>
      <c r="X119" s="682"/>
      <c r="Y119" s="688"/>
      <c r="Z119" s="688"/>
      <c r="AA119" s="688"/>
      <c r="AB119" s="688"/>
      <c r="AC119" s="688"/>
      <c r="AD119" s="688"/>
      <c r="AE119" s="688"/>
      <c r="AF119" s="688"/>
      <c r="AG119" s="688"/>
      <c r="AH119" s="688"/>
      <c r="AI119" s="688"/>
      <c r="AJ119" s="688"/>
      <c r="AK119" s="688"/>
      <c r="AL119" s="688"/>
      <c r="AM119" s="688"/>
    </row>
    <row r="120" spans="3:39" x14ac:dyDescent="0.3">
      <c r="C120" s="175" t="s">
        <v>482</v>
      </c>
      <c r="D120" s="176" t="s">
        <v>497</v>
      </c>
      <c r="E120" s="201">
        <v>0</v>
      </c>
      <c r="F120" s="201">
        <v>0</v>
      </c>
      <c r="G120" s="198">
        <v>0</v>
      </c>
      <c r="H120" s="198">
        <v>0.42</v>
      </c>
      <c r="I120" s="201">
        <v>0</v>
      </c>
      <c r="J120" s="201">
        <v>0</v>
      </c>
      <c r="K120" s="198">
        <v>1.9519577919500101E-2</v>
      </c>
      <c r="L120" s="201">
        <v>0</v>
      </c>
      <c r="M120" s="201">
        <v>0</v>
      </c>
      <c r="N120" s="201">
        <v>0</v>
      </c>
      <c r="O120" s="201">
        <v>0</v>
      </c>
      <c r="P120" s="201">
        <v>0</v>
      </c>
      <c r="Q120" s="198">
        <v>0.56048042208049997</v>
      </c>
      <c r="R120" s="201">
        <v>0</v>
      </c>
      <c r="S120" s="201">
        <v>0</v>
      </c>
      <c r="T120" s="198">
        <f>SUM(E120:S120)</f>
        <v>1</v>
      </c>
      <c r="U120" s="199"/>
      <c r="W120" s="158" t="s">
        <v>480</v>
      </c>
      <c r="X120" s="158" t="s">
        <v>497</v>
      </c>
      <c r="Y120" s="200">
        <f>'Mix éner %'!Y116</f>
        <v>0</v>
      </c>
      <c r="Z120" s="200">
        <f>'Mix éner %'!Z116</f>
        <v>0</v>
      </c>
      <c r="AA120" s="200">
        <f>'Mix éner %'!AA116</f>
        <v>7.0000000000000007E-2</v>
      </c>
      <c r="AB120" s="200">
        <f>'Mix éner %'!AB116</f>
        <v>0.01</v>
      </c>
      <c r="AC120" s="200">
        <f>'Mix éner %'!AC116</f>
        <v>0.28999999999999998</v>
      </c>
      <c r="AD120" s="200">
        <f>'Mix éner %'!AD116</f>
        <v>0.48</v>
      </c>
      <c r="AE120" s="200">
        <f>'Mix éner %'!AE116</f>
        <v>0</v>
      </c>
      <c r="AF120" s="200">
        <f>'Mix éner %'!AF116</f>
        <v>0</v>
      </c>
      <c r="AG120" s="200">
        <f>'Mix éner %'!AG116</f>
        <v>0</v>
      </c>
      <c r="AH120" s="200">
        <f>'Mix éner %'!AH116</f>
        <v>0</v>
      </c>
      <c r="AI120" s="200">
        <f>'Mix éner %'!AI116</f>
        <v>0.13</v>
      </c>
      <c r="AJ120" s="200">
        <f>'Mix éner %'!AJ116</f>
        <v>0</v>
      </c>
      <c r="AK120" s="200">
        <f>'Mix éner %'!AK116</f>
        <v>0.02</v>
      </c>
      <c r="AL120" s="200">
        <f>'Mix éner %'!AL116</f>
        <v>0</v>
      </c>
      <c r="AM120" s="200">
        <f>'Mix éner %'!AM116</f>
        <v>1</v>
      </c>
    </row>
    <row r="121" spans="3:39" x14ac:dyDescent="0.3">
      <c r="C121" s="634" t="s">
        <v>483</v>
      </c>
      <c r="D121" s="634"/>
      <c r="E121" s="202"/>
      <c r="F121" s="202"/>
      <c r="G121" s="202"/>
      <c r="H121" s="202"/>
      <c r="I121" s="202"/>
      <c r="J121" s="202"/>
      <c r="K121" s="202"/>
      <c r="L121" s="202"/>
      <c r="M121" s="202"/>
      <c r="N121" s="202"/>
      <c r="O121" s="202"/>
      <c r="P121" s="202"/>
      <c r="Q121" s="202"/>
      <c r="R121" s="202"/>
      <c r="S121" s="202"/>
      <c r="T121" s="202"/>
      <c r="U121" s="199"/>
      <c r="W121" s="158" t="s">
        <v>481</v>
      </c>
      <c r="X121" s="158" t="s">
        <v>497</v>
      </c>
      <c r="Y121" s="200">
        <f>'Mix éner %'!Y120</f>
        <v>0</v>
      </c>
      <c r="Z121" s="200">
        <f>'Mix éner %'!Z120</f>
        <v>0</v>
      </c>
      <c r="AA121" s="200">
        <f>'Mix éner %'!AA120</f>
        <v>0</v>
      </c>
      <c r="AB121" s="200">
        <f>'Mix éner %'!AB120</f>
        <v>0.2</v>
      </c>
      <c r="AC121" s="200">
        <f>'Mix éner %'!AC120</f>
        <v>0</v>
      </c>
      <c r="AD121" s="200">
        <f>'Mix éner %'!AD120</f>
        <v>0</v>
      </c>
      <c r="AE121" s="200">
        <f>'Mix éner %'!AE120</f>
        <v>0</v>
      </c>
      <c r="AF121" s="200">
        <f>'Mix éner %'!AF120</f>
        <v>0</v>
      </c>
      <c r="AG121" s="200">
        <f>'Mix éner %'!AG120</f>
        <v>0</v>
      </c>
      <c r="AH121" s="200">
        <f>'Mix éner %'!AH120</f>
        <v>0</v>
      </c>
      <c r="AI121" s="200">
        <f>'Mix éner %'!AI120</f>
        <v>0.65</v>
      </c>
      <c r="AJ121" s="200">
        <f>'Mix éner %'!AJ120</f>
        <v>0</v>
      </c>
      <c r="AK121" s="200">
        <f>'Mix éner %'!AK120</f>
        <v>0</v>
      </c>
      <c r="AL121" s="200">
        <f>'Mix éner %'!AL120</f>
        <v>0.15</v>
      </c>
      <c r="AM121" s="200">
        <f>'Mix éner %'!AM120</f>
        <v>1</v>
      </c>
    </row>
    <row r="122" spans="3:39" x14ac:dyDescent="0.3">
      <c r="C122" s="175" t="s">
        <v>484</v>
      </c>
      <c r="D122" s="176" t="s">
        <v>497</v>
      </c>
      <c r="E122" s="198">
        <v>0</v>
      </c>
      <c r="F122" s="198">
        <v>0</v>
      </c>
      <c r="G122" s="198">
        <v>0</v>
      </c>
      <c r="H122" s="198">
        <v>0.18338693975415299</v>
      </c>
      <c r="I122" s="198">
        <v>0</v>
      </c>
      <c r="J122" s="198">
        <v>0</v>
      </c>
      <c r="K122" s="198">
        <v>6.3286288026882603E-2</v>
      </c>
      <c r="L122" s="201">
        <v>0</v>
      </c>
      <c r="M122" s="201">
        <v>0</v>
      </c>
      <c r="N122" s="201">
        <v>0</v>
      </c>
      <c r="O122" s="201">
        <v>0</v>
      </c>
      <c r="P122" s="201">
        <v>0</v>
      </c>
      <c r="Q122" s="198">
        <v>0.75332677221896405</v>
      </c>
      <c r="R122" s="198">
        <v>0</v>
      </c>
      <c r="S122" s="198">
        <v>0</v>
      </c>
      <c r="T122" s="198">
        <f>SUM(E122:S122)</f>
        <v>0.99999999999999967</v>
      </c>
      <c r="U122" s="199"/>
      <c r="W122" s="158" t="s">
        <v>482</v>
      </c>
      <c r="X122" s="158" t="s">
        <v>497</v>
      </c>
      <c r="Y122" s="200">
        <f>'Mix éner %'!Y124</f>
        <v>0</v>
      </c>
      <c r="Z122" s="200">
        <f>'Mix éner %'!Z124</f>
        <v>0</v>
      </c>
      <c r="AA122" s="200">
        <f>'Mix éner %'!AA124</f>
        <v>0</v>
      </c>
      <c r="AB122" s="200">
        <f>'Mix éner %'!AB124</f>
        <v>0.38951957791949998</v>
      </c>
      <c r="AC122" s="200">
        <f>'Mix éner %'!AC124</f>
        <v>0.05</v>
      </c>
      <c r="AD122" s="200">
        <f>'Mix éner %'!AD124</f>
        <v>0</v>
      </c>
      <c r="AE122" s="200">
        <f>'Mix éner %'!AE124</f>
        <v>0</v>
      </c>
      <c r="AF122" s="200">
        <f>'Mix éner %'!AF124</f>
        <v>0</v>
      </c>
      <c r="AG122" s="200">
        <f>'Mix éner %'!AG124</f>
        <v>0</v>
      </c>
      <c r="AH122" s="200">
        <f>'Mix éner %'!AH124</f>
        <v>0</v>
      </c>
      <c r="AI122" s="200">
        <f>'Mix éner %'!AI124</f>
        <v>0.56048042208049997</v>
      </c>
      <c r="AJ122" s="200">
        <f>'Mix éner %'!AJ124</f>
        <v>0</v>
      </c>
      <c r="AK122" s="200">
        <f>'Mix éner %'!AK124</f>
        <v>0</v>
      </c>
      <c r="AL122" s="200">
        <f>'Mix éner %'!AL124</f>
        <v>0</v>
      </c>
      <c r="AM122" s="200">
        <f>'Mix éner %'!AM124</f>
        <v>1</v>
      </c>
    </row>
    <row r="123" spans="3:39" x14ac:dyDescent="0.3">
      <c r="C123" s="175" t="s">
        <v>485</v>
      </c>
      <c r="D123" s="176" t="s">
        <v>497</v>
      </c>
      <c r="E123" s="201">
        <v>0</v>
      </c>
      <c r="F123" s="201">
        <v>0</v>
      </c>
      <c r="G123" s="201">
        <v>0</v>
      </c>
      <c r="H123" s="198">
        <v>0.244406489242222</v>
      </c>
      <c r="I123" s="201">
        <v>0</v>
      </c>
      <c r="J123" s="201">
        <v>0</v>
      </c>
      <c r="K123" s="198">
        <v>7.3557005701464298E-2</v>
      </c>
      <c r="L123" s="201">
        <v>0</v>
      </c>
      <c r="M123" s="201">
        <v>0</v>
      </c>
      <c r="N123" s="201">
        <v>0</v>
      </c>
      <c r="O123" s="201">
        <v>0</v>
      </c>
      <c r="P123" s="201">
        <v>0</v>
      </c>
      <c r="Q123" s="198">
        <v>0.60232587444257901</v>
      </c>
      <c r="R123" s="198">
        <v>7.9710630613734401E-2</v>
      </c>
      <c r="S123" s="201">
        <v>0</v>
      </c>
      <c r="T123" s="198">
        <f>SUM(E123:S123)</f>
        <v>0.99999999999999967</v>
      </c>
      <c r="U123" s="199"/>
      <c r="W123" s="682" t="s">
        <v>483</v>
      </c>
      <c r="X123" s="682"/>
      <c r="Y123" s="688"/>
      <c r="Z123" s="688"/>
      <c r="AA123" s="688"/>
      <c r="AB123" s="688"/>
      <c r="AC123" s="688"/>
      <c r="AD123" s="688"/>
      <c r="AE123" s="688"/>
      <c r="AF123" s="688"/>
      <c r="AG123" s="688"/>
      <c r="AH123" s="688"/>
      <c r="AI123" s="688"/>
      <c r="AJ123" s="688"/>
      <c r="AK123" s="688"/>
      <c r="AL123" s="688"/>
      <c r="AM123" s="688"/>
    </row>
    <row r="124" spans="3:39" x14ac:dyDescent="0.3">
      <c r="C124" s="634" t="s">
        <v>486</v>
      </c>
      <c r="D124" s="634"/>
      <c r="E124" s="198">
        <v>0</v>
      </c>
      <c r="F124" s="198">
        <v>0</v>
      </c>
      <c r="G124" s="198">
        <v>0</v>
      </c>
      <c r="H124" s="198">
        <v>0.20003824417180099</v>
      </c>
      <c r="I124" s="198">
        <v>0</v>
      </c>
      <c r="J124" s="198">
        <v>0</v>
      </c>
      <c r="K124" s="198">
        <v>0</v>
      </c>
      <c r="L124" s="198">
        <v>0</v>
      </c>
      <c r="M124" s="198">
        <v>0</v>
      </c>
      <c r="N124" s="198">
        <v>0</v>
      </c>
      <c r="O124" s="198">
        <v>0</v>
      </c>
      <c r="P124" s="198">
        <v>0</v>
      </c>
      <c r="Q124" s="198">
        <v>0.79581058384167702</v>
      </c>
      <c r="R124" s="198">
        <v>0</v>
      </c>
      <c r="S124" s="198">
        <v>0</v>
      </c>
      <c r="T124" s="198">
        <f>SUM(E124:S124)</f>
        <v>0.99584882801347807</v>
      </c>
      <c r="U124" s="199"/>
      <c r="W124" s="158" t="s">
        <v>484</v>
      </c>
      <c r="X124" s="158" t="s">
        <v>497</v>
      </c>
      <c r="Y124" s="200">
        <f>'Mix éner %'!Y129</f>
        <v>0</v>
      </c>
      <c r="Z124" s="200">
        <f>'Mix éner %'!Z129</f>
        <v>0</v>
      </c>
      <c r="AA124" s="200">
        <f>'Mix éner %'!AA129</f>
        <v>0</v>
      </c>
      <c r="AB124" s="200">
        <f>'Mix éner %'!AB129</f>
        <v>0.28999999999999998</v>
      </c>
      <c r="AC124" s="200">
        <f>'Mix éner %'!AC129</f>
        <v>0.4</v>
      </c>
      <c r="AD124" s="200">
        <f>'Mix éner %'!AD129</f>
        <v>0</v>
      </c>
      <c r="AE124" s="200">
        <f>'Mix éner %'!AE129</f>
        <v>0</v>
      </c>
      <c r="AF124" s="200">
        <f>'Mix éner %'!AF129</f>
        <v>0</v>
      </c>
      <c r="AG124" s="200">
        <f>'Mix éner %'!AG129</f>
        <v>0</v>
      </c>
      <c r="AH124" s="200">
        <f>'Mix éner %'!AH129</f>
        <v>0</v>
      </c>
      <c r="AI124" s="200">
        <f>'Mix éner %'!AI129</f>
        <v>0.31</v>
      </c>
      <c r="AJ124" s="200">
        <f>'Mix éner %'!AJ129</f>
        <v>0</v>
      </c>
      <c r="AK124" s="200">
        <f>'Mix éner %'!AK129</f>
        <v>0</v>
      </c>
      <c r="AL124" s="200">
        <f>'Mix éner %'!AL129</f>
        <v>0</v>
      </c>
      <c r="AM124" s="200">
        <f>'Mix éner %'!AM129</f>
        <v>1</v>
      </c>
    </row>
    <row r="125" spans="3:39" x14ac:dyDescent="0.3">
      <c r="C125" s="635" t="s">
        <v>31</v>
      </c>
      <c r="D125" s="635"/>
      <c r="E125" s="198">
        <v>0</v>
      </c>
      <c r="F125" s="198">
        <v>0</v>
      </c>
      <c r="G125" s="198">
        <v>0.53376104990830098</v>
      </c>
      <c r="H125" s="198">
        <v>0.11</v>
      </c>
      <c r="I125" s="198">
        <v>0</v>
      </c>
      <c r="J125" s="198">
        <v>0</v>
      </c>
      <c r="K125" s="198">
        <v>3.74265186152841E-2</v>
      </c>
      <c r="L125" s="198">
        <v>8.6676572560673598E-2</v>
      </c>
      <c r="M125" s="198">
        <v>0</v>
      </c>
      <c r="N125" s="198">
        <v>0</v>
      </c>
      <c r="O125" s="198">
        <v>0</v>
      </c>
      <c r="P125" s="198">
        <v>0</v>
      </c>
      <c r="Q125" s="198">
        <v>0.23213585891574101</v>
      </c>
      <c r="R125" s="198">
        <v>0</v>
      </c>
      <c r="S125" s="198">
        <v>0</v>
      </c>
      <c r="T125" s="198">
        <f>SUM(E125:S125)</f>
        <v>0.99999999999999978</v>
      </c>
      <c r="U125" s="199"/>
      <c r="W125" s="158" t="s">
        <v>485</v>
      </c>
      <c r="X125" s="158" t="s">
        <v>497</v>
      </c>
      <c r="Y125" s="200">
        <f>'Mix éner %'!Y133</f>
        <v>0</v>
      </c>
      <c r="Z125" s="200">
        <f>'Mix éner %'!Z133</f>
        <v>0</v>
      </c>
      <c r="AA125" s="200">
        <f>'Mix éner %'!AA133</f>
        <v>0</v>
      </c>
      <c r="AB125" s="200">
        <f>'Mix éner %'!AB133</f>
        <v>7.8832363684801288E-2</v>
      </c>
      <c r="AC125" s="200">
        <f>'Mix éner %'!AC133</f>
        <v>0.15</v>
      </c>
      <c r="AD125" s="200">
        <f>'Mix éner %'!AD133</f>
        <v>0</v>
      </c>
      <c r="AE125" s="200">
        <f>'Mix éner %'!AE133</f>
        <v>0</v>
      </c>
      <c r="AF125" s="200">
        <f>'Mix éner %'!AF133</f>
        <v>0</v>
      </c>
      <c r="AG125" s="200">
        <f>'Mix éner %'!AG133</f>
        <v>0.1</v>
      </c>
      <c r="AH125" s="200">
        <f>'Mix éner %'!AH133</f>
        <v>0</v>
      </c>
      <c r="AI125" s="200">
        <f>'Mix éner %'!AI133</f>
        <v>0.50600000000000001</v>
      </c>
      <c r="AJ125" s="200">
        <f>'Mix éner %'!AJ133</f>
        <v>8.5000000000000006E-2</v>
      </c>
      <c r="AK125" s="200">
        <f>'Mix éner %'!AK133</f>
        <v>7.9710630613734401E-2</v>
      </c>
      <c r="AL125" s="200">
        <f>'Mix éner %'!AL133</f>
        <v>0</v>
      </c>
      <c r="AM125" s="200">
        <f>'Mix éner %'!AM133</f>
        <v>0.99954299429853566</v>
      </c>
    </row>
    <row r="126" spans="3:39" x14ac:dyDescent="0.3">
      <c r="C126" s="634" t="s">
        <v>487</v>
      </c>
      <c r="D126" s="634"/>
      <c r="E126" s="202"/>
      <c r="F126" s="202"/>
      <c r="G126" s="202"/>
      <c r="H126" s="202"/>
      <c r="I126" s="202"/>
      <c r="J126" s="202"/>
      <c r="K126" s="202"/>
      <c r="L126" s="202"/>
      <c r="M126" s="202"/>
      <c r="N126" s="202"/>
      <c r="O126" s="202"/>
      <c r="P126" s="202"/>
      <c r="Q126" s="202"/>
      <c r="R126" s="202"/>
      <c r="S126" s="202"/>
      <c r="T126" s="202"/>
      <c r="U126" s="199"/>
      <c r="W126" s="682" t="s">
        <v>486</v>
      </c>
      <c r="X126" s="682"/>
      <c r="Y126" s="203">
        <f>'Mix éner %'!Y137</f>
        <v>0</v>
      </c>
      <c r="Z126" s="203">
        <f>'Mix éner %'!Z137</f>
        <v>0</v>
      </c>
      <c r="AA126" s="203">
        <f>'Mix éner %'!AA137</f>
        <v>0</v>
      </c>
      <c r="AB126" s="203">
        <f>'Mix éner %'!AB137</f>
        <v>0.13918941615832292</v>
      </c>
      <c r="AC126" s="203">
        <f>'Mix éner %'!AC137</f>
        <v>0</v>
      </c>
      <c r="AD126" s="203">
        <f>'Mix éner %'!AD137</f>
        <v>0</v>
      </c>
      <c r="AE126" s="203">
        <f>'Mix éner %'!AE137</f>
        <v>0</v>
      </c>
      <c r="AF126" s="203">
        <f>'Mix éner %'!AF137</f>
        <v>0</v>
      </c>
      <c r="AG126" s="203">
        <f>'Mix éner %'!AG137</f>
        <v>0.09</v>
      </c>
      <c r="AH126" s="203">
        <f>'Mix éner %'!AH137</f>
        <v>0</v>
      </c>
      <c r="AI126" s="203">
        <f>'Mix éner %'!AI137</f>
        <v>0.70581058384167705</v>
      </c>
      <c r="AJ126" s="203">
        <f>'Mix éner %'!AJ137</f>
        <v>4.4999999999999998E-2</v>
      </c>
      <c r="AK126" s="203">
        <f>'Mix éner %'!AK137</f>
        <v>0.02</v>
      </c>
      <c r="AL126" s="203">
        <f>'Mix éner %'!AL137</f>
        <v>0</v>
      </c>
      <c r="AM126" s="203">
        <f>'Mix éner %'!AM137</f>
        <v>1</v>
      </c>
    </row>
    <row r="127" spans="3:39" x14ac:dyDescent="0.3">
      <c r="C127" s="175" t="s">
        <v>488</v>
      </c>
      <c r="D127" s="176" t="s">
        <v>497</v>
      </c>
      <c r="E127" s="198">
        <v>0</v>
      </c>
      <c r="F127" s="198">
        <v>0</v>
      </c>
      <c r="G127" s="198">
        <v>0</v>
      </c>
      <c r="H127" s="198">
        <v>0.175292644587171</v>
      </c>
      <c r="I127" s="198">
        <v>0</v>
      </c>
      <c r="J127" s="198">
        <v>0</v>
      </c>
      <c r="K127" s="198">
        <v>0.18850442553567701</v>
      </c>
      <c r="L127" s="198">
        <v>0</v>
      </c>
      <c r="M127" s="198">
        <v>0</v>
      </c>
      <c r="N127" s="198">
        <v>0</v>
      </c>
      <c r="O127" s="198">
        <v>0</v>
      </c>
      <c r="P127" s="198">
        <v>0</v>
      </c>
      <c r="Q127" s="198">
        <v>0.48620292987715202</v>
      </c>
      <c r="R127" s="198">
        <v>0.15</v>
      </c>
      <c r="S127" s="198">
        <v>0</v>
      </c>
      <c r="T127" s="198">
        <f>SUM(E127:S127)</f>
        <v>1</v>
      </c>
      <c r="U127" s="199"/>
      <c r="W127" s="682" t="s">
        <v>31</v>
      </c>
      <c r="X127" s="682"/>
      <c r="Y127" s="203">
        <f>'Mix éner %'!Y141</f>
        <v>0</v>
      </c>
      <c r="Z127" s="203">
        <f>'Mix éner %'!Z141</f>
        <v>0</v>
      </c>
      <c r="AA127" s="203">
        <f>'Mix éner %'!AA141</f>
        <v>0.1</v>
      </c>
      <c r="AB127" s="203">
        <f>'Mix éner %'!AB141</f>
        <v>0.11</v>
      </c>
      <c r="AC127" s="203">
        <f>'Mix éner %'!AC141</f>
        <v>3.74265186152841E-2</v>
      </c>
      <c r="AD127" s="203">
        <f>'Mix éner %'!AD141</f>
        <v>8.6676572560673598E-2</v>
      </c>
      <c r="AE127" s="203">
        <f>'Mix éner %'!AE141</f>
        <v>0</v>
      </c>
      <c r="AF127" s="203">
        <f>'Mix éner %'!AF141</f>
        <v>0</v>
      </c>
      <c r="AG127" s="203">
        <f>'Mix éner %'!AG141</f>
        <v>0</v>
      </c>
      <c r="AH127" s="203">
        <f>'Mix éner %'!AH141</f>
        <v>0</v>
      </c>
      <c r="AI127" s="203">
        <f>'Mix éner %'!AI141</f>
        <v>0.59599999999999997</v>
      </c>
      <c r="AJ127" s="203">
        <f>'Mix éner %'!AJ141</f>
        <v>0</v>
      </c>
      <c r="AK127" s="203">
        <f>'Mix éner %'!AK141</f>
        <v>0</v>
      </c>
      <c r="AL127" s="203">
        <f>'Mix éner %'!AL141</f>
        <v>7.0000000000000007E-2</v>
      </c>
      <c r="AM127" s="203">
        <f>'Mix éner %'!AM141</f>
        <v>1.0001030911759576</v>
      </c>
    </row>
    <row r="128" spans="3:39" x14ac:dyDescent="0.3">
      <c r="C128" s="175" t="s">
        <v>489</v>
      </c>
      <c r="D128" s="176" t="s">
        <v>497</v>
      </c>
      <c r="E128" s="198">
        <v>0</v>
      </c>
      <c r="F128" s="198">
        <v>0</v>
      </c>
      <c r="G128" s="198">
        <v>0</v>
      </c>
      <c r="H128" s="198">
        <v>0.28459406562273099</v>
      </c>
      <c r="I128" s="198">
        <v>0</v>
      </c>
      <c r="J128" s="198">
        <v>0</v>
      </c>
      <c r="K128" s="198">
        <v>0.02</v>
      </c>
      <c r="L128" s="198">
        <v>0</v>
      </c>
      <c r="M128" s="198">
        <v>0</v>
      </c>
      <c r="N128" s="198">
        <v>0</v>
      </c>
      <c r="O128" s="198">
        <v>0</v>
      </c>
      <c r="P128" s="198">
        <v>0</v>
      </c>
      <c r="Q128" s="198">
        <v>0.66925741556336904</v>
      </c>
      <c r="R128" s="198">
        <v>2.6148518813899999E-2</v>
      </c>
      <c r="S128" s="198">
        <v>0</v>
      </c>
      <c r="T128" s="198">
        <f>SUM(E128:S128)</f>
        <v>1</v>
      </c>
      <c r="U128" s="199"/>
      <c r="W128" s="682" t="s">
        <v>487</v>
      </c>
      <c r="X128" s="682"/>
      <c r="Y128" s="688"/>
      <c r="Z128" s="688"/>
      <c r="AA128" s="688"/>
      <c r="AB128" s="688"/>
      <c r="AC128" s="688"/>
      <c r="AD128" s="688"/>
      <c r="AE128" s="688"/>
      <c r="AF128" s="688"/>
      <c r="AG128" s="688"/>
      <c r="AH128" s="688"/>
      <c r="AI128" s="688"/>
      <c r="AJ128" s="688"/>
      <c r="AK128" s="688"/>
      <c r="AL128" s="688"/>
      <c r="AM128" s="688"/>
    </row>
    <row r="129" spans="3:40" x14ac:dyDescent="0.3">
      <c r="W129" s="158" t="s">
        <v>488</v>
      </c>
      <c r="X129" s="158" t="s">
        <v>497</v>
      </c>
      <c r="Y129" s="200">
        <f>'Mix éner %'!Y146</f>
        <v>0</v>
      </c>
      <c r="Z129" s="200">
        <f>'Mix éner %'!Z146</f>
        <v>0</v>
      </c>
      <c r="AA129" s="200">
        <f>'Mix éner %'!AA146</f>
        <v>0</v>
      </c>
      <c r="AB129" s="200">
        <f>'Mix éner %'!AB146</f>
        <v>4.0000000000000036E-2</v>
      </c>
      <c r="AC129" s="200">
        <f>'Mix éner %'!AC146</f>
        <v>0.24</v>
      </c>
      <c r="AD129" s="200">
        <f>'Mix éner %'!AD146</f>
        <v>0</v>
      </c>
      <c r="AE129" s="200">
        <f>'Mix éner %'!AE146</f>
        <v>0</v>
      </c>
      <c r="AF129" s="200">
        <f>'Mix éner %'!AF146</f>
        <v>0</v>
      </c>
      <c r="AG129" s="200">
        <f>'Mix éner %'!AG146</f>
        <v>0.18</v>
      </c>
      <c r="AH129" s="200">
        <f>'Mix éner %'!AH146</f>
        <v>0</v>
      </c>
      <c r="AI129" s="200">
        <f>'Mix éner %'!AI146</f>
        <v>0.25</v>
      </c>
      <c r="AJ129" s="200">
        <f>'Mix éner %'!AJ146</f>
        <v>0.09</v>
      </c>
      <c r="AK129" s="200">
        <f>'Mix éner %'!AK146</f>
        <v>0.2</v>
      </c>
      <c r="AL129" s="200">
        <f>'Mix éner %'!AL146</f>
        <v>0</v>
      </c>
      <c r="AM129" s="200">
        <f>'Mix éner %'!AM146</f>
        <v>1</v>
      </c>
    </row>
    <row r="130" spans="3:40" x14ac:dyDescent="0.3">
      <c r="W130" s="158" t="s">
        <v>489</v>
      </c>
      <c r="X130" s="158" t="s">
        <v>497</v>
      </c>
      <c r="Y130" s="200">
        <f>'Mix éner %'!Y150</f>
        <v>0</v>
      </c>
      <c r="Z130" s="200">
        <f>'Mix éner %'!Z150</f>
        <v>0</v>
      </c>
      <c r="AA130" s="200">
        <f>'Mix éner %'!AA150</f>
        <v>0</v>
      </c>
      <c r="AB130" s="200">
        <f>'Mix éner %'!AB150</f>
        <v>8.3851481186099974E-2</v>
      </c>
      <c r="AC130" s="200">
        <f>'Mix éner %'!AC150</f>
        <v>0.02</v>
      </c>
      <c r="AD130" s="200">
        <f>'Mix éner %'!AD150</f>
        <v>0</v>
      </c>
      <c r="AE130" s="200">
        <f>'Mix éner %'!AE150</f>
        <v>0</v>
      </c>
      <c r="AF130" s="200">
        <f>'Mix éner %'!AF150</f>
        <v>0</v>
      </c>
      <c r="AG130" s="200">
        <f>'Mix éner %'!AG150</f>
        <v>0.22</v>
      </c>
      <c r="AH130" s="200">
        <f>'Mix éner %'!AH150</f>
        <v>0</v>
      </c>
      <c r="AI130" s="200">
        <f>'Mix éner %'!AI150</f>
        <v>0.54</v>
      </c>
      <c r="AJ130" s="200">
        <f>'Mix éner %'!AJ150</f>
        <v>0.11</v>
      </c>
      <c r="AK130" s="200">
        <f>'Mix éner %'!AK150</f>
        <v>2.6148518813899999E-2</v>
      </c>
      <c r="AL130" s="200">
        <f>'Mix éner %'!AL150</f>
        <v>0</v>
      </c>
      <c r="AM130" s="200">
        <f>'Mix éner %'!AM150</f>
        <v>1</v>
      </c>
    </row>
    <row r="137" spans="3:40" x14ac:dyDescent="0.3">
      <c r="C137" s="678" t="s">
        <v>3</v>
      </c>
      <c r="D137" s="678"/>
      <c r="E137" s="678"/>
      <c r="F137" s="678"/>
      <c r="G137" s="678"/>
      <c r="H137" s="678"/>
      <c r="I137" s="678"/>
      <c r="J137" s="678"/>
      <c r="K137" s="678"/>
      <c r="L137" s="678"/>
      <c r="M137" s="678"/>
      <c r="N137" s="678"/>
      <c r="O137" s="678"/>
      <c r="P137" s="678"/>
      <c r="Q137" s="678"/>
      <c r="R137" s="678"/>
      <c r="S137" s="678"/>
      <c r="T137" s="678"/>
      <c r="U137" s="678"/>
      <c r="V137" s="678"/>
      <c r="W137" s="678"/>
      <c r="X137" s="678"/>
      <c r="Y137" s="678"/>
      <c r="Z137" s="678"/>
      <c r="AA137" s="678"/>
      <c r="AB137" s="678"/>
      <c r="AC137" s="678"/>
      <c r="AD137" s="678"/>
      <c r="AE137" s="678"/>
      <c r="AF137" s="678"/>
      <c r="AG137" s="678"/>
      <c r="AH137" s="678"/>
      <c r="AI137" s="678"/>
      <c r="AJ137" s="678"/>
      <c r="AK137" s="678"/>
      <c r="AL137" s="678"/>
      <c r="AM137" s="678"/>
      <c r="AN137" s="678"/>
    </row>
    <row r="139" spans="3:40" x14ac:dyDescent="0.3">
      <c r="C139" s="151" t="s">
        <v>435</v>
      </c>
      <c r="V139" s="151" t="s">
        <v>436</v>
      </c>
      <c r="W139" s="151"/>
      <c r="X139" s="151"/>
      <c r="Y139" s="151"/>
      <c r="Z139" s="151"/>
      <c r="AA139" s="151"/>
      <c r="AB139" s="151"/>
      <c r="AC139" s="151"/>
      <c r="AD139" s="151"/>
      <c r="AE139" s="151"/>
      <c r="AF139" s="151"/>
      <c r="AG139" s="151"/>
      <c r="AH139" s="151"/>
      <c r="AI139" s="151"/>
      <c r="AJ139" s="151"/>
      <c r="AK139" s="151"/>
      <c r="AL139" s="151"/>
      <c r="AM139" s="151"/>
    </row>
    <row r="141" spans="3:40" x14ac:dyDescent="0.3">
      <c r="C141" s="685" t="s">
        <v>540</v>
      </c>
      <c r="D141" s="685"/>
      <c r="E141" s="685"/>
      <c r="F141" s="685"/>
      <c r="G141" s="685"/>
      <c r="H141" s="685"/>
      <c r="I141" s="685"/>
      <c r="J141" s="685"/>
      <c r="K141" s="685"/>
      <c r="L141" s="685"/>
      <c r="M141" s="685"/>
      <c r="N141" s="685"/>
      <c r="O141" s="685"/>
      <c r="P141" s="685"/>
      <c r="Q141" s="685"/>
      <c r="R141" s="685"/>
      <c r="S141" s="685"/>
      <c r="T141" s="685"/>
      <c r="U141" s="195"/>
    </row>
    <row r="142" spans="3:40" ht="14.7" customHeight="1" x14ac:dyDescent="0.3">
      <c r="C142" s="686" t="s">
        <v>494</v>
      </c>
      <c r="D142" s="686"/>
      <c r="E142" s="687" t="s">
        <v>438</v>
      </c>
      <c r="F142" s="687" t="s">
        <v>439</v>
      </c>
      <c r="G142" s="687" t="s">
        <v>440</v>
      </c>
      <c r="H142" s="687" t="s">
        <v>441</v>
      </c>
      <c r="I142" s="687" t="s">
        <v>536</v>
      </c>
      <c r="J142" s="687" t="s">
        <v>537</v>
      </c>
      <c r="K142" s="687" t="s">
        <v>442</v>
      </c>
      <c r="L142" s="687"/>
      <c r="M142" s="687"/>
      <c r="N142" s="687"/>
      <c r="O142" s="687"/>
      <c r="P142" s="687"/>
      <c r="Q142" s="687" t="s">
        <v>445</v>
      </c>
      <c r="R142" s="687" t="s">
        <v>446</v>
      </c>
      <c r="S142" s="687" t="s">
        <v>447</v>
      </c>
      <c r="T142" s="687" t="s">
        <v>52</v>
      </c>
      <c r="U142" s="196"/>
      <c r="W142" s="680">
        <v>2025</v>
      </c>
      <c r="X142" s="680"/>
      <c r="Y142" s="680"/>
      <c r="Z142" s="680"/>
      <c r="AA142" s="680"/>
      <c r="AB142" s="680"/>
      <c r="AC142" s="680"/>
      <c r="AD142" s="680"/>
      <c r="AE142" s="680"/>
      <c r="AF142" s="680"/>
      <c r="AG142" s="680"/>
      <c r="AH142" s="680"/>
      <c r="AI142" s="680"/>
      <c r="AJ142" s="680"/>
      <c r="AK142" s="680"/>
      <c r="AL142" s="680"/>
      <c r="AM142" s="680"/>
    </row>
    <row r="143" spans="3:40" ht="70.5" customHeight="1" x14ac:dyDescent="0.3">
      <c r="C143" s="634" t="s">
        <v>24</v>
      </c>
      <c r="D143" s="634"/>
      <c r="E143" s="687"/>
      <c r="F143" s="687"/>
      <c r="G143" s="687"/>
      <c r="H143" s="687"/>
      <c r="I143" s="687"/>
      <c r="J143" s="687"/>
      <c r="K143" s="168" t="s">
        <v>450</v>
      </c>
      <c r="L143" s="168" t="s">
        <v>451</v>
      </c>
      <c r="M143" s="168" t="s">
        <v>452</v>
      </c>
      <c r="N143" s="168" t="s">
        <v>453</v>
      </c>
      <c r="O143" s="168" t="s">
        <v>443</v>
      </c>
      <c r="P143" s="168" t="s">
        <v>444</v>
      </c>
      <c r="Q143" s="687"/>
      <c r="R143" s="687"/>
      <c r="S143" s="687" t="s">
        <v>447</v>
      </c>
      <c r="T143" s="687"/>
      <c r="U143" s="196"/>
      <c r="W143" s="681" t="s">
        <v>538</v>
      </c>
      <c r="X143" s="681"/>
      <c r="Y143" s="677" t="s">
        <v>438</v>
      </c>
      <c r="Z143" s="152"/>
      <c r="AA143" s="677" t="s">
        <v>440</v>
      </c>
      <c r="AB143" s="677" t="s">
        <v>441</v>
      </c>
      <c r="AC143" s="677" t="s">
        <v>442</v>
      </c>
      <c r="AD143" s="677"/>
      <c r="AE143" s="677"/>
      <c r="AF143" s="677"/>
      <c r="AG143" s="677" t="s">
        <v>443</v>
      </c>
      <c r="AH143" s="677" t="s">
        <v>444</v>
      </c>
      <c r="AI143" s="677" t="s">
        <v>445</v>
      </c>
      <c r="AJ143" s="154"/>
      <c r="AK143" s="677" t="s">
        <v>446</v>
      </c>
      <c r="AL143" s="153" t="s">
        <v>447</v>
      </c>
      <c r="AM143" s="677" t="s">
        <v>52</v>
      </c>
    </row>
    <row r="144" spans="3:40" ht="43.2" x14ac:dyDescent="0.3">
      <c r="C144" s="175" t="s">
        <v>460</v>
      </c>
      <c r="D144" s="176" t="s">
        <v>497</v>
      </c>
      <c r="E144" s="197">
        <f>37.543184302947%+10.5%</f>
        <v>0.48043184302946995</v>
      </c>
      <c r="F144" s="197">
        <v>0</v>
      </c>
      <c r="G144" s="197">
        <v>4.4107272440989404E-3</v>
      </c>
      <c r="H144" s="197">
        <v>0.28564589346437302</v>
      </c>
      <c r="I144" s="197">
        <v>0</v>
      </c>
      <c r="J144" s="197">
        <v>0</v>
      </c>
      <c r="K144" s="197">
        <v>0</v>
      </c>
      <c r="L144" s="197">
        <v>0</v>
      </c>
      <c r="M144" s="197">
        <v>0</v>
      </c>
      <c r="N144" s="197">
        <v>0</v>
      </c>
      <c r="O144" s="197">
        <v>0</v>
      </c>
      <c r="P144" s="197">
        <v>0</v>
      </c>
      <c r="Q144" s="197">
        <v>0.226845961035822</v>
      </c>
      <c r="R144" s="197">
        <v>2.6956628466980599E-3</v>
      </c>
      <c r="S144" s="197">
        <v>0</v>
      </c>
      <c r="T144" s="198">
        <f t="shared" ref="T144:T155" si="3">SUM(E144:S144)</f>
        <v>1.000030087620462</v>
      </c>
      <c r="U144" s="199"/>
      <c r="W144" s="681"/>
      <c r="X144" s="681"/>
      <c r="Y144" s="677"/>
      <c r="Z144" s="152" t="s">
        <v>454</v>
      </c>
      <c r="AA144" s="677"/>
      <c r="AB144" s="677"/>
      <c r="AC144" s="153" t="s">
        <v>450</v>
      </c>
      <c r="AD144" s="153" t="s">
        <v>451</v>
      </c>
      <c r="AE144" s="153" t="s">
        <v>452</v>
      </c>
      <c r="AF144" s="153" t="s">
        <v>453</v>
      </c>
      <c r="AG144" s="677"/>
      <c r="AH144" s="677"/>
      <c r="AI144" s="677"/>
      <c r="AJ144" s="155" t="s">
        <v>455</v>
      </c>
      <c r="AK144" s="677"/>
      <c r="AL144" s="153" t="s">
        <v>447</v>
      </c>
      <c r="AM144" s="677"/>
    </row>
    <row r="145" spans="3:39" x14ac:dyDescent="0.3">
      <c r="C145" s="175" t="s">
        <v>463</v>
      </c>
      <c r="D145" s="176" t="s">
        <v>497</v>
      </c>
      <c r="E145" s="200">
        <v>3.5000000000000003E-2</v>
      </c>
      <c r="F145" s="197"/>
      <c r="G145" s="200">
        <v>0.02</v>
      </c>
      <c r="H145" s="200">
        <v>0.191</v>
      </c>
      <c r="I145" s="197"/>
      <c r="J145" s="197"/>
      <c r="K145" s="200">
        <v>2.9000000000000001E-2</v>
      </c>
      <c r="L145" s="200">
        <v>0</v>
      </c>
      <c r="M145" s="200">
        <v>0</v>
      </c>
      <c r="N145" s="200">
        <v>0</v>
      </c>
      <c r="O145" s="200">
        <v>0</v>
      </c>
      <c r="P145" s="200">
        <v>0</v>
      </c>
      <c r="Q145" s="200">
        <v>0.72499999999999998</v>
      </c>
      <c r="R145" s="200">
        <v>0</v>
      </c>
      <c r="S145" s="200">
        <v>0</v>
      </c>
      <c r="T145" s="198">
        <f t="shared" si="3"/>
        <v>1</v>
      </c>
      <c r="U145" s="199"/>
      <c r="W145" s="682" t="s">
        <v>24</v>
      </c>
      <c r="X145" s="682"/>
      <c r="Y145" s="688"/>
      <c r="Z145" s="688"/>
      <c r="AA145" s="688"/>
      <c r="AB145" s="688"/>
      <c r="AC145" s="688"/>
      <c r="AD145" s="688"/>
      <c r="AE145" s="688"/>
      <c r="AF145" s="688"/>
      <c r="AG145" s="688"/>
      <c r="AH145" s="688"/>
      <c r="AI145" s="688"/>
      <c r="AJ145" s="688"/>
      <c r="AK145" s="688"/>
      <c r="AL145" s="688"/>
      <c r="AM145" s="688"/>
    </row>
    <row r="146" spans="3:39" x14ac:dyDescent="0.3">
      <c r="C146" s="175" t="s">
        <v>465</v>
      </c>
      <c r="D146" s="176" t="s">
        <v>497</v>
      </c>
      <c r="E146" s="197">
        <v>0</v>
      </c>
      <c r="F146" s="197">
        <v>0</v>
      </c>
      <c r="G146" s="197">
        <v>0</v>
      </c>
      <c r="H146" s="197">
        <v>0.15207756232687</v>
      </c>
      <c r="I146" s="197">
        <v>0</v>
      </c>
      <c r="J146" s="197">
        <v>0</v>
      </c>
      <c r="K146" s="197">
        <v>0</v>
      </c>
      <c r="L146" s="197">
        <v>0</v>
      </c>
      <c r="M146" s="197">
        <v>0</v>
      </c>
      <c r="N146" s="197">
        <v>0</v>
      </c>
      <c r="O146" s="197">
        <v>0</v>
      </c>
      <c r="P146" s="197">
        <v>0</v>
      </c>
      <c r="Q146" s="197">
        <v>0.13767313019390601</v>
      </c>
      <c r="R146" s="197">
        <v>0</v>
      </c>
      <c r="S146" s="197">
        <v>0.71024930747922399</v>
      </c>
      <c r="T146" s="198">
        <f t="shared" si="3"/>
        <v>1</v>
      </c>
      <c r="U146" s="199"/>
      <c r="W146" s="158" t="s">
        <v>460</v>
      </c>
      <c r="X146" s="158" t="s">
        <v>497</v>
      </c>
      <c r="Y146" s="200">
        <f>'Mix éner %'!Y171</f>
        <v>0.59926162107736192</v>
      </c>
      <c r="Z146" s="200">
        <f>'Mix éner %'!Z171</f>
        <v>0.40073837892263797</v>
      </c>
      <c r="AA146" s="200">
        <f>'Mix éner %'!AA171</f>
        <v>4.4107272440989404E-3</v>
      </c>
      <c r="AB146" s="200">
        <f>'Mix éner %'!AB171</f>
        <v>0</v>
      </c>
      <c r="AC146" s="200">
        <f>'Mix éner %'!AC171</f>
        <v>0</v>
      </c>
      <c r="AD146" s="200">
        <f>'Mix éner %'!AD171</f>
        <v>0</v>
      </c>
      <c r="AE146" s="200">
        <f>'Mix éner %'!AE171</f>
        <v>0</v>
      </c>
      <c r="AF146" s="200">
        <f>'Mix éner %'!AF171</f>
        <v>0</v>
      </c>
      <c r="AG146" s="200">
        <f>'Mix éner %'!AG171</f>
        <v>0</v>
      </c>
      <c r="AH146" s="200">
        <f>'Mix éner %'!AH171</f>
        <v>0</v>
      </c>
      <c r="AI146" s="200">
        <f>'Mix éner %'!AI171</f>
        <v>0</v>
      </c>
      <c r="AJ146" s="200">
        <f>'Mix éner %'!AJ171</f>
        <v>0</v>
      </c>
      <c r="AK146" s="200">
        <f>'Mix éner %'!AK171</f>
        <v>2.6956628466980599E-3</v>
      </c>
      <c r="AL146" s="200">
        <f>'Mix éner %'!AL171</f>
        <v>0</v>
      </c>
      <c r="AM146" s="200">
        <f>'Mix éner %'!AM171</f>
        <v>1</v>
      </c>
    </row>
    <row r="147" spans="3:39" x14ac:dyDescent="0.3">
      <c r="C147" s="175" t="s">
        <v>468</v>
      </c>
      <c r="D147" s="176" t="s">
        <v>497</v>
      </c>
      <c r="E147" s="186">
        <v>4.0000000000000001E-3</v>
      </c>
      <c r="F147" s="198">
        <v>0</v>
      </c>
      <c r="G147" s="186">
        <v>2.8000000000000001E-2</v>
      </c>
      <c r="H147" s="186">
        <v>0.25</v>
      </c>
      <c r="I147" s="197">
        <v>0</v>
      </c>
      <c r="J147" s="197">
        <v>0</v>
      </c>
      <c r="K147" s="197">
        <v>0</v>
      </c>
      <c r="L147" s="197">
        <v>0</v>
      </c>
      <c r="M147" s="197">
        <v>0</v>
      </c>
      <c r="N147" s="197">
        <v>0</v>
      </c>
      <c r="O147" s="197">
        <v>0</v>
      </c>
      <c r="P147" s="197">
        <v>0</v>
      </c>
      <c r="Q147" s="186">
        <v>0.71</v>
      </c>
      <c r="R147" s="186">
        <v>8.0000000000000002E-3</v>
      </c>
      <c r="S147" s="198">
        <v>0</v>
      </c>
      <c r="T147" s="198">
        <f t="shared" si="3"/>
        <v>1</v>
      </c>
      <c r="U147" s="199"/>
      <c r="W147" s="158" t="s">
        <v>463</v>
      </c>
      <c r="X147" s="158" t="s">
        <v>497</v>
      </c>
      <c r="Y147" s="200">
        <f>'Mix éner %'!Y175</f>
        <v>3.5000000000000003E-2</v>
      </c>
      <c r="Z147" s="200">
        <f>'Mix éner %'!Z175</f>
        <v>0</v>
      </c>
      <c r="AA147" s="200">
        <f>'Mix éner %'!AA175</f>
        <v>0.02</v>
      </c>
      <c r="AB147" s="200">
        <f>'Mix éner %'!AB175</f>
        <v>0.22</v>
      </c>
      <c r="AC147" s="200">
        <f>'Mix éner %'!AC175</f>
        <v>0</v>
      </c>
      <c r="AD147" s="200">
        <f>'Mix éner %'!AD175</f>
        <v>0</v>
      </c>
      <c r="AE147" s="200">
        <f>'Mix éner %'!AE175</f>
        <v>0</v>
      </c>
      <c r="AF147" s="200">
        <f>'Mix éner %'!AF175</f>
        <v>0</v>
      </c>
      <c r="AG147" s="200">
        <f>'Mix éner %'!AG175</f>
        <v>0</v>
      </c>
      <c r="AH147" s="200">
        <f>'Mix éner %'!AH175</f>
        <v>0</v>
      </c>
      <c r="AI147" s="200">
        <f>'Mix éner %'!AI175</f>
        <v>0.72499999999999998</v>
      </c>
      <c r="AJ147" s="200">
        <f>'Mix éner %'!AJ175</f>
        <v>0</v>
      </c>
      <c r="AK147" s="200">
        <f>'Mix éner %'!AK175</f>
        <v>0</v>
      </c>
      <c r="AL147" s="200">
        <f>'Mix éner %'!AL175</f>
        <v>0</v>
      </c>
      <c r="AM147" s="200">
        <f>'Mix éner %'!AM175</f>
        <v>1</v>
      </c>
    </row>
    <row r="148" spans="3:39" x14ac:dyDescent="0.3">
      <c r="C148" s="175" t="s">
        <v>470</v>
      </c>
      <c r="D148" s="176" t="s">
        <v>497</v>
      </c>
      <c r="E148" s="198">
        <v>0</v>
      </c>
      <c r="F148" s="198">
        <v>0</v>
      </c>
      <c r="G148" s="198">
        <v>0</v>
      </c>
      <c r="H148" s="198">
        <v>0.9</v>
      </c>
      <c r="I148" s="197">
        <v>0</v>
      </c>
      <c r="J148" s="197">
        <v>0</v>
      </c>
      <c r="K148" s="197">
        <v>0</v>
      </c>
      <c r="L148" s="197">
        <v>0</v>
      </c>
      <c r="M148" s="197">
        <v>0</v>
      </c>
      <c r="N148" s="197">
        <v>0</v>
      </c>
      <c r="O148" s="197">
        <v>0</v>
      </c>
      <c r="P148" s="197">
        <v>0</v>
      </c>
      <c r="Q148" s="198">
        <v>0.1</v>
      </c>
      <c r="R148" s="198">
        <v>0</v>
      </c>
      <c r="S148" s="198">
        <v>0</v>
      </c>
      <c r="T148" s="198">
        <f t="shared" si="3"/>
        <v>1</v>
      </c>
      <c r="U148" s="199"/>
      <c r="W148" s="158" t="s">
        <v>465</v>
      </c>
      <c r="X148" s="158" t="s">
        <v>497</v>
      </c>
      <c r="Y148" s="200">
        <f>'Mix éner %'!Y179</f>
        <v>0</v>
      </c>
      <c r="Z148" s="200">
        <f>'Mix éner %'!Z179</f>
        <v>0</v>
      </c>
      <c r="AA148" s="200">
        <f>'Mix éner %'!AA179</f>
        <v>0</v>
      </c>
      <c r="AB148" s="200">
        <f>'Mix éner %'!AB179</f>
        <v>0</v>
      </c>
      <c r="AC148" s="200">
        <f>'Mix éner %'!AC179</f>
        <v>0</v>
      </c>
      <c r="AD148" s="200">
        <f>'Mix éner %'!AD179</f>
        <v>0</v>
      </c>
      <c r="AE148" s="200">
        <f>'Mix éner %'!AE179</f>
        <v>0</v>
      </c>
      <c r="AF148" s="200">
        <f>'Mix éner %'!AF179</f>
        <v>0</v>
      </c>
      <c r="AG148" s="200">
        <f>'Mix éner %'!AG179</f>
        <v>0</v>
      </c>
      <c r="AH148" s="200">
        <f>'Mix éner %'!AH179</f>
        <v>0</v>
      </c>
      <c r="AI148" s="200">
        <f>'Mix éner %'!AI179</f>
        <v>0</v>
      </c>
      <c r="AJ148" s="200">
        <f>'Mix éner %'!AJ179</f>
        <v>0</v>
      </c>
      <c r="AK148" s="200">
        <f>'Mix éner %'!AK179</f>
        <v>0</v>
      </c>
      <c r="AL148" s="200">
        <f>'Mix éner %'!AL179</f>
        <v>0</v>
      </c>
      <c r="AM148" s="200">
        <f>'Mix éner %'!AM179</f>
        <v>0</v>
      </c>
    </row>
    <row r="149" spans="3:39" x14ac:dyDescent="0.3">
      <c r="C149" s="175" t="s">
        <v>472</v>
      </c>
      <c r="D149" s="176" t="s">
        <v>497</v>
      </c>
      <c r="E149" s="198">
        <v>2.18316716171187E-4</v>
      </c>
      <c r="F149" s="198">
        <v>2.18316716171187E-4</v>
      </c>
      <c r="G149" s="198">
        <v>0.152259671871665</v>
      </c>
      <c r="H149" s="198">
        <v>0.15712852885131401</v>
      </c>
      <c r="I149" s="198">
        <v>2.18316716171187E-4</v>
      </c>
      <c r="J149" s="198">
        <v>2.18316716171187E-4</v>
      </c>
      <c r="K149" s="198">
        <v>2.18316716171187E-4</v>
      </c>
      <c r="L149" s="198">
        <v>2.18316716171187E-4</v>
      </c>
      <c r="M149" s="198">
        <v>2.18316716171187E-4</v>
      </c>
      <c r="N149" s="198">
        <v>2.18316716171187E-4</v>
      </c>
      <c r="O149" s="198">
        <v>2.18316716171187E-4</v>
      </c>
      <c r="P149" s="198">
        <v>2.18316716171187E-4</v>
      </c>
      <c r="Q149" s="198">
        <v>0.675599380753927</v>
      </c>
      <c r="R149" s="198">
        <v>1.45757850907516E-2</v>
      </c>
      <c r="S149" s="198">
        <v>2.18316716171187E-4</v>
      </c>
      <c r="T149" s="198">
        <f t="shared" si="3"/>
        <v>1.0019648504455405</v>
      </c>
      <c r="U149" s="199"/>
      <c r="W149" s="164" t="s">
        <v>466</v>
      </c>
      <c r="X149" s="158" t="s">
        <v>497</v>
      </c>
      <c r="Y149" s="200">
        <f>'Mix éner %'!Y183</f>
        <v>5.1378862867308035E-2</v>
      </c>
      <c r="Z149" s="200">
        <f>'Mix éner %'!Z183</f>
        <v>2.8814188170211804E-2</v>
      </c>
      <c r="AA149" s="200">
        <f>'Mix éner %'!AA183</f>
        <v>8.4139055839584937E-3</v>
      </c>
      <c r="AB149" s="200">
        <f>'Mix éner %'!AB183</f>
        <v>0.43763063576671102</v>
      </c>
      <c r="AC149" s="200">
        <f>'Mix éner %'!AC183</f>
        <v>0</v>
      </c>
      <c r="AD149" s="200">
        <f>'Mix éner %'!AD183</f>
        <v>0</v>
      </c>
      <c r="AE149" s="200">
        <f>'Mix éner %'!AE183</f>
        <v>0</v>
      </c>
      <c r="AF149" s="200">
        <f>'Mix éner %'!AF183</f>
        <v>0</v>
      </c>
      <c r="AG149" s="200">
        <f>'Mix éner %'!AG183</f>
        <v>0</v>
      </c>
      <c r="AH149" s="200">
        <f>'Mix éner %'!AH183</f>
        <v>0</v>
      </c>
      <c r="AI149" s="200">
        <f>'Mix éner %'!AI183</f>
        <v>0.46695970689366384</v>
      </c>
      <c r="AJ149" s="200">
        <f>'Mix éner %'!AJ183</f>
        <v>0</v>
      </c>
      <c r="AK149" s="200">
        <f>'Mix éner %'!AK183</f>
        <v>6.8027007181468303E-3</v>
      </c>
      <c r="AL149" s="200">
        <f>'Mix éner %'!AL183</f>
        <v>0</v>
      </c>
      <c r="AM149" s="200">
        <f>'Mix éner %'!AM183</f>
        <v>1</v>
      </c>
    </row>
    <row r="150" spans="3:39" x14ac:dyDescent="0.3">
      <c r="C150" s="634" t="s">
        <v>25</v>
      </c>
      <c r="D150" s="634"/>
      <c r="E150" s="202"/>
      <c r="F150" s="202"/>
      <c r="G150" s="202"/>
      <c r="H150" s="202"/>
      <c r="I150" s="202"/>
      <c r="J150" s="202"/>
      <c r="K150" s="202"/>
      <c r="L150" s="202"/>
      <c r="M150" s="202"/>
      <c r="N150" s="202"/>
      <c r="O150" s="202"/>
      <c r="P150" s="202"/>
      <c r="Q150" s="202"/>
      <c r="R150" s="202"/>
      <c r="S150" s="202"/>
      <c r="T150" s="203">
        <f t="shared" si="3"/>
        <v>0</v>
      </c>
      <c r="U150" s="199"/>
      <c r="W150" s="158" t="s">
        <v>468</v>
      </c>
      <c r="X150" s="158" t="s">
        <v>497</v>
      </c>
      <c r="Y150" s="200">
        <f>'Mix éner %'!Y187</f>
        <v>4.0000000000000001E-3</v>
      </c>
      <c r="Z150" s="200">
        <f>'Mix éner %'!Z187</f>
        <v>0</v>
      </c>
      <c r="AA150" s="200">
        <f>'Mix éner %'!AA187</f>
        <v>2.8000000000000001E-2</v>
      </c>
      <c r="AB150" s="200">
        <f>'Mix éner %'!AB187</f>
        <v>0.25</v>
      </c>
      <c r="AC150" s="200">
        <f>'Mix éner %'!AC187</f>
        <v>0</v>
      </c>
      <c r="AD150" s="200">
        <f>'Mix éner %'!AD187</f>
        <v>0</v>
      </c>
      <c r="AE150" s="200">
        <f>'Mix éner %'!AE187</f>
        <v>0</v>
      </c>
      <c r="AF150" s="200">
        <f>'Mix éner %'!AF187</f>
        <v>0</v>
      </c>
      <c r="AG150" s="200">
        <f>'Mix éner %'!AG187</f>
        <v>0</v>
      </c>
      <c r="AH150" s="200">
        <f>'Mix éner %'!AH187</f>
        <v>0</v>
      </c>
      <c r="AI150" s="200">
        <f>'Mix éner %'!AI187</f>
        <v>0.71</v>
      </c>
      <c r="AJ150" s="200">
        <f>'Mix éner %'!AJ187</f>
        <v>0</v>
      </c>
      <c r="AK150" s="200">
        <f>'Mix éner %'!AK187</f>
        <v>8.0000000000000002E-3</v>
      </c>
      <c r="AL150" s="200">
        <f>'Mix éner %'!AL187</f>
        <v>0</v>
      </c>
      <c r="AM150" s="200">
        <f>'Mix éner %'!AM187</f>
        <v>1</v>
      </c>
    </row>
    <row r="151" spans="3:39" x14ac:dyDescent="0.3">
      <c r="C151" s="175" t="s">
        <v>474</v>
      </c>
      <c r="D151" s="176" t="s">
        <v>497</v>
      </c>
      <c r="E151" s="198">
        <v>0</v>
      </c>
      <c r="F151" s="198">
        <v>0</v>
      </c>
      <c r="G151" s="198">
        <v>5.0000000000000001E-3</v>
      </c>
      <c r="H151" s="198">
        <v>0.93</v>
      </c>
      <c r="I151" s="198">
        <v>0</v>
      </c>
      <c r="J151" s="198">
        <v>0</v>
      </c>
      <c r="K151" s="198">
        <v>5.0000000000000001E-3</v>
      </c>
      <c r="L151" s="198">
        <v>0</v>
      </c>
      <c r="M151" s="198">
        <v>0</v>
      </c>
      <c r="N151" s="198">
        <v>0</v>
      </c>
      <c r="O151" s="198">
        <v>0</v>
      </c>
      <c r="P151" s="198">
        <v>0</v>
      </c>
      <c r="Q151" s="198">
        <v>0.06</v>
      </c>
      <c r="R151" s="198">
        <v>0</v>
      </c>
      <c r="S151" s="198">
        <v>0</v>
      </c>
      <c r="T151" s="198">
        <f t="shared" si="3"/>
        <v>1</v>
      </c>
      <c r="U151" s="199"/>
      <c r="W151" s="158" t="s">
        <v>470</v>
      </c>
      <c r="X151" s="158" t="s">
        <v>497</v>
      </c>
      <c r="Y151" s="200">
        <f>'Mix éner %'!Y191</f>
        <v>0</v>
      </c>
      <c r="Z151" s="200">
        <f>'Mix éner %'!Z191</f>
        <v>0</v>
      </c>
      <c r="AA151" s="200">
        <f>'Mix éner %'!AA191</f>
        <v>2.4619339529365233E-2</v>
      </c>
      <c r="AB151" s="200">
        <f>'Mix éner %'!AB191</f>
        <v>0.63990508206446506</v>
      </c>
      <c r="AC151" s="200">
        <f>'Mix éner %'!AC191</f>
        <v>0</v>
      </c>
      <c r="AD151" s="200">
        <f>'Mix éner %'!AD191</f>
        <v>0</v>
      </c>
      <c r="AE151" s="200">
        <f>'Mix éner %'!AE191</f>
        <v>0</v>
      </c>
      <c r="AF151" s="200">
        <f>'Mix éner %'!AF191</f>
        <v>0</v>
      </c>
      <c r="AG151" s="200">
        <f>'Mix éner %'!AG191</f>
        <v>0</v>
      </c>
      <c r="AH151" s="200">
        <f>'Mix éner %'!AH191</f>
        <v>0</v>
      </c>
      <c r="AI151" s="200">
        <f>'Mix éner %'!AI191</f>
        <v>0.33547557840616971</v>
      </c>
      <c r="AJ151" s="200">
        <f>'Mix éner %'!AJ191</f>
        <v>0</v>
      </c>
      <c r="AK151" s="200">
        <f>'Mix éner %'!AK191</f>
        <v>0</v>
      </c>
      <c r="AL151" s="200">
        <f>'Mix éner %'!AL191</f>
        <v>0</v>
      </c>
      <c r="AM151" s="200">
        <f>'Mix éner %'!AM191</f>
        <v>1</v>
      </c>
    </row>
    <row r="152" spans="3:39" x14ac:dyDescent="0.3">
      <c r="C152" s="175" t="s">
        <v>475</v>
      </c>
      <c r="D152" s="176" t="s">
        <v>497</v>
      </c>
      <c r="E152" s="198">
        <v>0</v>
      </c>
      <c r="F152" s="198">
        <v>0</v>
      </c>
      <c r="G152" s="198">
        <v>3.6519027230689297E-2</v>
      </c>
      <c r="H152" s="198">
        <v>0.494979970656034</v>
      </c>
      <c r="I152" s="198">
        <v>0</v>
      </c>
      <c r="J152" s="198">
        <v>0</v>
      </c>
      <c r="K152" s="198">
        <v>3.0411115934223999E-2</v>
      </c>
      <c r="L152" s="198">
        <v>0</v>
      </c>
      <c r="M152" s="198">
        <v>0</v>
      </c>
      <c r="N152" s="198">
        <v>0</v>
      </c>
      <c r="O152" s="198">
        <v>0</v>
      </c>
      <c r="P152" s="198">
        <v>0</v>
      </c>
      <c r="Q152" s="198">
        <v>0.24821952548086201</v>
      </c>
      <c r="R152" s="198">
        <v>0.17812225047188401</v>
      </c>
      <c r="S152" s="198">
        <v>1.17E-2</v>
      </c>
      <c r="T152" s="198">
        <f t="shared" si="3"/>
        <v>0.99995188977369331</v>
      </c>
      <c r="U152" s="199"/>
      <c r="W152" s="158" t="s">
        <v>472</v>
      </c>
      <c r="X152" s="158" t="s">
        <v>497</v>
      </c>
      <c r="Y152" s="200">
        <f>'Mix éner %'!Y195</f>
        <v>2.18316716171187E-4</v>
      </c>
      <c r="Z152" s="200">
        <f>'Mix éner %'!Z195</f>
        <v>0</v>
      </c>
      <c r="AA152" s="200">
        <f>'Mix éner %'!AA195</f>
        <v>0.17</v>
      </c>
      <c r="AB152" s="200">
        <f>'Mix éner %'!AB195</f>
        <v>8.5000000000000006E-2</v>
      </c>
      <c r="AC152" s="200">
        <f>'Mix éner %'!AC195</f>
        <v>2.18316716171187E-4</v>
      </c>
      <c r="AD152" s="200">
        <f>'Mix éner %'!AD195</f>
        <v>2.18316716171187E-4</v>
      </c>
      <c r="AE152" s="200">
        <f>'Mix éner %'!AE195</f>
        <v>2.18316716171187E-4</v>
      </c>
      <c r="AF152" s="200">
        <f>'Mix éner %'!AF195</f>
        <v>2.18316716171187E-4</v>
      </c>
      <c r="AG152" s="200">
        <f>'Mix éner %'!AG195</f>
        <v>2.18316716171187E-4</v>
      </c>
      <c r="AH152" s="200">
        <f>'Mix éner %'!AH195</f>
        <v>2.18316716171187E-4</v>
      </c>
      <c r="AI152" s="200">
        <f>'Mix éner %'!AI195</f>
        <v>0.68187088153521536</v>
      </c>
      <c r="AJ152" s="200">
        <f>'Mix éner %'!AJ195</f>
        <v>0</v>
      </c>
      <c r="AK152" s="200">
        <f>'Mix éner %'!AK195</f>
        <v>1.45757850907516E-2</v>
      </c>
      <c r="AL152" s="200">
        <f>'Mix éner %'!AL195</f>
        <v>2.18316716171187E-4</v>
      </c>
      <c r="AM152" s="200">
        <f>'Mix éner %'!AM195</f>
        <v>0.9531932003553365</v>
      </c>
    </row>
    <row r="153" spans="3:39" x14ac:dyDescent="0.3">
      <c r="C153" s="175" t="s">
        <v>478</v>
      </c>
      <c r="D153" s="176" t="s">
        <v>497</v>
      </c>
      <c r="E153" s="198">
        <v>6.2550627514588494E-2</v>
      </c>
      <c r="F153" s="198">
        <v>0</v>
      </c>
      <c r="G153" s="198">
        <v>5.8595894299541498E-2</v>
      </c>
      <c r="H153" s="198">
        <v>0.39124178724877001</v>
      </c>
      <c r="I153" s="198">
        <v>0</v>
      </c>
      <c r="J153" s="198">
        <v>0</v>
      </c>
      <c r="K153" s="198">
        <v>1.7387097713031801E-2</v>
      </c>
      <c r="L153" s="198">
        <v>0</v>
      </c>
      <c r="M153" s="198">
        <v>0</v>
      </c>
      <c r="N153" s="198">
        <v>0</v>
      </c>
      <c r="O153" s="198">
        <v>0</v>
      </c>
      <c r="P153" s="198">
        <v>0</v>
      </c>
      <c r="Q153" s="198">
        <v>0.30482105840411999</v>
      </c>
      <c r="R153" s="198">
        <v>0.16389187653835899</v>
      </c>
      <c r="S153" s="198">
        <v>0</v>
      </c>
      <c r="T153" s="198">
        <f t="shared" si="3"/>
        <v>0.99848834171841083</v>
      </c>
      <c r="U153" s="199"/>
      <c r="W153" s="682" t="s">
        <v>25</v>
      </c>
      <c r="X153" s="682"/>
      <c r="Y153" s="688"/>
      <c r="Z153" s="688"/>
      <c r="AA153" s="688"/>
      <c r="AB153" s="688"/>
      <c r="AC153" s="688"/>
      <c r="AD153" s="688"/>
      <c r="AE153" s="688"/>
      <c r="AF153" s="688"/>
      <c r="AG153" s="688"/>
      <c r="AH153" s="688"/>
      <c r="AI153" s="688"/>
      <c r="AJ153" s="688"/>
      <c r="AK153" s="688"/>
      <c r="AL153" s="688"/>
      <c r="AM153" s="688"/>
    </row>
    <row r="154" spans="3:39" x14ac:dyDescent="0.3">
      <c r="C154" s="634" t="s">
        <v>479</v>
      </c>
      <c r="D154" s="634"/>
      <c r="E154" s="202"/>
      <c r="F154" s="202"/>
      <c r="G154" s="202"/>
      <c r="H154" s="202"/>
      <c r="I154" s="202"/>
      <c r="J154" s="202"/>
      <c r="K154" s="202"/>
      <c r="L154" s="202"/>
      <c r="M154" s="202"/>
      <c r="N154" s="202"/>
      <c r="O154" s="202"/>
      <c r="P154" s="202"/>
      <c r="Q154" s="202"/>
      <c r="R154" s="202"/>
      <c r="S154" s="202"/>
      <c r="T154" s="203">
        <f t="shared" si="3"/>
        <v>0</v>
      </c>
      <c r="U154" s="199"/>
      <c r="W154" s="158" t="s">
        <v>474</v>
      </c>
      <c r="X154" s="158" t="s">
        <v>497</v>
      </c>
      <c r="Y154" s="200">
        <f>'Mix éner %'!Y200</f>
        <v>0</v>
      </c>
      <c r="Z154" s="200">
        <f>'Mix éner %'!Z200</f>
        <v>0</v>
      </c>
      <c r="AA154" s="200">
        <f>'Mix éner %'!AA200</f>
        <v>5.0000000000000001E-3</v>
      </c>
      <c r="AB154" s="200">
        <f>'Mix éner %'!AB200</f>
        <v>0.93</v>
      </c>
      <c r="AC154" s="200">
        <f>'Mix éner %'!AC200</f>
        <v>5.0000000000000001E-3</v>
      </c>
      <c r="AD154" s="200">
        <f>'Mix éner %'!AD200</f>
        <v>0</v>
      </c>
      <c r="AE154" s="200">
        <f>'Mix éner %'!AE200</f>
        <v>0</v>
      </c>
      <c r="AF154" s="200">
        <f>'Mix éner %'!AF200</f>
        <v>0</v>
      </c>
      <c r="AG154" s="200">
        <f>'Mix éner %'!AG200</f>
        <v>0</v>
      </c>
      <c r="AH154" s="200">
        <f>'Mix éner %'!AH200</f>
        <v>0</v>
      </c>
      <c r="AI154" s="200">
        <f>'Mix éner %'!AI200</f>
        <v>0.06</v>
      </c>
      <c r="AJ154" s="200">
        <f>'Mix éner %'!AJ200</f>
        <v>0</v>
      </c>
      <c r="AK154" s="200">
        <f>'Mix éner %'!AK200</f>
        <v>0</v>
      </c>
      <c r="AL154" s="200">
        <f>'Mix éner %'!AL200</f>
        <v>0</v>
      </c>
      <c r="AM154" s="200">
        <f>'Mix éner %'!AM200</f>
        <v>1</v>
      </c>
    </row>
    <row r="155" spans="3:39" x14ac:dyDescent="0.3">
      <c r="C155" s="175" t="s">
        <v>480</v>
      </c>
      <c r="D155" s="176" t="s">
        <v>497</v>
      </c>
      <c r="E155" s="198">
        <v>0.13806751208555099</v>
      </c>
      <c r="F155" s="198">
        <v>0</v>
      </c>
      <c r="G155" s="204">
        <v>0.38500000000000001</v>
      </c>
      <c r="H155" s="198">
        <v>0.02</v>
      </c>
      <c r="I155" s="198">
        <v>0</v>
      </c>
      <c r="J155" s="198">
        <v>0</v>
      </c>
      <c r="K155" s="198">
        <v>0.42693248791444899</v>
      </c>
      <c r="L155" s="198">
        <v>0</v>
      </c>
      <c r="M155" s="198">
        <v>0</v>
      </c>
      <c r="N155" s="198">
        <v>0</v>
      </c>
      <c r="O155" s="198">
        <v>0</v>
      </c>
      <c r="P155" s="198">
        <v>0</v>
      </c>
      <c r="Q155" s="198">
        <v>0.03</v>
      </c>
      <c r="R155" s="198">
        <v>0</v>
      </c>
      <c r="S155" s="198">
        <v>0</v>
      </c>
      <c r="T155" s="198">
        <f t="shared" si="3"/>
        <v>1</v>
      </c>
      <c r="U155" s="199"/>
      <c r="W155" s="158" t="s">
        <v>475</v>
      </c>
      <c r="X155" s="158" t="s">
        <v>497</v>
      </c>
      <c r="Y155" s="200">
        <f>'Mix éner %'!Y204</f>
        <v>0</v>
      </c>
      <c r="Z155" s="200">
        <f>'Mix éner %'!Z204</f>
        <v>0</v>
      </c>
      <c r="AA155" s="200">
        <f>'Mix éner %'!AA204</f>
        <v>0.03</v>
      </c>
      <c r="AB155" s="200">
        <f>'Mix éner %'!AB204</f>
        <v>0.64</v>
      </c>
      <c r="AC155" s="200">
        <f>'Mix éner %'!AC204</f>
        <v>3.0411115934223999E-2</v>
      </c>
      <c r="AD155" s="200">
        <f>'Mix éner %'!AD204</f>
        <v>0</v>
      </c>
      <c r="AE155" s="200">
        <f>'Mix éner %'!AE204</f>
        <v>0</v>
      </c>
      <c r="AF155" s="200">
        <f>'Mix éner %'!AF204</f>
        <v>0</v>
      </c>
      <c r="AG155" s="200">
        <f>'Mix éner %'!AG204</f>
        <v>0</v>
      </c>
      <c r="AH155" s="200">
        <f>'Mix éner %'!AH204</f>
        <v>0</v>
      </c>
      <c r="AI155" s="200">
        <f>'Mix éner %'!AI204</f>
        <v>0.17</v>
      </c>
      <c r="AJ155" s="200">
        <f>'Mix éner %'!AJ204</f>
        <v>0</v>
      </c>
      <c r="AK155" s="200">
        <f>'Mix éner %'!AK204</f>
        <v>0.12</v>
      </c>
      <c r="AL155" s="200">
        <f>'Mix éner %'!AL204</f>
        <v>0.01</v>
      </c>
      <c r="AM155" s="200">
        <f>'Mix éner %'!AM204</f>
        <v>1.0004111159342239</v>
      </c>
    </row>
    <row r="156" spans="3:39" x14ac:dyDescent="0.3">
      <c r="C156" s="175" t="s">
        <v>481</v>
      </c>
      <c r="D156" s="176" t="s">
        <v>497</v>
      </c>
      <c r="E156" s="198">
        <v>0</v>
      </c>
      <c r="F156" s="198">
        <v>0</v>
      </c>
      <c r="G156" s="205">
        <v>0.09</v>
      </c>
      <c r="H156" s="205">
        <v>0.67</v>
      </c>
      <c r="I156" s="198">
        <v>0</v>
      </c>
      <c r="J156" s="198">
        <v>0</v>
      </c>
      <c r="K156" s="198">
        <v>0</v>
      </c>
      <c r="L156" s="198">
        <v>0</v>
      </c>
      <c r="M156" s="198">
        <v>0</v>
      </c>
      <c r="N156" s="198">
        <v>0</v>
      </c>
      <c r="O156" s="198">
        <v>0</v>
      </c>
      <c r="P156" s="198">
        <v>0</v>
      </c>
      <c r="Q156" s="205">
        <v>0.24</v>
      </c>
      <c r="R156" s="198">
        <v>0</v>
      </c>
      <c r="S156" s="198">
        <v>0</v>
      </c>
      <c r="T156" s="198">
        <f>SUM(AY155:BM155)</f>
        <v>0</v>
      </c>
      <c r="U156" s="199"/>
      <c r="W156" s="158" t="s">
        <v>478</v>
      </c>
      <c r="X156" s="158" t="s">
        <v>497</v>
      </c>
      <c r="Y156" s="200">
        <f>'Mix éner %'!Y208</f>
        <v>0.4</v>
      </c>
      <c r="Z156" s="200">
        <f>'Mix éner %'!Z208</f>
        <v>0</v>
      </c>
      <c r="AA156" s="200">
        <f>'Mix éner %'!AA208</f>
        <v>0.09</v>
      </c>
      <c r="AB156" s="200">
        <f>'Mix éner %'!AB208</f>
        <v>9.970766266164291E-3</v>
      </c>
      <c r="AC156" s="200">
        <f>'Mix éner %'!AC208</f>
        <v>1.7387097713031801E-2</v>
      </c>
      <c r="AD156" s="200">
        <f>'Mix éner %'!AD208</f>
        <v>0</v>
      </c>
      <c r="AE156" s="200">
        <f>'Mix éner %'!AE208</f>
        <v>0</v>
      </c>
      <c r="AF156" s="200">
        <f>'Mix éner %'!AF208</f>
        <v>0</v>
      </c>
      <c r="AG156" s="200">
        <f>'Mix éner %'!AG208</f>
        <v>0</v>
      </c>
      <c r="AH156" s="200">
        <f>'Mix éner %'!AH208</f>
        <v>0</v>
      </c>
      <c r="AI156" s="200">
        <f>'Mix éner %'!AI208</f>
        <v>0.262642136020804</v>
      </c>
      <c r="AJ156" s="200">
        <f>'Mix éner %'!AJ208</f>
        <v>0</v>
      </c>
      <c r="AK156" s="200">
        <f>'Mix éner %'!AK208</f>
        <v>0.22</v>
      </c>
      <c r="AL156" s="200">
        <f>'Mix éner %'!AL208</f>
        <v>0</v>
      </c>
      <c r="AM156" s="200">
        <f>'Mix éner %'!AM208</f>
        <v>1</v>
      </c>
    </row>
    <row r="157" spans="3:39" x14ac:dyDescent="0.3">
      <c r="C157" s="175" t="s">
        <v>482</v>
      </c>
      <c r="D157" s="176" t="s">
        <v>497</v>
      </c>
      <c r="E157" s="198">
        <f>4.58828948153757%+2.6%</f>
        <v>7.1882894815375714E-2</v>
      </c>
      <c r="F157" s="198">
        <v>0</v>
      </c>
      <c r="G157" s="198">
        <v>2.01689588256188E-2</v>
      </c>
      <c r="H157" s="198">
        <v>0.59670049547708004</v>
      </c>
      <c r="I157" s="198">
        <v>0</v>
      </c>
      <c r="J157" s="198">
        <v>0</v>
      </c>
      <c r="K157" s="198">
        <v>2.2259999079112702E-2</v>
      </c>
      <c r="L157" s="198">
        <v>0</v>
      </c>
      <c r="M157" s="198">
        <v>0</v>
      </c>
      <c r="N157" s="198">
        <v>0</v>
      </c>
      <c r="O157" s="198">
        <v>0</v>
      </c>
      <c r="P157" s="198">
        <v>0</v>
      </c>
      <c r="Q157" s="198">
        <v>0.28883543240466703</v>
      </c>
      <c r="R157" s="198">
        <v>0</v>
      </c>
      <c r="S157" s="198">
        <v>0</v>
      </c>
      <c r="T157" s="198">
        <f t="shared" ref="T157:T165" si="4">SUM(E157:S157)</f>
        <v>0.99984778060185431</v>
      </c>
      <c r="U157" s="199"/>
      <c r="W157" s="682" t="s">
        <v>479</v>
      </c>
      <c r="X157" s="682"/>
      <c r="Y157" s="688"/>
      <c r="Z157" s="688"/>
      <c r="AA157" s="688"/>
      <c r="AB157" s="688"/>
      <c r="AC157" s="688"/>
      <c r="AD157" s="688"/>
      <c r="AE157" s="688"/>
      <c r="AF157" s="688"/>
      <c r="AG157" s="688"/>
      <c r="AH157" s="688"/>
      <c r="AI157" s="688"/>
      <c r="AJ157" s="688"/>
      <c r="AK157" s="688"/>
      <c r="AL157" s="688"/>
      <c r="AM157" s="688"/>
    </row>
    <row r="158" spans="3:39" x14ac:dyDescent="0.3">
      <c r="C158" s="634" t="s">
        <v>483</v>
      </c>
      <c r="D158" s="634"/>
      <c r="E158" s="202"/>
      <c r="F158" s="202"/>
      <c r="G158" s="202"/>
      <c r="H158" s="202"/>
      <c r="I158" s="202"/>
      <c r="J158" s="202"/>
      <c r="K158" s="202"/>
      <c r="L158" s="202"/>
      <c r="M158" s="202"/>
      <c r="N158" s="202"/>
      <c r="O158" s="202"/>
      <c r="P158" s="202"/>
      <c r="Q158" s="202"/>
      <c r="R158" s="202"/>
      <c r="S158" s="202"/>
      <c r="T158" s="203">
        <f t="shared" si="4"/>
        <v>0</v>
      </c>
      <c r="U158" s="199"/>
      <c r="W158" s="158" t="s">
        <v>480</v>
      </c>
      <c r="X158" s="158" t="s">
        <v>497</v>
      </c>
      <c r="Y158" s="200">
        <f>'Mix éner %'!Y213</f>
        <v>0.09</v>
      </c>
      <c r="Z158" s="200">
        <f>'Mix éner %'!Z213</f>
        <v>0</v>
      </c>
      <c r="AA158" s="200">
        <f>'Mix éner %'!AA213</f>
        <v>0.38499999999999995</v>
      </c>
      <c r="AB158" s="200">
        <f>'Mix éner %'!AB213</f>
        <v>0.02</v>
      </c>
      <c r="AC158" s="200">
        <f>'Mix éner %'!AC213</f>
        <v>0.17</v>
      </c>
      <c r="AD158" s="200">
        <f>'Mix éner %'!AD213</f>
        <v>0.24</v>
      </c>
      <c r="AE158" s="200">
        <f>'Mix éner %'!AE213</f>
        <v>0</v>
      </c>
      <c r="AF158" s="200">
        <f>'Mix éner %'!AF213</f>
        <v>0</v>
      </c>
      <c r="AG158" s="200">
        <f>'Mix éner %'!AG213</f>
        <v>0</v>
      </c>
      <c r="AH158" s="200">
        <f>'Mix éner %'!AH213</f>
        <v>0</v>
      </c>
      <c r="AI158" s="200">
        <f>'Mix éner %'!AI213</f>
        <v>9.4999999999999973E-2</v>
      </c>
      <c r="AJ158" s="200">
        <f>'Mix éner %'!AJ213</f>
        <v>0</v>
      </c>
      <c r="AK158" s="200">
        <f>'Mix éner %'!AK213</f>
        <v>0</v>
      </c>
      <c r="AL158" s="200">
        <f>'Mix éner %'!AL213</f>
        <v>0</v>
      </c>
      <c r="AM158" s="200">
        <f>'Mix éner %'!AM213</f>
        <v>1</v>
      </c>
    </row>
    <row r="159" spans="3:39" x14ac:dyDescent="0.3">
      <c r="C159" s="175" t="s">
        <v>484</v>
      </c>
      <c r="D159" s="176" t="s">
        <v>497</v>
      </c>
      <c r="E159" s="198">
        <v>0.15175876436862501</v>
      </c>
      <c r="F159" s="198">
        <v>0</v>
      </c>
      <c r="G159" s="198">
        <v>0.09</v>
      </c>
      <c r="H159" s="198">
        <v>0.67</v>
      </c>
      <c r="I159" s="198">
        <v>0</v>
      </c>
      <c r="J159" s="198">
        <v>0</v>
      </c>
      <c r="K159" s="198">
        <v>0</v>
      </c>
      <c r="L159" s="198">
        <v>0</v>
      </c>
      <c r="M159" s="198">
        <v>0</v>
      </c>
      <c r="N159" s="198">
        <v>0</v>
      </c>
      <c r="O159" s="198">
        <v>0</v>
      </c>
      <c r="P159" s="198">
        <v>0</v>
      </c>
      <c r="Q159" s="198">
        <v>7.4778557978260093E-2</v>
      </c>
      <c r="R159" s="198">
        <v>9.4626776531150699E-3</v>
      </c>
      <c r="S159" s="198">
        <v>0</v>
      </c>
      <c r="T159" s="198">
        <f t="shared" si="4"/>
        <v>0.99600000000000011</v>
      </c>
      <c r="U159" s="199"/>
      <c r="W159" s="158" t="s">
        <v>481</v>
      </c>
      <c r="X159" s="158" t="s">
        <v>497</v>
      </c>
      <c r="Y159" s="200">
        <f>'Mix éner %'!Y217</f>
        <v>0</v>
      </c>
      <c r="Z159" s="200">
        <f>'Mix éner %'!Z217</f>
        <v>0</v>
      </c>
      <c r="AA159" s="200">
        <f>'Mix éner %'!AA217</f>
        <v>0.09</v>
      </c>
      <c r="AB159" s="200">
        <f>'Mix éner %'!AB217</f>
        <v>0.67</v>
      </c>
      <c r="AC159" s="200">
        <f>'Mix éner %'!AC217</f>
        <v>0</v>
      </c>
      <c r="AD159" s="200">
        <f>'Mix éner %'!AD217</f>
        <v>0</v>
      </c>
      <c r="AE159" s="200">
        <f>'Mix éner %'!AE217</f>
        <v>0</v>
      </c>
      <c r="AF159" s="200">
        <f>'Mix éner %'!AF217</f>
        <v>0</v>
      </c>
      <c r="AG159" s="200">
        <f>'Mix éner %'!AG217</f>
        <v>0</v>
      </c>
      <c r="AH159" s="200">
        <f>'Mix éner %'!AH217</f>
        <v>0</v>
      </c>
      <c r="AI159" s="200">
        <f>'Mix éner %'!AI217</f>
        <v>0.24</v>
      </c>
      <c r="AJ159" s="200">
        <f>'Mix éner %'!AJ217</f>
        <v>0</v>
      </c>
      <c r="AK159" s="200">
        <f>'Mix éner %'!AK217</f>
        <v>0</v>
      </c>
      <c r="AL159" s="200">
        <f>'Mix éner %'!AL217</f>
        <v>0</v>
      </c>
      <c r="AM159" s="200">
        <f>'Mix éner %'!AM217</f>
        <v>1</v>
      </c>
    </row>
    <row r="160" spans="3:39" x14ac:dyDescent="0.3">
      <c r="C160" s="175" t="s">
        <v>485</v>
      </c>
      <c r="D160" s="176" t="s">
        <v>497</v>
      </c>
      <c r="E160" s="198">
        <v>0</v>
      </c>
      <c r="F160" s="198">
        <v>0</v>
      </c>
      <c r="G160" s="198">
        <v>2.7540056386653699E-2</v>
      </c>
      <c r="H160" s="198">
        <v>0.379441691839836</v>
      </c>
      <c r="I160" s="198">
        <v>0</v>
      </c>
      <c r="J160" s="198">
        <v>0</v>
      </c>
      <c r="K160" s="198">
        <v>7.7366489552603099E-2</v>
      </c>
      <c r="L160" s="198">
        <v>0</v>
      </c>
      <c r="M160" s="198">
        <v>0</v>
      </c>
      <c r="N160" s="198">
        <v>0</v>
      </c>
      <c r="O160" s="198">
        <v>0</v>
      </c>
      <c r="P160" s="198">
        <v>0</v>
      </c>
      <c r="Q160" s="198">
        <v>0.45636348652369502</v>
      </c>
      <c r="R160" s="198">
        <v>5.5823099680444598E-2</v>
      </c>
      <c r="S160" s="198">
        <v>0</v>
      </c>
      <c r="T160" s="198">
        <f t="shared" si="4"/>
        <v>0.99653482398323245</v>
      </c>
      <c r="U160" s="199"/>
      <c r="W160" s="158" t="s">
        <v>482</v>
      </c>
      <c r="X160" s="158" t="s">
        <v>497</v>
      </c>
      <c r="Y160" s="200">
        <f>'Mix éner %'!Y221</f>
        <v>4.4999999999999998E-2</v>
      </c>
      <c r="Z160" s="200">
        <f>'Mix éner %'!Z221</f>
        <v>0</v>
      </c>
      <c r="AA160" s="200">
        <f>'Mix éner %'!AA221</f>
        <v>2.01689588256188E-2</v>
      </c>
      <c r="AB160" s="200">
        <f>'Mix éner %'!AB221</f>
        <v>0.64500000000000002</v>
      </c>
      <c r="AC160" s="200">
        <f>'Mix éner %'!AC221</f>
        <v>0.04</v>
      </c>
      <c r="AD160" s="200">
        <f>'Mix éner %'!AD221</f>
        <v>0</v>
      </c>
      <c r="AE160" s="200">
        <f>'Mix éner %'!AE221</f>
        <v>0</v>
      </c>
      <c r="AF160" s="200">
        <f>'Mix éner %'!AF221</f>
        <v>0</v>
      </c>
      <c r="AG160" s="200">
        <f>'Mix éner %'!AG221</f>
        <v>0</v>
      </c>
      <c r="AH160" s="200">
        <f>'Mix éner %'!AH221</f>
        <v>0</v>
      </c>
      <c r="AI160" s="200">
        <f>'Mix éner %'!AI221</f>
        <v>0.25</v>
      </c>
      <c r="AJ160" s="200">
        <f>'Mix éner %'!AJ221</f>
        <v>0</v>
      </c>
      <c r="AK160" s="200">
        <f>'Mix éner %'!AK221</f>
        <v>0</v>
      </c>
      <c r="AL160" s="200">
        <f>'Mix éner %'!AL221</f>
        <v>0</v>
      </c>
      <c r="AM160" s="200">
        <f>'Mix éner %'!AM221</f>
        <v>1.0001689588256188</v>
      </c>
    </row>
    <row r="161" spans="3:39" x14ac:dyDescent="0.3">
      <c r="C161" s="634" t="s">
        <v>486</v>
      </c>
      <c r="D161" s="634"/>
      <c r="E161" s="198">
        <f>0.931456200227532%+0.03%</f>
        <v>9.6145620022753189E-3</v>
      </c>
      <c r="F161" s="198">
        <v>2.6631725060820001E-4</v>
      </c>
      <c r="G161" s="198">
        <v>4.5328498293515401E-2</v>
      </c>
      <c r="H161" s="198">
        <v>0.36181179367236099</v>
      </c>
      <c r="I161" s="198">
        <v>2.6631725060820001E-4</v>
      </c>
      <c r="J161" s="198">
        <v>2.6631725060820001E-4</v>
      </c>
      <c r="K161" s="198">
        <v>7.8198900591522694E-3</v>
      </c>
      <c r="L161" s="198">
        <v>0</v>
      </c>
      <c r="M161" s="198">
        <v>0</v>
      </c>
      <c r="N161" s="198">
        <v>0</v>
      </c>
      <c r="O161" s="198">
        <v>0</v>
      </c>
      <c r="P161" s="198">
        <v>0</v>
      </c>
      <c r="Q161" s="198">
        <v>0.57419922022113401</v>
      </c>
      <c r="R161" s="198">
        <v>1.2597185009542401E-3</v>
      </c>
      <c r="S161" s="198">
        <v>0</v>
      </c>
      <c r="T161" s="198">
        <f t="shared" si="4"/>
        <v>1.0008326345012168</v>
      </c>
      <c r="U161" s="199"/>
      <c r="W161" s="682" t="s">
        <v>483</v>
      </c>
      <c r="X161" s="682"/>
      <c r="Y161" s="688"/>
      <c r="Z161" s="688"/>
      <c r="AA161" s="688"/>
      <c r="AB161" s="688"/>
      <c r="AC161" s="688"/>
      <c r="AD161" s="688"/>
      <c r="AE161" s="688"/>
      <c r="AF161" s="688"/>
      <c r="AG161" s="688"/>
      <c r="AH161" s="688"/>
      <c r="AI161" s="688"/>
      <c r="AJ161" s="688"/>
      <c r="AK161" s="688"/>
      <c r="AL161" s="688"/>
      <c r="AM161" s="688"/>
    </row>
    <row r="162" spans="3:39" x14ac:dyDescent="0.3">
      <c r="C162" s="635" t="s">
        <v>31</v>
      </c>
      <c r="D162" s="635"/>
      <c r="E162" s="206">
        <v>0</v>
      </c>
      <c r="F162" s="206">
        <v>0</v>
      </c>
      <c r="G162" s="198">
        <v>0.60548661005878501</v>
      </c>
      <c r="H162" s="198">
        <v>0.12495101241018899</v>
      </c>
      <c r="I162" s="198">
        <v>2.6631725060820001E-4</v>
      </c>
      <c r="J162" s="198">
        <v>2.6631725060820001E-4</v>
      </c>
      <c r="K162" s="198">
        <v>3.74265186152841E-2</v>
      </c>
      <c r="L162" s="198">
        <v>0</v>
      </c>
      <c r="M162" s="198">
        <v>0</v>
      </c>
      <c r="N162" s="198">
        <v>0</v>
      </c>
      <c r="O162" s="198">
        <v>0</v>
      </c>
      <c r="P162" s="198">
        <v>0</v>
      </c>
      <c r="Q162" s="198">
        <v>0.23213585891574101</v>
      </c>
      <c r="R162" s="198">
        <v>1.2597185009542401E-3</v>
      </c>
      <c r="S162" s="198">
        <v>0</v>
      </c>
      <c r="T162" s="198">
        <f t="shared" si="4"/>
        <v>1.0017923530021697</v>
      </c>
      <c r="U162" s="199"/>
      <c r="W162" s="158" t="s">
        <v>484</v>
      </c>
      <c r="X162" s="158" t="s">
        <v>497</v>
      </c>
      <c r="Y162" s="200">
        <f>'Mix éner %'!Y226</f>
        <v>0.16</v>
      </c>
      <c r="Z162" s="200">
        <f>'Mix éner %'!Z226</f>
        <v>0</v>
      </c>
      <c r="AA162" s="200">
        <f>'Mix éner %'!AA226</f>
        <v>8.5000000000000006E-2</v>
      </c>
      <c r="AB162" s="200">
        <f>'Mix éner %'!AB226</f>
        <v>0.66600000000000004</v>
      </c>
      <c r="AC162" s="200">
        <f>'Mix éner %'!AC226</f>
        <v>0.02</v>
      </c>
      <c r="AD162" s="200">
        <f>'Mix éner %'!AD226</f>
        <v>0</v>
      </c>
      <c r="AE162" s="200">
        <f>'Mix éner %'!AE226</f>
        <v>0</v>
      </c>
      <c r="AF162" s="200">
        <f>'Mix éner %'!AF226</f>
        <v>0</v>
      </c>
      <c r="AG162" s="200">
        <f>'Mix éner %'!AG226</f>
        <v>0</v>
      </c>
      <c r="AH162" s="200">
        <f>'Mix éner %'!AH226</f>
        <v>0</v>
      </c>
      <c r="AI162" s="200">
        <f>'Mix éner %'!AI226</f>
        <v>0.06</v>
      </c>
      <c r="AJ162" s="200">
        <f>'Mix éner %'!AJ226</f>
        <v>0</v>
      </c>
      <c r="AK162" s="200">
        <f>'Mix éner %'!AK226</f>
        <v>9.4626776531150699E-3</v>
      </c>
      <c r="AL162" s="200">
        <f>'Mix éner %'!AL226</f>
        <v>0</v>
      </c>
      <c r="AM162" s="200">
        <f>'Mix éner %'!AM226</f>
        <v>1.0004626776531151</v>
      </c>
    </row>
    <row r="163" spans="3:39" x14ac:dyDescent="0.3">
      <c r="C163" s="634" t="s">
        <v>487</v>
      </c>
      <c r="D163" s="634"/>
      <c r="E163" s="207"/>
      <c r="F163" s="207"/>
      <c r="G163" s="207"/>
      <c r="H163" s="207"/>
      <c r="I163" s="207"/>
      <c r="J163" s="207"/>
      <c r="K163" s="207"/>
      <c r="L163" s="207"/>
      <c r="M163" s="207"/>
      <c r="N163" s="207"/>
      <c r="O163" s="207"/>
      <c r="P163" s="207"/>
      <c r="Q163" s="207"/>
      <c r="R163" s="207"/>
      <c r="S163" s="207"/>
      <c r="T163" s="203">
        <f t="shared" si="4"/>
        <v>0</v>
      </c>
      <c r="U163" s="199"/>
      <c r="W163" s="158" t="s">
        <v>485</v>
      </c>
      <c r="X163" s="158" t="s">
        <v>497</v>
      </c>
      <c r="Y163" s="200">
        <f>'Mix éner %'!Y230</f>
        <v>0</v>
      </c>
      <c r="Z163" s="200">
        <f>'Mix éner %'!Z230</f>
        <v>0</v>
      </c>
      <c r="AA163" s="200">
        <f>'Mix éner %'!AA230</f>
        <v>2.5000000000000001E-2</v>
      </c>
      <c r="AB163" s="200">
        <f>'Mix éner %'!AB230</f>
        <v>0.379441691839836</v>
      </c>
      <c r="AC163" s="200">
        <f>'Mix éner %'!AC230</f>
        <v>0.06</v>
      </c>
      <c r="AD163" s="200">
        <f>'Mix éner %'!AD230</f>
        <v>0</v>
      </c>
      <c r="AE163" s="200">
        <f>'Mix éner %'!AE230</f>
        <v>0</v>
      </c>
      <c r="AF163" s="200">
        <f>'Mix éner %'!AF230</f>
        <v>0</v>
      </c>
      <c r="AG163" s="200">
        <f>'Mix éner %'!AG230</f>
        <v>0</v>
      </c>
      <c r="AH163" s="200">
        <f>'Mix éner %'!AH230</f>
        <v>0</v>
      </c>
      <c r="AI163" s="200">
        <f>'Mix éner %'!AI230</f>
        <v>0.48</v>
      </c>
      <c r="AJ163" s="200">
        <f>'Mix éner %'!AJ230</f>
        <v>0</v>
      </c>
      <c r="AK163" s="200">
        <f>'Mix éner %'!AK230</f>
        <v>5.5823099680444598E-2</v>
      </c>
      <c r="AL163" s="200">
        <f>'Mix éner %'!AL230</f>
        <v>0</v>
      </c>
      <c r="AM163" s="200">
        <f>'Mix éner %'!AM230</f>
        <v>1.0002647915202805</v>
      </c>
    </row>
    <row r="164" spans="3:39" x14ac:dyDescent="0.3">
      <c r="C164" s="175" t="s">
        <v>488</v>
      </c>
      <c r="D164" s="176" t="s">
        <v>497</v>
      </c>
      <c r="E164" s="198">
        <v>5.4480176252742795E-4</v>
      </c>
      <c r="F164" s="198">
        <v>0</v>
      </c>
      <c r="G164" s="198">
        <v>1.72156315557155E-2</v>
      </c>
      <c r="H164" s="198">
        <v>0.30607318583021498</v>
      </c>
      <c r="I164" s="198">
        <v>0</v>
      </c>
      <c r="J164" s="198">
        <v>0</v>
      </c>
      <c r="K164" s="198">
        <v>0.27917177635277701</v>
      </c>
      <c r="L164" s="198">
        <v>0</v>
      </c>
      <c r="M164" s="198">
        <v>0</v>
      </c>
      <c r="N164" s="198">
        <v>0</v>
      </c>
      <c r="O164" s="198">
        <v>0</v>
      </c>
      <c r="P164" s="198">
        <v>0</v>
      </c>
      <c r="Q164" s="198">
        <v>0.27929983154586702</v>
      </c>
      <c r="R164" s="198">
        <v>0.114087060571334</v>
      </c>
      <c r="S164" s="198">
        <v>0</v>
      </c>
      <c r="T164" s="198">
        <f t="shared" si="4"/>
        <v>0.9963922876184359</v>
      </c>
      <c r="U164" s="199"/>
      <c r="W164" s="682" t="s">
        <v>486</v>
      </c>
      <c r="X164" s="682"/>
      <c r="Y164" s="203">
        <f>'Mix éner %'!Y234</f>
        <v>0</v>
      </c>
      <c r="Z164" s="203">
        <f>'Mix éner %'!Z234</f>
        <v>0</v>
      </c>
      <c r="AA164" s="203">
        <f>'Mix éner %'!AA234</f>
        <v>4.5328498296415401E-2</v>
      </c>
      <c r="AB164" s="203">
        <f>'Mix éner %'!AB234</f>
        <v>0.36499999999999999</v>
      </c>
      <c r="AC164" s="203">
        <f>'Mix éner %'!AC234</f>
        <v>8.0000000000000002E-3</v>
      </c>
      <c r="AD164" s="203">
        <f>'Mix éner %'!AD234</f>
        <v>0</v>
      </c>
      <c r="AE164" s="203">
        <f>'Mix éner %'!AE234</f>
        <v>0</v>
      </c>
      <c r="AF164" s="203">
        <f>'Mix éner %'!AF234</f>
        <v>0</v>
      </c>
      <c r="AG164" s="203">
        <f>'Mix éner %'!AG234</f>
        <v>0</v>
      </c>
      <c r="AH164" s="203">
        <f>'Mix éner %'!AH234</f>
        <v>0</v>
      </c>
      <c r="AI164" s="203">
        <f>'Mix éner %'!AI234</f>
        <v>0.57999999999999996</v>
      </c>
      <c r="AJ164" s="203">
        <f>'Mix éner %'!AJ234</f>
        <v>0</v>
      </c>
      <c r="AK164" s="203">
        <f>'Mix éner %'!AK234</f>
        <v>1.2597185009542401E-3</v>
      </c>
      <c r="AL164" s="203">
        <f>'Mix éner %'!AL234</f>
        <v>0</v>
      </c>
      <c r="AM164" s="203">
        <f>'Mix éner %'!AM234</f>
        <v>0.99958821679736953</v>
      </c>
    </row>
    <row r="165" spans="3:39" x14ac:dyDescent="0.3">
      <c r="C165" s="175" t="s">
        <v>489</v>
      </c>
      <c r="D165" s="176" t="s">
        <v>497</v>
      </c>
      <c r="E165" s="198">
        <v>0</v>
      </c>
      <c r="F165" s="198">
        <v>0</v>
      </c>
      <c r="G165" s="198">
        <v>0.142357192645614</v>
      </c>
      <c r="H165" s="198">
        <v>0.31047389168022199</v>
      </c>
      <c r="I165" s="198">
        <v>0</v>
      </c>
      <c r="J165" s="198">
        <v>0</v>
      </c>
      <c r="K165" s="198">
        <v>4.4062207116484703E-2</v>
      </c>
      <c r="L165" s="198">
        <v>0</v>
      </c>
      <c r="M165" s="198">
        <v>0</v>
      </c>
      <c r="N165" s="198">
        <v>0</v>
      </c>
      <c r="O165" s="198">
        <v>0</v>
      </c>
      <c r="P165" s="198">
        <v>0</v>
      </c>
      <c r="Q165" s="198">
        <v>0.47960206881992801</v>
      </c>
      <c r="R165" s="198">
        <v>2.3504639737751201E-2</v>
      </c>
      <c r="S165" s="198">
        <v>0</v>
      </c>
      <c r="T165" s="198">
        <f t="shared" si="4"/>
        <v>0.99999999999999978</v>
      </c>
      <c r="U165" s="199"/>
      <c r="W165" s="682" t="s">
        <v>31</v>
      </c>
      <c r="X165" s="682"/>
      <c r="Y165" s="203">
        <f>'Mix éner %'!Y238</f>
        <v>0</v>
      </c>
      <c r="Z165" s="203">
        <f>'Mix éner %'!Z238</f>
        <v>0</v>
      </c>
      <c r="AA165" s="203">
        <f>'Mix éner %'!AA238</f>
        <v>0.60548661005878501</v>
      </c>
      <c r="AB165" s="203">
        <f>'Mix éner %'!AB238</f>
        <v>0.12495101241018899</v>
      </c>
      <c r="AC165" s="203">
        <f>'Mix éner %'!AC238</f>
        <v>3.74265186152841E-2</v>
      </c>
      <c r="AD165" s="203">
        <f>'Mix éner %'!AD238</f>
        <v>0</v>
      </c>
      <c r="AE165" s="203">
        <f>'Mix éner %'!AE238</f>
        <v>0</v>
      </c>
      <c r="AF165" s="203">
        <f>'Mix éner %'!AF238</f>
        <v>0</v>
      </c>
      <c r="AG165" s="203">
        <f>'Mix éner %'!AG238</f>
        <v>0</v>
      </c>
      <c r="AH165" s="203">
        <f>'Mix éner %'!AH238</f>
        <v>0</v>
      </c>
      <c r="AI165" s="203">
        <f>'Mix éner %'!AI238</f>
        <v>0.23216485891574101</v>
      </c>
      <c r="AJ165" s="203">
        <f>'Mix éner %'!AJ238</f>
        <v>0</v>
      </c>
      <c r="AK165" s="203">
        <f>'Mix éner %'!AK238</f>
        <v>0</v>
      </c>
      <c r="AL165" s="203">
        <f>'Mix éner %'!AL238</f>
        <v>0</v>
      </c>
      <c r="AM165" s="203">
        <f>'Mix éner %'!AM238</f>
        <v>1.0000289999999992</v>
      </c>
    </row>
    <row r="166" spans="3:39" x14ac:dyDescent="0.3">
      <c r="W166" s="682" t="s">
        <v>487</v>
      </c>
      <c r="X166" s="682"/>
      <c r="Y166" s="688"/>
      <c r="Z166" s="688"/>
      <c r="AA166" s="688"/>
      <c r="AB166" s="688"/>
      <c r="AC166" s="688"/>
      <c r="AD166" s="688"/>
      <c r="AE166" s="688"/>
      <c r="AF166" s="688"/>
      <c r="AG166" s="688"/>
      <c r="AH166" s="688"/>
      <c r="AI166" s="688"/>
      <c r="AJ166" s="688"/>
      <c r="AK166" s="688"/>
      <c r="AL166" s="688"/>
      <c r="AM166" s="688"/>
    </row>
    <row r="167" spans="3:39" x14ac:dyDescent="0.3">
      <c r="W167" s="158" t="s">
        <v>488</v>
      </c>
      <c r="X167" s="158" t="s">
        <v>497</v>
      </c>
      <c r="Y167" s="200">
        <f>'Mix éner %'!Y243</f>
        <v>0</v>
      </c>
      <c r="Z167" s="200">
        <f>'Mix éner %'!Z243</f>
        <v>0</v>
      </c>
      <c r="AA167" s="200">
        <f>'Mix éner %'!AA243</f>
        <v>0.01</v>
      </c>
      <c r="AB167" s="200">
        <f>'Mix éner %'!AB243</f>
        <v>0.3</v>
      </c>
      <c r="AC167" s="200">
        <f>'Mix éner %'!AC243</f>
        <v>0.27200000000000002</v>
      </c>
      <c r="AD167" s="200">
        <f>'Mix éner %'!AD243</f>
        <v>2.5000000000000001E-2</v>
      </c>
      <c r="AE167" s="200">
        <f>'Mix éner %'!AE243</f>
        <v>0</v>
      </c>
      <c r="AF167" s="200">
        <f>'Mix éner %'!AF243</f>
        <v>0</v>
      </c>
      <c r="AG167" s="200">
        <f>'Mix éner %'!AG243</f>
        <v>0</v>
      </c>
      <c r="AH167" s="200">
        <f>'Mix éner %'!AH243</f>
        <v>0</v>
      </c>
      <c r="AI167" s="200">
        <f>'Mix éner %'!AI243</f>
        <v>0.27929983154586702</v>
      </c>
      <c r="AJ167" s="200">
        <f>'Mix éner %'!AJ243</f>
        <v>0</v>
      </c>
      <c r="AK167" s="200">
        <f>'Mix éner %'!AK243</f>
        <v>0.114087060571334</v>
      </c>
      <c r="AL167" s="200">
        <f>'Mix éner %'!AL243</f>
        <v>0</v>
      </c>
      <c r="AM167" s="200">
        <f>'Mix éner %'!AM243</f>
        <v>1.0003868921172012</v>
      </c>
    </row>
    <row r="168" spans="3:39" x14ac:dyDescent="0.3">
      <c r="W168" s="158" t="s">
        <v>489</v>
      </c>
      <c r="X168" s="158" t="s">
        <v>497</v>
      </c>
      <c r="Y168" s="200">
        <f>'Mix éner %'!Y247</f>
        <v>0</v>
      </c>
      <c r="Z168" s="200">
        <f>'Mix éner %'!Z247</f>
        <v>0</v>
      </c>
      <c r="AA168" s="200">
        <f>'Mix éner %'!AA247</f>
        <v>0.14264719264561401</v>
      </c>
      <c r="AB168" s="200">
        <f>'Mix éner %'!AB247</f>
        <v>0.31047389168022199</v>
      </c>
      <c r="AC168" s="200">
        <f>'Mix éner %'!AC247</f>
        <v>4.4062207116484703E-2</v>
      </c>
      <c r="AD168" s="200">
        <f>'Mix éner %'!AD247</f>
        <v>0</v>
      </c>
      <c r="AE168" s="200">
        <f>'Mix éner %'!AE247</f>
        <v>0</v>
      </c>
      <c r="AF168" s="200">
        <f>'Mix éner %'!AF247</f>
        <v>0</v>
      </c>
      <c r="AG168" s="200">
        <f>'Mix éner %'!AG247</f>
        <v>0</v>
      </c>
      <c r="AH168" s="200">
        <f>'Mix éner %'!AH247</f>
        <v>0</v>
      </c>
      <c r="AI168" s="200">
        <f>'Mix éner %'!AI247</f>
        <v>0.47960206881992801</v>
      </c>
      <c r="AJ168" s="200">
        <f>'Mix éner %'!AJ247</f>
        <v>0</v>
      </c>
      <c r="AK168" s="200">
        <f>'Mix éner %'!AK247</f>
        <v>2.6404639737751201E-2</v>
      </c>
      <c r="AL168" s="200">
        <f>'Mix éner %'!AL247</f>
        <v>0</v>
      </c>
      <c r="AM168" s="200">
        <f>'Mix éner %'!AM247</f>
        <v>1.00319</v>
      </c>
    </row>
    <row r="170" spans="3:39" x14ac:dyDescent="0.3">
      <c r="Y170" s="157"/>
      <c r="Z170" s="157"/>
      <c r="AA170" s="157"/>
      <c r="AB170" s="157"/>
      <c r="AC170" s="157"/>
      <c r="AD170" s="157"/>
      <c r="AE170" s="157"/>
      <c r="AF170" s="157"/>
      <c r="AG170" s="157"/>
      <c r="AH170" s="157"/>
      <c r="AI170" s="157"/>
      <c r="AJ170" s="157"/>
      <c r="AK170" s="157"/>
      <c r="AL170" s="157"/>
      <c r="AM170" s="157"/>
    </row>
    <row r="171" spans="3:39" x14ac:dyDescent="0.3">
      <c r="C171" s="685" t="s">
        <v>541</v>
      </c>
      <c r="D171" s="685"/>
      <c r="E171" s="685"/>
      <c r="F171" s="685"/>
      <c r="G171" s="685"/>
      <c r="H171" s="685"/>
      <c r="I171" s="685"/>
      <c r="J171" s="685"/>
      <c r="K171" s="685"/>
      <c r="L171" s="685"/>
      <c r="M171" s="685"/>
      <c r="N171" s="685"/>
      <c r="O171" s="685"/>
      <c r="P171" s="685"/>
      <c r="Q171" s="685"/>
      <c r="R171" s="685"/>
      <c r="S171" s="685"/>
      <c r="T171" s="685"/>
      <c r="U171" s="195"/>
    </row>
    <row r="172" spans="3:39" ht="14.7" customHeight="1" x14ac:dyDescent="0.3">
      <c r="C172" s="686" t="s">
        <v>494</v>
      </c>
      <c r="D172" s="686"/>
      <c r="E172" s="687" t="s">
        <v>438</v>
      </c>
      <c r="F172" s="687" t="s">
        <v>439</v>
      </c>
      <c r="G172" s="687" t="s">
        <v>440</v>
      </c>
      <c r="H172" s="687" t="s">
        <v>441</v>
      </c>
      <c r="I172" s="687" t="s">
        <v>536</v>
      </c>
      <c r="J172" s="687" t="s">
        <v>537</v>
      </c>
      <c r="K172" s="687" t="s">
        <v>442</v>
      </c>
      <c r="L172" s="687"/>
      <c r="M172" s="687"/>
      <c r="N172" s="687"/>
      <c r="O172" s="687"/>
      <c r="P172" s="687"/>
      <c r="Q172" s="687" t="s">
        <v>445</v>
      </c>
      <c r="R172" s="687" t="s">
        <v>446</v>
      </c>
      <c r="S172" s="687" t="s">
        <v>447</v>
      </c>
      <c r="T172" s="687" t="s">
        <v>52</v>
      </c>
      <c r="U172" s="196"/>
      <c r="W172" s="680">
        <v>2050</v>
      </c>
      <c r="X172" s="680"/>
      <c r="Y172" s="680"/>
      <c r="Z172" s="680"/>
      <c r="AA172" s="680"/>
      <c r="AB172" s="680"/>
      <c r="AC172" s="680"/>
      <c r="AD172" s="680"/>
      <c r="AE172" s="680"/>
      <c r="AF172" s="680"/>
      <c r="AG172" s="680"/>
      <c r="AH172" s="680"/>
      <c r="AI172" s="680"/>
      <c r="AJ172" s="680"/>
      <c r="AK172" s="680"/>
      <c r="AL172" s="680"/>
      <c r="AM172" s="680"/>
    </row>
    <row r="173" spans="3:39" ht="70.5" customHeight="1" x14ac:dyDescent="0.3">
      <c r="C173" s="634" t="s">
        <v>24</v>
      </c>
      <c r="D173" s="634"/>
      <c r="E173" s="687"/>
      <c r="F173" s="687"/>
      <c r="G173" s="687"/>
      <c r="H173" s="687"/>
      <c r="I173" s="687"/>
      <c r="J173" s="687"/>
      <c r="K173" s="168" t="s">
        <v>450</v>
      </c>
      <c r="L173" s="168" t="s">
        <v>451</v>
      </c>
      <c r="M173" s="168" t="s">
        <v>452</v>
      </c>
      <c r="N173" s="168" t="s">
        <v>453</v>
      </c>
      <c r="O173" s="168" t="s">
        <v>443</v>
      </c>
      <c r="P173" s="168" t="s">
        <v>444</v>
      </c>
      <c r="Q173" s="687"/>
      <c r="R173" s="687"/>
      <c r="S173" s="687" t="s">
        <v>447</v>
      </c>
      <c r="T173" s="687"/>
      <c r="U173" s="196"/>
      <c r="W173" s="681" t="s">
        <v>538</v>
      </c>
      <c r="X173" s="681"/>
      <c r="Y173" s="677" t="s">
        <v>438</v>
      </c>
      <c r="Z173" s="152"/>
      <c r="AA173" s="677" t="s">
        <v>440</v>
      </c>
      <c r="AB173" s="677" t="s">
        <v>441</v>
      </c>
      <c r="AC173" s="677" t="s">
        <v>442</v>
      </c>
      <c r="AD173" s="677"/>
      <c r="AE173" s="677"/>
      <c r="AF173" s="677"/>
      <c r="AG173" s="677" t="s">
        <v>443</v>
      </c>
      <c r="AH173" s="677" t="s">
        <v>444</v>
      </c>
      <c r="AI173" s="677" t="s">
        <v>445</v>
      </c>
      <c r="AJ173" s="154"/>
      <c r="AK173" s="677" t="s">
        <v>446</v>
      </c>
      <c r="AL173" s="153" t="s">
        <v>447</v>
      </c>
      <c r="AM173" s="677" t="s">
        <v>52</v>
      </c>
    </row>
    <row r="174" spans="3:39" ht="43.2" x14ac:dyDescent="0.3">
      <c r="C174" s="175" t="s">
        <v>460</v>
      </c>
      <c r="D174" s="176" t="s">
        <v>497</v>
      </c>
      <c r="E174" s="197">
        <v>0.29818412658464</v>
      </c>
      <c r="F174" s="197">
        <v>0</v>
      </c>
      <c r="G174" s="197">
        <v>0</v>
      </c>
      <c r="H174" s="197">
        <v>0.32</v>
      </c>
      <c r="I174" s="197">
        <v>0</v>
      </c>
      <c r="J174" s="197">
        <v>0</v>
      </c>
      <c r="K174" s="197">
        <v>0</v>
      </c>
      <c r="L174" s="197">
        <v>0</v>
      </c>
      <c r="M174" s="197">
        <v>0</v>
      </c>
      <c r="N174" s="197">
        <v>0</v>
      </c>
      <c r="O174" s="197">
        <v>0</v>
      </c>
      <c r="P174" s="197">
        <v>0</v>
      </c>
      <c r="Q174" s="197">
        <v>0.27684596103582199</v>
      </c>
      <c r="R174" s="197">
        <v>0</v>
      </c>
      <c r="S174" s="197">
        <v>0.104969912379538</v>
      </c>
      <c r="T174" s="198">
        <f t="shared" ref="T174:T179" si="5">SUM(E174:S174)</f>
        <v>1</v>
      </c>
      <c r="U174" s="199"/>
      <c r="W174" s="681"/>
      <c r="X174" s="681"/>
      <c r="Y174" s="677"/>
      <c r="Z174" s="152" t="s">
        <v>454</v>
      </c>
      <c r="AA174" s="677"/>
      <c r="AB174" s="677"/>
      <c r="AC174" s="153" t="s">
        <v>450</v>
      </c>
      <c r="AD174" s="153" t="s">
        <v>451</v>
      </c>
      <c r="AE174" s="153" t="s">
        <v>452</v>
      </c>
      <c r="AF174" s="153" t="s">
        <v>453</v>
      </c>
      <c r="AG174" s="677"/>
      <c r="AH174" s="677"/>
      <c r="AI174" s="677"/>
      <c r="AJ174" s="155" t="s">
        <v>455</v>
      </c>
      <c r="AK174" s="677"/>
      <c r="AL174" s="153" t="s">
        <v>447</v>
      </c>
      <c r="AM174" s="677"/>
    </row>
    <row r="175" spans="3:39" x14ac:dyDescent="0.3">
      <c r="C175" s="175" t="s">
        <v>463</v>
      </c>
      <c r="D175" s="176" t="s">
        <v>497</v>
      </c>
      <c r="E175" s="197">
        <v>1.4999999999999999E-2</v>
      </c>
      <c r="F175" s="197">
        <v>0</v>
      </c>
      <c r="G175" s="197">
        <v>0.02</v>
      </c>
      <c r="H175" s="197">
        <v>0.21099999999999999</v>
      </c>
      <c r="I175" s="197">
        <v>0</v>
      </c>
      <c r="J175" s="197">
        <v>0</v>
      </c>
      <c r="K175" s="197">
        <v>2.9000000000000001E-2</v>
      </c>
      <c r="L175" s="197">
        <v>0</v>
      </c>
      <c r="M175" s="197">
        <v>0</v>
      </c>
      <c r="N175" s="197">
        <v>0</v>
      </c>
      <c r="O175" s="197">
        <v>0</v>
      </c>
      <c r="P175" s="197">
        <v>0</v>
      </c>
      <c r="Q175" s="197">
        <v>0.72499999999999998</v>
      </c>
      <c r="R175" s="197">
        <v>0</v>
      </c>
      <c r="S175" s="197">
        <v>0</v>
      </c>
      <c r="T175" s="198">
        <f t="shared" si="5"/>
        <v>1</v>
      </c>
      <c r="U175" s="199"/>
      <c r="W175" s="682" t="s">
        <v>24</v>
      </c>
      <c r="X175" s="682"/>
      <c r="Y175" s="688"/>
      <c r="Z175" s="688"/>
      <c r="AA175" s="688"/>
      <c r="AB175" s="688"/>
      <c r="AC175" s="688"/>
      <c r="AD175" s="688"/>
      <c r="AE175" s="688"/>
      <c r="AF175" s="688"/>
      <c r="AG175" s="688"/>
      <c r="AH175" s="688"/>
      <c r="AI175" s="688"/>
      <c r="AJ175" s="688"/>
      <c r="AK175" s="688"/>
      <c r="AL175" s="688"/>
      <c r="AM175" s="688"/>
    </row>
    <row r="176" spans="3:39" x14ac:dyDescent="0.3">
      <c r="C176" s="175" t="s">
        <v>465</v>
      </c>
      <c r="D176" s="176" t="s">
        <v>497</v>
      </c>
      <c r="E176" s="197">
        <v>0</v>
      </c>
      <c r="F176" s="197">
        <v>0</v>
      </c>
      <c r="G176" s="197">
        <v>0</v>
      </c>
      <c r="H176" s="197">
        <v>0.15207756232687</v>
      </c>
      <c r="I176" s="197">
        <v>0</v>
      </c>
      <c r="J176" s="197">
        <v>0</v>
      </c>
      <c r="K176" s="197">
        <v>0</v>
      </c>
      <c r="L176" s="197">
        <v>0</v>
      </c>
      <c r="M176" s="197">
        <v>0</v>
      </c>
      <c r="N176" s="197">
        <v>0</v>
      </c>
      <c r="O176" s="197">
        <v>0</v>
      </c>
      <c r="P176" s="197">
        <v>0</v>
      </c>
      <c r="Q176" s="197">
        <v>0.13767313019390601</v>
      </c>
      <c r="R176" s="197">
        <v>0</v>
      </c>
      <c r="S176" s="197">
        <v>0.71024930747922399</v>
      </c>
      <c r="T176" s="198">
        <f t="shared" si="5"/>
        <v>1</v>
      </c>
      <c r="U176" s="199"/>
      <c r="W176" s="158" t="s">
        <v>460</v>
      </c>
      <c r="X176" s="158" t="s">
        <v>497</v>
      </c>
      <c r="Y176" s="200">
        <f>'Mix éner %'!Y172</f>
        <v>0.59926162107736192</v>
      </c>
      <c r="Z176" s="200">
        <f>'Mix éner %'!Z172</f>
        <v>0.40073837892263797</v>
      </c>
      <c r="AA176" s="200">
        <f>'Mix éner %'!AA172</f>
        <v>0</v>
      </c>
      <c r="AB176" s="200">
        <f>'Mix éner %'!AB172</f>
        <v>0</v>
      </c>
      <c r="AC176" s="200">
        <f>'Mix éner %'!AC172</f>
        <v>0</v>
      </c>
      <c r="AD176" s="200">
        <f>'Mix éner %'!AD172</f>
        <v>0</v>
      </c>
      <c r="AE176" s="200">
        <f>'Mix éner %'!AE172</f>
        <v>0</v>
      </c>
      <c r="AF176" s="200">
        <f>'Mix éner %'!AF172</f>
        <v>0</v>
      </c>
      <c r="AG176" s="200">
        <f>'Mix éner %'!AG172</f>
        <v>0</v>
      </c>
      <c r="AH176" s="200">
        <f>'Mix éner %'!AH172</f>
        <v>0</v>
      </c>
      <c r="AI176" s="200">
        <f>'Mix éner %'!AI172</f>
        <v>0</v>
      </c>
      <c r="AJ176" s="200">
        <f>'Mix éner %'!AJ172</f>
        <v>0</v>
      </c>
      <c r="AK176" s="200">
        <f>'Mix éner %'!AK172</f>
        <v>0</v>
      </c>
      <c r="AL176" s="200">
        <f>'Mix éner %'!AL172</f>
        <v>0</v>
      </c>
      <c r="AM176" s="200">
        <f>'Mix éner %'!AM172</f>
        <v>0.99999999999999989</v>
      </c>
    </row>
    <row r="177" spans="3:39" x14ac:dyDescent="0.3">
      <c r="C177" s="175" t="s">
        <v>468</v>
      </c>
      <c r="D177" s="176" t="s">
        <v>497</v>
      </c>
      <c r="E177" s="186">
        <v>4.0000000000000001E-3</v>
      </c>
      <c r="F177" s="198">
        <v>0</v>
      </c>
      <c r="G177" s="186">
        <v>2.8000000000000001E-2</v>
      </c>
      <c r="H177" s="186">
        <v>0.25</v>
      </c>
      <c r="I177" s="197">
        <v>0</v>
      </c>
      <c r="J177" s="197">
        <v>0</v>
      </c>
      <c r="K177" s="197">
        <v>0</v>
      </c>
      <c r="L177" s="197">
        <v>0</v>
      </c>
      <c r="M177" s="197">
        <v>0</v>
      </c>
      <c r="N177" s="197">
        <v>0</v>
      </c>
      <c r="O177" s="197">
        <v>0</v>
      </c>
      <c r="P177" s="197">
        <v>0</v>
      </c>
      <c r="Q177" s="186">
        <v>0.71</v>
      </c>
      <c r="R177" s="186">
        <v>8.0000000000000002E-3</v>
      </c>
      <c r="S177" s="198">
        <v>0</v>
      </c>
      <c r="T177" s="198">
        <f t="shared" si="5"/>
        <v>1</v>
      </c>
      <c r="U177" s="199"/>
      <c r="W177" s="158" t="s">
        <v>463</v>
      </c>
      <c r="X177" s="158" t="s">
        <v>497</v>
      </c>
      <c r="Y177" s="200">
        <f>'Mix éner %'!Y176</f>
        <v>0</v>
      </c>
      <c r="Z177" s="200">
        <f>'Mix éner %'!Z176</f>
        <v>0</v>
      </c>
      <c r="AA177" s="200">
        <f>'Mix éner %'!AA176</f>
        <v>0.02</v>
      </c>
      <c r="AB177" s="200">
        <f>'Mix éner %'!AB176</f>
        <v>0.23</v>
      </c>
      <c r="AC177" s="200">
        <f>'Mix éner %'!AC176</f>
        <v>0.02</v>
      </c>
      <c r="AD177" s="200">
        <f>'Mix éner %'!AD176</f>
        <v>0</v>
      </c>
      <c r="AE177" s="200">
        <f>'Mix éner %'!AE176</f>
        <v>0</v>
      </c>
      <c r="AF177" s="200">
        <f>'Mix éner %'!AF176</f>
        <v>0</v>
      </c>
      <c r="AG177" s="200">
        <f>'Mix éner %'!AG176</f>
        <v>0</v>
      </c>
      <c r="AH177" s="200">
        <f>'Mix éner %'!AH176</f>
        <v>0</v>
      </c>
      <c r="AI177" s="200">
        <f>'Mix éner %'!AI176</f>
        <v>0.73</v>
      </c>
      <c r="AJ177" s="200">
        <f>'Mix éner %'!AJ176</f>
        <v>0</v>
      </c>
      <c r="AK177" s="200">
        <f>'Mix éner %'!AK176</f>
        <v>0</v>
      </c>
      <c r="AL177" s="200">
        <f>'Mix éner %'!AL176</f>
        <v>0</v>
      </c>
      <c r="AM177" s="200">
        <f>'Mix éner %'!AM176</f>
        <v>1</v>
      </c>
    </row>
    <row r="178" spans="3:39" x14ac:dyDescent="0.3">
      <c r="C178" s="175" t="s">
        <v>470</v>
      </c>
      <c r="D178" s="176" t="s">
        <v>497</v>
      </c>
      <c r="E178" s="198">
        <v>0</v>
      </c>
      <c r="F178" s="198">
        <v>0</v>
      </c>
      <c r="G178" s="198">
        <v>0</v>
      </c>
      <c r="H178" s="198">
        <v>0.8</v>
      </c>
      <c r="I178" s="197">
        <v>0</v>
      </c>
      <c r="J178" s="197">
        <v>0</v>
      </c>
      <c r="K178" s="197">
        <v>0</v>
      </c>
      <c r="L178" s="197">
        <v>0</v>
      </c>
      <c r="M178" s="197">
        <v>0</v>
      </c>
      <c r="N178" s="197">
        <v>0</v>
      </c>
      <c r="O178" s="197">
        <v>0</v>
      </c>
      <c r="P178" s="197">
        <v>0</v>
      </c>
      <c r="Q178" s="198">
        <v>0.2</v>
      </c>
      <c r="R178" s="198">
        <v>0</v>
      </c>
      <c r="S178" s="198">
        <v>0</v>
      </c>
      <c r="T178" s="198">
        <f t="shared" si="5"/>
        <v>1</v>
      </c>
      <c r="U178" s="199"/>
      <c r="W178" s="158" t="s">
        <v>465</v>
      </c>
      <c r="X178" s="158" t="s">
        <v>497</v>
      </c>
      <c r="Y178" s="200">
        <f>'Mix éner %'!Y180</f>
        <v>0</v>
      </c>
      <c r="Z178" s="200">
        <f>'Mix éner %'!Z180</f>
        <v>0</v>
      </c>
      <c r="AA178" s="200">
        <f>'Mix éner %'!AA180</f>
        <v>0</v>
      </c>
      <c r="AB178" s="200">
        <f>'Mix éner %'!AB180</f>
        <v>0</v>
      </c>
      <c r="AC178" s="200">
        <f>'Mix éner %'!AC180</f>
        <v>0</v>
      </c>
      <c r="AD178" s="200">
        <f>'Mix éner %'!AD180</f>
        <v>0</v>
      </c>
      <c r="AE178" s="200">
        <f>'Mix éner %'!AE180</f>
        <v>0</v>
      </c>
      <c r="AF178" s="200">
        <f>'Mix éner %'!AF180</f>
        <v>0</v>
      </c>
      <c r="AG178" s="200">
        <f>'Mix éner %'!AG180</f>
        <v>0</v>
      </c>
      <c r="AH178" s="200">
        <f>'Mix éner %'!AH180</f>
        <v>0</v>
      </c>
      <c r="AI178" s="200">
        <f>'Mix éner %'!AI180</f>
        <v>0</v>
      </c>
      <c r="AJ178" s="200">
        <f>'Mix éner %'!AJ180</f>
        <v>0</v>
      </c>
      <c r="AK178" s="200">
        <f>'Mix éner %'!AK180</f>
        <v>0</v>
      </c>
      <c r="AL178" s="200">
        <f>'Mix éner %'!AL180</f>
        <v>0</v>
      </c>
      <c r="AM178" s="200">
        <f>'Mix éner %'!AM180</f>
        <v>0</v>
      </c>
    </row>
    <row r="179" spans="3:39" x14ac:dyDescent="0.3">
      <c r="C179" s="175" t="s">
        <v>472</v>
      </c>
      <c r="D179" s="176" t="s">
        <v>497</v>
      </c>
      <c r="E179" s="198">
        <v>2.18316716171187E-4</v>
      </c>
      <c r="F179" s="198">
        <v>2.18316716171187E-4</v>
      </c>
      <c r="G179" s="198">
        <v>0.152259671871665</v>
      </c>
      <c r="H179" s="198">
        <v>0.15712852885131401</v>
      </c>
      <c r="I179" s="198">
        <v>2.18316716171187E-4</v>
      </c>
      <c r="J179" s="198">
        <v>2.18316716171187E-4</v>
      </c>
      <c r="K179" s="198">
        <v>2.18316716171187E-4</v>
      </c>
      <c r="L179" s="198">
        <v>2.18316716171187E-4</v>
      </c>
      <c r="M179" s="198">
        <v>2.18316716171187E-4</v>
      </c>
      <c r="N179" s="198">
        <v>2.18316716171187E-4</v>
      </c>
      <c r="O179" s="198">
        <v>2.18316716171187E-4</v>
      </c>
      <c r="P179" s="198">
        <v>2.18316716171187E-4</v>
      </c>
      <c r="Q179" s="198">
        <v>0.675599380753927</v>
      </c>
      <c r="R179" s="198">
        <v>1.45757850907516E-2</v>
      </c>
      <c r="S179" s="198">
        <v>2.18316716171187E-4</v>
      </c>
      <c r="T179" s="198">
        <f t="shared" si="5"/>
        <v>1.0019648504455405</v>
      </c>
      <c r="U179" s="199"/>
      <c r="W179" s="164" t="s">
        <v>466</v>
      </c>
      <c r="X179" s="158" t="s">
        <v>497</v>
      </c>
      <c r="Y179" s="200">
        <f>'Mix éner %'!Y184</f>
        <v>5.1378862867308035E-2</v>
      </c>
      <c r="Z179" s="200">
        <f>'Mix éner %'!Z184</f>
        <v>2.8814188170211804E-2</v>
      </c>
      <c r="AA179" s="200">
        <f>'Mix éner %'!AA184</f>
        <v>8.4139055839584937E-3</v>
      </c>
      <c r="AB179" s="200">
        <f>'Mix éner %'!AB184</f>
        <v>0.43763063576671102</v>
      </c>
      <c r="AC179" s="200">
        <f>'Mix éner %'!AC184</f>
        <v>0</v>
      </c>
      <c r="AD179" s="200">
        <f>'Mix éner %'!AD184</f>
        <v>0</v>
      </c>
      <c r="AE179" s="200">
        <f>'Mix éner %'!AE184</f>
        <v>0</v>
      </c>
      <c r="AF179" s="200">
        <f>'Mix éner %'!AF184</f>
        <v>0</v>
      </c>
      <c r="AG179" s="200">
        <f>'Mix éner %'!AG184</f>
        <v>0</v>
      </c>
      <c r="AH179" s="200">
        <f>'Mix éner %'!AH184</f>
        <v>0</v>
      </c>
      <c r="AI179" s="200">
        <f>'Mix éner %'!AI184</f>
        <v>0.46695970689366384</v>
      </c>
      <c r="AJ179" s="200">
        <f>'Mix éner %'!AJ184</f>
        <v>0</v>
      </c>
      <c r="AK179" s="200">
        <f>'Mix éner %'!AK184</f>
        <v>6.8027007181468303E-3</v>
      </c>
      <c r="AL179" s="200">
        <f>'Mix éner %'!AL184</f>
        <v>0</v>
      </c>
      <c r="AM179" s="200">
        <f>'Mix éner %'!AM184</f>
        <v>1</v>
      </c>
    </row>
    <row r="180" spans="3:39" x14ac:dyDescent="0.3">
      <c r="C180" s="634" t="s">
        <v>25</v>
      </c>
      <c r="D180" s="634"/>
      <c r="E180" s="202"/>
      <c r="F180" s="202"/>
      <c r="G180" s="202"/>
      <c r="H180" s="202"/>
      <c r="I180" s="202"/>
      <c r="J180" s="202"/>
      <c r="K180" s="202"/>
      <c r="L180" s="202"/>
      <c r="M180" s="202"/>
      <c r="N180" s="202"/>
      <c r="O180" s="202"/>
      <c r="P180" s="202"/>
      <c r="Q180" s="202"/>
      <c r="R180" s="202"/>
      <c r="S180" s="202"/>
      <c r="T180" s="202"/>
      <c r="U180" s="199"/>
      <c r="W180" s="158" t="s">
        <v>468</v>
      </c>
      <c r="X180" s="158" t="s">
        <v>497</v>
      </c>
      <c r="Y180" s="200">
        <f>'Mix éner %'!Y188</f>
        <v>4.0000000000000001E-3</v>
      </c>
      <c r="Z180" s="200">
        <f>'Mix éner %'!Z188</f>
        <v>0</v>
      </c>
      <c r="AA180" s="200">
        <f>'Mix éner %'!AA188</f>
        <v>2.8000000000000001E-2</v>
      </c>
      <c r="AB180" s="200">
        <f>'Mix éner %'!AB188</f>
        <v>0.25</v>
      </c>
      <c r="AC180" s="200">
        <f>'Mix éner %'!AC188</f>
        <v>0</v>
      </c>
      <c r="AD180" s="200">
        <f>'Mix éner %'!AD188</f>
        <v>0</v>
      </c>
      <c r="AE180" s="200">
        <f>'Mix éner %'!AE188</f>
        <v>0</v>
      </c>
      <c r="AF180" s="200">
        <f>'Mix éner %'!AF188</f>
        <v>0</v>
      </c>
      <c r="AG180" s="200">
        <f>'Mix éner %'!AG188</f>
        <v>0</v>
      </c>
      <c r="AH180" s="200">
        <f>'Mix éner %'!AH188</f>
        <v>0</v>
      </c>
      <c r="AI180" s="200">
        <f>'Mix éner %'!AI188</f>
        <v>0.71</v>
      </c>
      <c r="AJ180" s="200">
        <f>'Mix éner %'!AJ188</f>
        <v>0</v>
      </c>
      <c r="AK180" s="200">
        <f>'Mix éner %'!AK188</f>
        <v>8.0000000000000002E-3</v>
      </c>
      <c r="AL180" s="200">
        <f>'Mix éner %'!AL188</f>
        <v>0</v>
      </c>
      <c r="AM180" s="200">
        <f>'Mix éner %'!AM188</f>
        <v>1</v>
      </c>
    </row>
    <row r="181" spans="3:39" x14ac:dyDescent="0.3">
      <c r="C181" s="175" t="s">
        <v>474</v>
      </c>
      <c r="D181" s="176" t="s">
        <v>497</v>
      </c>
      <c r="E181" s="198">
        <v>0</v>
      </c>
      <c r="F181" s="198">
        <v>0</v>
      </c>
      <c r="G181" s="198">
        <v>5.0000000000000001E-3</v>
      </c>
      <c r="H181" s="198">
        <v>0.23</v>
      </c>
      <c r="I181" s="198">
        <v>0</v>
      </c>
      <c r="J181" s="198">
        <v>0</v>
      </c>
      <c r="K181" s="198">
        <v>5.0000000000000001E-3</v>
      </c>
      <c r="L181" s="198">
        <v>0</v>
      </c>
      <c r="M181" s="198">
        <v>0</v>
      </c>
      <c r="N181" s="198">
        <v>0</v>
      </c>
      <c r="O181" s="198">
        <v>0</v>
      </c>
      <c r="P181" s="198">
        <v>0</v>
      </c>
      <c r="Q181" s="198">
        <v>0.76</v>
      </c>
      <c r="R181" s="198">
        <v>0</v>
      </c>
      <c r="S181" s="198">
        <v>0</v>
      </c>
      <c r="T181" s="198">
        <f>SUM(E181:S181)</f>
        <v>1</v>
      </c>
      <c r="U181" s="199"/>
      <c r="W181" s="158" t="s">
        <v>470</v>
      </c>
      <c r="X181" s="158" t="s">
        <v>497</v>
      </c>
      <c r="Y181" s="200">
        <f>'Mix éner %'!Y192</f>
        <v>0</v>
      </c>
      <c r="Z181" s="200">
        <f>'Mix éner %'!Z192</f>
        <v>0</v>
      </c>
      <c r="AA181" s="200">
        <f>'Mix éner %'!AA192</f>
        <v>2.4619339529365233E-2</v>
      </c>
      <c r="AB181" s="200">
        <f>'Mix éner %'!AB192</f>
        <v>0.63990508206446506</v>
      </c>
      <c r="AC181" s="200">
        <f>'Mix éner %'!AC192</f>
        <v>0</v>
      </c>
      <c r="AD181" s="200">
        <f>'Mix éner %'!AD192</f>
        <v>0</v>
      </c>
      <c r="AE181" s="200">
        <f>'Mix éner %'!AE192</f>
        <v>0</v>
      </c>
      <c r="AF181" s="200">
        <f>'Mix éner %'!AF192</f>
        <v>0</v>
      </c>
      <c r="AG181" s="200">
        <f>'Mix éner %'!AG192</f>
        <v>0</v>
      </c>
      <c r="AH181" s="200">
        <f>'Mix éner %'!AH192</f>
        <v>0</v>
      </c>
      <c r="AI181" s="200">
        <f>'Mix éner %'!AI192</f>
        <v>0.33547557840616971</v>
      </c>
      <c r="AJ181" s="200">
        <f>'Mix éner %'!AJ192</f>
        <v>0</v>
      </c>
      <c r="AK181" s="200">
        <f>'Mix éner %'!AK192</f>
        <v>0</v>
      </c>
      <c r="AL181" s="200">
        <f>'Mix éner %'!AL192</f>
        <v>0</v>
      </c>
      <c r="AM181" s="200">
        <f>'Mix éner %'!AM192</f>
        <v>1</v>
      </c>
    </row>
    <row r="182" spans="3:39" x14ac:dyDescent="0.3">
      <c r="C182" s="175" t="s">
        <v>475</v>
      </c>
      <c r="D182" s="176" t="s">
        <v>497</v>
      </c>
      <c r="E182" s="198">
        <v>0</v>
      </c>
      <c r="F182" s="198">
        <v>0</v>
      </c>
      <c r="G182" s="198">
        <v>0.01</v>
      </c>
      <c r="H182" s="198">
        <v>0.52149899788672405</v>
      </c>
      <c r="I182" s="198">
        <v>0</v>
      </c>
      <c r="J182" s="198">
        <v>0</v>
      </c>
      <c r="K182" s="198">
        <v>3.0411115934223999E-2</v>
      </c>
      <c r="L182" s="198">
        <v>0</v>
      </c>
      <c r="M182" s="198">
        <v>0</v>
      </c>
      <c r="N182" s="198">
        <v>0</v>
      </c>
      <c r="O182" s="198">
        <v>0</v>
      </c>
      <c r="P182" s="198">
        <v>0</v>
      </c>
      <c r="Q182" s="198">
        <v>0.298219525480862</v>
      </c>
      <c r="R182" s="198">
        <v>0.128122250471884</v>
      </c>
      <c r="S182" s="198">
        <v>1.1748110226307101E-2</v>
      </c>
      <c r="T182" s="198">
        <f>SUM(E182:S182)</f>
        <v>1.0000000000000011</v>
      </c>
      <c r="U182" s="199"/>
      <c r="W182" s="158" t="s">
        <v>472</v>
      </c>
      <c r="X182" s="158" t="s">
        <v>497</v>
      </c>
      <c r="Y182" s="200">
        <f>'Mix éner %'!Y196</f>
        <v>2.18316716171187E-4</v>
      </c>
      <c r="Z182" s="200">
        <f>'Mix éner %'!Z196</f>
        <v>0</v>
      </c>
      <c r="AA182" s="200">
        <f>'Mix éner %'!AA196</f>
        <v>0.17</v>
      </c>
      <c r="AB182" s="200">
        <f>'Mix éner %'!AB196</f>
        <v>8.5000000000000006E-2</v>
      </c>
      <c r="AC182" s="200">
        <f>'Mix éner %'!AC196</f>
        <v>2.18316716171187E-4</v>
      </c>
      <c r="AD182" s="200">
        <f>'Mix éner %'!AD196</f>
        <v>2.18316716171187E-4</v>
      </c>
      <c r="AE182" s="200">
        <f>'Mix éner %'!AE196</f>
        <v>2.18316716171187E-4</v>
      </c>
      <c r="AF182" s="200">
        <f>'Mix éner %'!AF196</f>
        <v>2.18316716171187E-4</v>
      </c>
      <c r="AG182" s="200">
        <f>'Mix éner %'!AG196</f>
        <v>2.18316716171187E-4</v>
      </c>
      <c r="AH182" s="200">
        <f>'Mix éner %'!AH196</f>
        <v>2.18316716171187E-4</v>
      </c>
      <c r="AI182" s="200">
        <f>'Mix éner %'!AI196</f>
        <v>0.68187088153521536</v>
      </c>
      <c r="AJ182" s="200">
        <f>'Mix éner %'!AJ196</f>
        <v>0</v>
      </c>
      <c r="AK182" s="200">
        <f>'Mix éner %'!AK196</f>
        <v>1.45757850907516E-2</v>
      </c>
      <c r="AL182" s="200">
        <f>'Mix éner %'!AL196</f>
        <v>2.18316716171187E-4</v>
      </c>
      <c r="AM182" s="200">
        <f>'Mix éner %'!AM196</f>
        <v>0.9531932003553365</v>
      </c>
    </row>
    <row r="183" spans="3:39" x14ac:dyDescent="0.3">
      <c r="C183" s="175" t="s">
        <v>478</v>
      </c>
      <c r="D183" s="176" t="s">
        <v>497</v>
      </c>
      <c r="E183" s="198">
        <v>0</v>
      </c>
      <c r="F183" s="198">
        <v>0</v>
      </c>
      <c r="G183" s="198">
        <v>5.8595894299541498E-2</v>
      </c>
      <c r="H183" s="198">
        <v>0.39124178724877001</v>
      </c>
      <c r="I183" s="198">
        <v>0</v>
      </c>
      <c r="J183" s="198">
        <v>0</v>
      </c>
      <c r="K183" s="198">
        <v>1.7387097713031801E-2</v>
      </c>
      <c r="L183" s="198">
        <v>0</v>
      </c>
      <c r="M183" s="198">
        <v>0</v>
      </c>
      <c r="N183" s="198">
        <v>0</v>
      </c>
      <c r="O183" s="198">
        <v>0</v>
      </c>
      <c r="P183" s="198">
        <v>0</v>
      </c>
      <c r="Q183" s="198">
        <v>0.32482105840412001</v>
      </c>
      <c r="R183" s="198">
        <v>0.20795416233453601</v>
      </c>
      <c r="S183" s="198">
        <v>0</v>
      </c>
      <c r="T183" s="198">
        <f>SUM(E183:S183)</f>
        <v>0.99999999999999933</v>
      </c>
      <c r="U183" s="199"/>
      <c r="W183" s="682" t="s">
        <v>25</v>
      </c>
      <c r="X183" s="682"/>
      <c r="Y183" s="688"/>
      <c r="Z183" s="688"/>
      <c r="AA183" s="688"/>
      <c r="AB183" s="688"/>
      <c r="AC183" s="688"/>
      <c r="AD183" s="688"/>
      <c r="AE183" s="688"/>
      <c r="AF183" s="688"/>
      <c r="AG183" s="688"/>
      <c r="AH183" s="688"/>
      <c r="AI183" s="688"/>
      <c r="AJ183" s="688"/>
      <c r="AK183" s="688"/>
      <c r="AL183" s="688"/>
      <c r="AM183" s="688"/>
    </row>
    <row r="184" spans="3:39" x14ac:dyDescent="0.3">
      <c r="C184" s="634" t="s">
        <v>479</v>
      </c>
      <c r="D184" s="634"/>
      <c r="E184" s="202"/>
      <c r="F184" s="202"/>
      <c r="G184" s="202"/>
      <c r="H184" s="202"/>
      <c r="I184" s="202"/>
      <c r="J184" s="202"/>
      <c r="K184" s="202"/>
      <c r="L184" s="202"/>
      <c r="M184" s="202"/>
      <c r="N184" s="202"/>
      <c r="O184" s="202"/>
      <c r="P184" s="202"/>
      <c r="Q184" s="202"/>
      <c r="R184" s="202"/>
      <c r="S184" s="202"/>
      <c r="T184" s="202"/>
      <c r="U184" s="199"/>
      <c r="W184" s="158" t="s">
        <v>474</v>
      </c>
      <c r="X184" s="158" t="s">
        <v>497</v>
      </c>
      <c r="Y184" s="200">
        <f>'Mix éner %'!Y201</f>
        <v>0</v>
      </c>
      <c r="Z184" s="200">
        <f>'Mix éner %'!Z201</f>
        <v>0</v>
      </c>
      <c r="AA184" s="200">
        <f>'Mix éner %'!AA201</f>
        <v>5.0000000000000001E-3</v>
      </c>
      <c r="AB184" s="200">
        <f>'Mix éner %'!AB201</f>
        <v>0.93</v>
      </c>
      <c r="AC184" s="200">
        <f>'Mix éner %'!AC201</f>
        <v>5.0000000000000001E-3</v>
      </c>
      <c r="AD184" s="200">
        <f>'Mix éner %'!AD201</f>
        <v>0</v>
      </c>
      <c r="AE184" s="200">
        <f>'Mix éner %'!AE201</f>
        <v>0</v>
      </c>
      <c r="AF184" s="200">
        <f>'Mix éner %'!AF201</f>
        <v>0</v>
      </c>
      <c r="AG184" s="200">
        <f>'Mix éner %'!AG201</f>
        <v>0</v>
      </c>
      <c r="AH184" s="200">
        <f>'Mix éner %'!AH201</f>
        <v>0</v>
      </c>
      <c r="AI184" s="200">
        <f>'Mix éner %'!AI201</f>
        <v>0.06</v>
      </c>
      <c r="AJ184" s="200">
        <f>'Mix éner %'!AJ201</f>
        <v>0</v>
      </c>
      <c r="AK184" s="200">
        <f>'Mix éner %'!AK201</f>
        <v>0</v>
      </c>
      <c r="AL184" s="200">
        <f>'Mix éner %'!AL201</f>
        <v>0</v>
      </c>
      <c r="AM184" s="200">
        <f>'Mix éner %'!AM201</f>
        <v>1</v>
      </c>
    </row>
    <row r="185" spans="3:39" x14ac:dyDescent="0.3">
      <c r="C185" s="175" t="s">
        <v>480</v>
      </c>
      <c r="D185" s="176" t="s">
        <v>497</v>
      </c>
      <c r="E185" s="198">
        <v>8.8067512085551095E-2</v>
      </c>
      <c r="F185" s="198">
        <v>0</v>
      </c>
      <c r="G185" s="198">
        <v>0.33500000000000002</v>
      </c>
      <c r="H185" s="198">
        <v>0</v>
      </c>
      <c r="I185" s="198">
        <v>0</v>
      </c>
      <c r="J185" s="198">
        <v>0</v>
      </c>
      <c r="K185" s="198">
        <v>0.52693248791444902</v>
      </c>
      <c r="L185" s="198">
        <v>0</v>
      </c>
      <c r="M185" s="198">
        <v>0</v>
      </c>
      <c r="N185" s="198">
        <v>0</v>
      </c>
      <c r="O185" s="198">
        <v>0</v>
      </c>
      <c r="P185" s="198">
        <v>0</v>
      </c>
      <c r="Q185" s="198">
        <v>0.03</v>
      </c>
      <c r="R185" s="198">
        <v>0</v>
      </c>
      <c r="S185" s="198">
        <v>0</v>
      </c>
      <c r="T185" s="198">
        <f>SUM(E185:S185)</f>
        <v>0.9800000000000002</v>
      </c>
      <c r="U185" s="199"/>
      <c r="W185" s="158" t="s">
        <v>475</v>
      </c>
      <c r="X185" s="158" t="s">
        <v>497</v>
      </c>
      <c r="Y185" s="200">
        <f>'Mix éner %'!Y205</f>
        <v>0</v>
      </c>
      <c r="Z185" s="200">
        <f>'Mix éner %'!Z205</f>
        <v>0</v>
      </c>
      <c r="AA185" s="200">
        <f>'Mix éner %'!AA205</f>
        <v>0.01</v>
      </c>
      <c r="AB185" s="200">
        <f>'Mix éner %'!AB205</f>
        <v>0.64</v>
      </c>
      <c r="AC185" s="200">
        <f>'Mix éner %'!AC205</f>
        <v>0.05</v>
      </c>
      <c r="AD185" s="200">
        <f>'Mix éner %'!AD205</f>
        <v>0</v>
      </c>
      <c r="AE185" s="200">
        <f>'Mix éner %'!AE205</f>
        <v>0</v>
      </c>
      <c r="AF185" s="200">
        <f>'Mix éner %'!AF205</f>
        <v>0</v>
      </c>
      <c r="AG185" s="200">
        <f>'Mix éner %'!AG205</f>
        <v>0</v>
      </c>
      <c r="AH185" s="200">
        <f>'Mix éner %'!AH205</f>
        <v>0</v>
      </c>
      <c r="AI185" s="200">
        <f>'Mix éner %'!AI205</f>
        <v>0.19999999999999996</v>
      </c>
      <c r="AJ185" s="200">
        <f>'Mix éner %'!AJ205</f>
        <v>0</v>
      </c>
      <c r="AK185" s="200">
        <f>'Mix éner %'!AK205</f>
        <v>0.09</v>
      </c>
      <c r="AL185" s="200">
        <f>'Mix éner %'!AL205</f>
        <v>0.01</v>
      </c>
      <c r="AM185" s="200">
        <f>'Mix éner %'!AM205</f>
        <v>1</v>
      </c>
    </row>
    <row r="186" spans="3:39" x14ac:dyDescent="0.3">
      <c r="C186" s="175" t="s">
        <v>481</v>
      </c>
      <c r="D186" s="176" t="s">
        <v>497</v>
      </c>
      <c r="E186" s="198">
        <v>0</v>
      </c>
      <c r="F186" s="198">
        <v>0</v>
      </c>
      <c r="G186" s="205">
        <v>0.02</v>
      </c>
      <c r="H186" s="205">
        <v>0.67</v>
      </c>
      <c r="I186" s="198">
        <v>0</v>
      </c>
      <c r="J186" s="198">
        <v>0</v>
      </c>
      <c r="K186" s="198">
        <v>0</v>
      </c>
      <c r="L186" s="198">
        <v>0</v>
      </c>
      <c r="M186" s="198">
        <v>0</v>
      </c>
      <c r="N186" s="198">
        <v>0</v>
      </c>
      <c r="O186" s="198">
        <v>0</v>
      </c>
      <c r="P186" s="198">
        <v>0</v>
      </c>
      <c r="Q186" s="205">
        <v>0.31</v>
      </c>
      <c r="R186" s="198">
        <v>0</v>
      </c>
      <c r="S186" s="198">
        <v>0</v>
      </c>
      <c r="T186" s="198">
        <f>SUM(E186:S186)</f>
        <v>1</v>
      </c>
      <c r="U186" s="199"/>
      <c r="W186" s="158" t="s">
        <v>478</v>
      </c>
      <c r="X186" s="158" t="s">
        <v>497</v>
      </c>
      <c r="Y186" s="200">
        <f>'Mix éner %'!Y209</f>
        <v>0</v>
      </c>
      <c r="Z186" s="200">
        <f>'Mix éner %'!Z209</f>
        <v>0</v>
      </c>
      <c r="AA186" s="200">
        <f>'Mix éner %'!AA209</f>
        <v>0.09</v>
      </c>
      <c r="AB186" s="200">
        <f>'Mix éner %'!AB209</f>
        <v>9.970766266164291E-3</v>
      </c>
      <c r="AC186" s="200">
        <f>'Mix éner %'!AC209</f>
        <v>4.7387097713031803E-2</v>
      </c>
      <c r="AD186" s="200">
        <f>'Mix éner %'!AD209</f>
        <v>0</v>
      </c>
      <c r="AE186" s="200">
        <f>'Mix éner %'!AE209</f>
        <v>0</v>
      </c>
      <c r="AF186" s="200">
        <f>'Mix éner %'!AF209</f>
        <v>0</v>
      </c>
      <c r="AG186" s="200">
        <f>'Mix éner %'!AG209</f>
        <v>0</v>
      </c>
      <c r="AH186" s="200">
        <f>'Mix éner %'!AH209</f>
        <v>0</v>
      </c>
      <c r="AI186" s="200">
        <f>'Mix éner %'!AI209</f>
        <v>0.59515545012183413</v>
      </c>
      <c r="AJ186" s="200">
        <f>'Mix éner %'!AJ209</f>
        <v>0</v>
      </c>
      <c r="AK186" s="200">
        <f>'Mix éner %'!AK209</f>
        <v>0.25748668589896972</v>
      </c>
      <c r="AL186" s="200">
        <f>'Mix éner %'!AL209</f>
        <v>0</v>
      </c>
      <c r="AM186" s="200">
        <f>'Mix éner %'!AM209</f>
        <v>1</v>
      </c>
    </row>
    <row r="187" spans="3:39" x14ac:dyDescent="0.3">
      <c r="C187" s="175" t="s">
        <v>482</v>
      </c>
      <c r="D187" s="176" t="s">
        <v>497</v>
      </c>
      <c r="E187" s="198">
        <f>4.58828948153757%+2.6%</f>
        <v>7.1882894815375714E-2</v>
      </c>
      <c r="F187" s="198">
        <v>0</v>
      </c>
      <c r="G187" s="198">
        <v>2.01689588256188E-2</v>
      </c>
      <c r="H187" s="198">
        <v>0.58907901911512295</v>
      </c>
      <c r="I187" s="198">
        <v>0</v>
      </c>
      <c r="J187" s="198">
        <v>0</v>
      </c>
      <c r="K187" s="198">
        <v>0</v>
      </c>
      <c r="L187" s="198">
        <v>0</v>
      </c>
      <c r="M187" s="198">
        <v>0</v>
      </c>
      <c r="N187" s="198">
        <v>0</v>
      </c>
      <c r="O187" s="198">
        <v>0</v>
      </c>
      <c r="P187" s="198">
        <v>0</v>
      </c>
      <c r="Q187" s="198">
        <v>0.318835432404667</v>
      </c>
      <c r="R187" s="198">
        <v>0</v>
      </c>
      <c r="S187" s="198">
        <v>0</v>
      </c>
      <c r="T187" s="198">
        <f>SUM(E187:S187)</f>
        <v>0.99996630516078455</v>
      </c>
      <c r="U187" s="199"/>
      <c r="W187" s="682" t="s">
        <v>479</v>
      </c>
      <c r="X187" s="682"/>
      <c r="Y187" s="688"/>
      <c r="Z187" s="688"/>
      <c r="AA187" s="688"/>
      <c r="AB187" s="688"/>
      <c r="AC187" s="688"/>
      <c r="AD187" s="688"/>
      <c r="AE187" s="688"/>
      <c r="AF187" s="688"/>
      <c r="AG187" s="688"/>
      <c r="AH187" s="688"/>
      <c r="AI187" s="688"/>
      <c r="AJ187" s="688"/>
      <c r="AK187" s="688"/>
      <c r="AL187" s="688"/>
      <c r="AM187" s="688"/>
    </row>
    <row r="188" spans="3:39" x14ac:dyDescent="0.3">
      <c r="C188" s="634" t="s">
        <v>483</v>
      </c>
      <c r="D188" s="634"/>
      <c r="E188" s="202"/>
      <c r="F188" s="202"/>
      <c r="G188" s="202"/>
      <c r="H188" s="202"/>
      <c r="I188" s="202"/>
      <c r="J188" s="202"/>
      <c r="K188" s="202"/>
      <c r="L188" s="202"/>
      <c r="M188" s="202"/>
      <c r="N188" s="202"/>
      <c r="O188" s="202"/>
      <c r="P188" s="202"/>
      <c r="Q188" s="202"/>
      <c r="R188" s="202"/>
      <c r="S188" s="202"/>
      <c r="T188" s="202"/>
      <c r="U188" s="199"/>
      <c r="W188" s="158" t="s">
        <v>480</v>
      </c>
      <c r="X188" s="158" t="s">
        <v>497</v>
      </c>
      <c r="Y188" s="200">
        <f>'Mix éner %'!Y214</f>
        <v>8.8067512085551095E-2</v>
      </c>
      <c r="Z188" s="200">
        <f>'Mix éner %'!Z214</f>
        <v>0</v>
      </c>
      <c r="AA188" s="200">
        <f>'Mix éner %'!AA214</f>
        <v>0.33499999999999996</v>
      </c>
      <c r="AB188" s="200">
        <f>'Mix éner %'!AB214</f>
        <v>0</v>
      </c>
      <c r="AC188" s="200">
        <f>'Mix éner %'!AC214</f>
        <v>0.21000000000000002</v>
      </c>
      <c r="AD188" s="200">
        <f>'Mix éner %'!AD214</f>
        <v>0.27</v>
      </c>
      <c r="AE188" s="200">
        <f>'Mix éner %'!AE214</f>
        <v>0</v>
      </c>
      <c r="AF188" s="200">
        <f>'Mix éner %'!AF214</f>
        <v>0</v>
      </c>
      <c r="AG188" s="200">
        <f>'Mix éner %'!AG214</f>
        <v>0</v>
      </c>
      <c r="AH188" s="200">
        <f>'Mix éner %'!AH214</f>
        <v>0</v>
      </c>
      <c r="AI188" s="200">
        <f>'Mix éner %'!AI214</f>
        <v>9.6932487914448862E-2</v>
      </c>
      <c r="AJ188" s="200">
        <f>'Mix éner %'!AJ214</f>
        <v>0</v>
      </c>
      <c r="AK188" s="200">
        <f>'Mix éner %'!AK214</f>
        <v>0</v>
      </c>
      <c r="AL188" s="200">
        <f>'Mix éner %'!AL214</f>
        <v>0</v>
      </c>
      <c r="AM188" s="200">
        <f>'Mix éner %'!AM214</f>
        <v>1</v>
      </c>
    </row>
    <row r="189" spans="3:39" x14ac:dyDescent="0.3">
      <c r="C189" s="175" t="s">
        <v>484</v>
      </c>
      <c r="D189" s="176" t="s">
        <v>497</v>
      </c>
      <c r="E189" s="198">
        <v>0</v>
      </c>
      <c r="F189" s="198">
        <v>0</v>
      </c>
      <c r="G189" s="198">
        <v>4.4999999999999998E-2</v>
      </c>
      <c r="H189" s="198">
        <v>0.766758764368625</v>
      </c>
      <c r="I189" s="198">
        <v>0</v>
      </c>
      <c r="J189" s="198">
        <v>0</v>
      </c>
      <c r="K189" s="198">
        <v>0</v>
      </c>
      <c r="L189" s="198">
        <v>0</v>
      </c>
      <c r="M189" s="198">
        <v>0</v>
      </c>
      <c r="N189" s="198">
        <v>0</v>
      </c>
      <c r="O189" s="198">
        <v>0</v>
      </c>
      <c r="P189" s="198">
        <v>0</v>
      </c>
      <c r="Q189" s="198">
        <v>0.17477855797826</v>
      </c>
      <c r="R189" s="198">
        <v>9.4626776531150699E-3</v>
      </c>
      <c r="S189" s="198">
        <v>0</v>
      </c>
      <c r="T189" s="198">
        <f>SUM(E189:S189)</f>
        <v>0.99600000000000011</v>
      </c>
      <c r="U189" s="199"/>
      <c r="W189" s="158" t="s">
        <v>481</v>
      </c>
      <c r="X189" s="158" t="s">
        <v>497</v>
      </c>
      <c r="Y189" s="200">
        <f>'Mix éner %'!Y218</f>
        <v>0</v>
      </c>
      <c r="Z189" s="200">
        <f>'Mix éner %'!Z218</f>
        <v>0</v>
      </c>
      <c r="AA189" s="200">
        <f>'Mix éner %'!AA218</f>
        <v>0.02</v>
      </c>
      <c r="AB189" s="200">
        <f>'Mix éner %'!AB218</f>
        <v>0.67</v>
      </c>
      <c r="AC189" s="200">
        <f>'Mix éner %'!AC218</f>
        <v>0</v>
      </c>
      <c r="AD189" s="200">
        <f>'Mix éner %'!AD218</f>
        <v>0</v>
      </c>
      <c r="AE189" s="200">
        <f>'Mix éner %'!AE218</f>
        <v>0</v>
      </c>
      <c r="AF189" s="200">
        <f>'Mix éner %'!AF218</f>
        <v>0</v>
      </c>
      <c r="AG189" s="200">
        <f>'Mix éner %'!AG218</f>
        <v>0</v>
      </c>
      <c r="AH189" s="200">
        <f>'Mix éner %'!AH218</f>
        <v>0</v>
      </c>
      <c r="AI189" s="200">
        <f>'Mix éner %'!AI218</f>
        <v>0.31</v>
      </c>
      <c r="AJ189" s="200">
        <f>'Mix éner %'!AJ218</f>
        <v>0</v>
      </c>
      <c r="AK189" s="200">
        <f>'Mix éner %'!AK218</f>
        <v>0</v>
      </c>
      <c r="AL189" s="200">
        <f>'Mix éner %'!AL218</f>
        <v>0</v>
      </c>
      <c r="AM189" s="200">
        <f>'Mix éner %'!AM218</f>
        <v>1</v>
      </c>
    </row>
    <row r="190" spans="3:39" x14ac:dyDescent="0.3">
      <c r="C190" s="175" t="s">
        <v>485</v>
      </c>
      <c r="D190" s="176" t="s">
        <v>497</v>
      </c>
      <c r="E190" s="198">
        <v>0</v>
      </c>
      <c r="F190" s="198">
        <v>0</v>
      </c>
      <c r="G190" s="198">
        <v>0</v>
      </c>
      <c r="H190" s="198">
        <v>0.38</v>
      </c>
      <c r="I190" s="198">
        <v>0</v>
      </c>
      <c r="J190" s="198">
        <v>0</v>
      </c>
      <c r="K190" s="198">
        <v>0.1</v>
      </c>
      <c r="L190" s="198">
        <v>0</v>
      </c>
      <c r="M190" s="198">
        <v>0</v>
      </c>
      <c r="N190" s="198">
        <v>0</v>
      </c>
      <c r="O190" s="198">
        <v>0</v>
      </c>
      <c r="P190" s="198">
        <v>0</v>
      </c>
      <c r="Q190" s="198">
        <v>0.464176900319556</v>
      </c>
      <c r="R190" s="198">
        <v>5.5823099680444598E-2</v>
      </c>
      <c r="S190" s="198">
        <v>0</v>
      </c>
      <c r="T190" s="198">
        <f>SUM(E190:S190)</f>
        <v>1.0000000000000004</v>
      </c>
      <c r="U190" s="199"/>
      <c r="W190" s="158" t="s">
        <v>482</v>
      </c>
      <c r="X190" s="158" t="s">
        <v>497</v>
      </c>
      <c r="Y190" s="200">
        <f>'Mix éner %'!Y222</f>
        <v>0</v>
      </c>
      <c r="Z190" s="200">
        <f>'Mix éner %'!Z222</f>
        <v>0</v>
      </c>
      <c r="AA190" s="200">
        <f>'Mix éner %'!AA222</f>
        <v>0.01</v>
      </c>
      <c r="AB190" s="200">
        <f>'Mix éner %'!AB222</f>
        <v>0.59</v>
      </c>
      <c r="AC190" s="200">
        <f>'Mix éner %'!AC222</f>
        <v>0.05</v>
      </c>
      <c r="AD190" s="200">
        <f>'Mix éner %'!AD222</f>
        <v>0</v>
      </c>
      <c r="AE190" s="200">
        <f>'Mix éner %'!AE222</f>
        <v>0</v>
      </c>
      <c r="AF190" s="200">
        <f>'Mix éner %'!AF222</f>
        <v>0</v>
      </c>
      <c r="AG190" s="200">
        <f>'Mix éner %'!AG222</f>
        <v>0</v>
      </c>
      <c r="AH190" s="200">
        <f>'Mix éner %'!AH222</f>
        <v>0</v>
      </c>
      <c r="AI190" s="200">
        <f>'Mix éner %'!AI222</f>
        <v>0.64</v>
      </c>
      <c r="AJ190" s="200">
        <f>'Mix éner %'!AJ222</f>
        <v>0</v>
      </c>
      <c r="AK190" s="200">
        <f>'Mix éner %'!AK222</f>
        <v>0</v>
      </c>
      <c r="AL190" s="200">
        <f>'Mix éner %'!AL222</f>
        <v>0</v>
      </c>
      <c r="AM190" s="200">
        <f>'Mix éner %'!AM222</f>
        <v>1.29</v>
      </c>
    </row>
    <row r="191" spans="3:39" x14ac:dyDescent="0.3">
      <c r="C191" s="634" t="s">
        <v>486</v>
      </c>
      <c r="D191" s="634"/>
      <c r="E191" s="198">
        <v>9.3145620022753207E-3</v>
      </c>
      <c r="F191" s="198">
        <v>0</v>
      </c>
      <c r="G191" s="198">
        <v>1.3414705603275699E-2</v>
      </c>
      <c r="H191" s="198">
        <v>0.32181179367236101</v>
      </c>
      <c r="I191" s="198">
        <v>0</v>
      </c>
      <c r="J191" s="198">
        <v>0</v>
      </c>
      <c r="K191" s="208">
        <v>0.03</v>
      </c>
      <c r="L191" s="198">
        <v>0</v>
      </c>
      <c r="M191" s="198">
        <v>0</v>
      </c>
      <c r="N191" s="198">
        <v>0</v>
      </c>
      <c r="O191" s="198">
        <v>0</v>
      </c>
      <c r="P191" s="198">
        <v>0</v>
      </c>
      <c r="Q191" s="208">
        <v>0.62419922022113405</v>
      </c>
      <c r="R191" s="198">
        <v>0</v>
      </c>
      <c r="S191" s="198">
        <v>0</v>
      </c>
      <c r="T191" s="198">
        <f>SUM(E191:S191)</f>
        <v>0.99874028149904603</v>
      </c>
      <c r="U191" s="199"/>
      <c r="W191" s="682" t="s">
        <v>483</v>
      </c>
      <c r="X191" s="682"/>
      <c r="Y191" s="688"/>
      <c r="Z191" s="688"/>
      <c r="AA191" s="688"/>
      <c r="AB191" s="688"/>
      <c r="AC191" s="688"/>
      <c r="AD191" s="688"/>
      <c r="AE191" s="688"/>
      <c r="AF191" s="688"/>
      <c r="AG191" s="688"/>
      <c r="AH191" s="688"/>
      <c r="AI191" s="688"/>
      <c r="AJ191" s="688"/>
      <c r="AK191" s="688"/>
      <c r="AL191" s="688"/>
      <c r="AM191" s="688"/>
    </row>
    <row r="192" spans="3:39" x14ac:dyDescent="0.3">
      <c r="C192" s="635" t="s">
        <v>31</v>
      </c>
      <c r="D192" s="635"/>
      <c r="E192" s="206">
        <v>0</v>
      </c>
      <c r="F192" s="206">
        <v>0</v>
      </c>
      <c r="G192" s="198">
        <v>0.60548661005878501</v>
      </c>
      <c r="H192" s="198">
        <v>0.12495101241018899</v>
      </c>
      <c r="I192" s="198">
        <v>2.6631725060820001E-4</v>
      </c>
      <c r="J192" s="198">
        <v>2.6631725060820001E-4</v>
      </c>
      <c r="K192" s="198">
        <v>3.74265186152841E-2</v>
      </c>
      <c r="L192" s="198">
        <v>0</v>
      </c>
      <c r="M192" s="198">
        <v>0</v>
      </c>
      <c r="N192" s="198">
        <v>0</v>
      </c>
      <c r="O192" s="198">
        <v>0</v>
      </c>
      <c r="P192" s="198">
        <v>0</v>
      </c>
      <c r="Q192" s="198">
        <v>0.23213585891574101</v>
      </c>
      <c r="R192" s="198">
        <v>1.2597185009542401E-3</v>
      </c>
      <c r="S192" s="198">
        <v>0</v>
      </c>
      <c r="T192" s="198">
        <f>SUM(E192:S192)</f>
        <v>1.0017923530021697</v>
      </c>
      <c r="U192" s="199"/>
      <c r="W192" s="158" t="s">
        <v>484</v>
      </c>
      <c r="X192" s="158" t="s">
        <v>497</v>
      </c>
      <c r="Y192" s="200">
        <f>'Mix éner %'!Y227</f>
        <v>0</v>
      </c>
      <c r="Z192" s="200">
        <f>'Mix éner %'!Z227</f>
        <v>0</v>
      </c>
      <c r="AA192" s="200">
        <f>'Mix éner %'!AA227</f>
        <v>0.02</v>
      </c>
      <c r="AB192" s="200">
        <f>'Mix éner %'!AB227</f>
        <v>0.746</v>
      </c>
      <c r="AC192" s="200">
        <f>'Mix éner %'!AC227</f>
        <v>0.05</v>
      </c>
      <c r="AD192" s="200">
        <f>'Mix éner %'!AD227</f>
        <v>0</v>
      </c>
      <c r="AE192" s="200">
        <f>'Mix éner %'!AE227</f>
        <v>0</v>
      </c>
      <c r="AF192" s="200">
        <f>'Mix éner %'!AF227</f>
        <v>0</v>
      </c>
      <c r="AG192" s="200">
        <f>'Mix éner %'!AG227</f>
        <v>0</v>
      </c>
      <c r="AH192" s="200">
        <f>'Mix éner %'!AH227</f>
        <v>0</v>
      </c>
      <c r="AI192" s="200">
        <f>'Mix éner %'!AI227</f>
        <v>0.17477855797826</v>
      </c>
      <c r="AJ192" s="200">
        <f>'Mix éner %'!AJ227</f>
        <v>0</v>
      </c>
      <c r="AK192" s="200">
        <f>'Mix éner %'!AK227</f>
        <v>9.4626776531150699E-3</v>
      </c>
      <c r="AL192" s="200">
        <f>'Mix éner %'!AL227</f>
        <v>0</v>
      </c>
      <c r="AM192" s="200">
        <f>'Mix éner %'!AM227</f>
        <v>1.0002412356313752</v>
      </c>
    </row>
    <row r="193" spans="3:39" x14ac:dyDescent="0.3">
      <c r="C193" s="634" t="s">
        <v>487</v>
      </c>
      <c r="D193" s="634"/>
      <c r="E193" s="207"/>
      <c r="F193" s="207"/>
      <c r="G193" s="207"/>
      <c r="H193" s="207"/>
      <c r="I193" s="207"/>
      <c r="J193" s="207"/>
      <c r="K193" s="207"/>
      <c r="L193" s="207"/>
      <c r="M193" s="207"/>
      <c r="N193" s="207"/>
      <c r="O193" s="207"/>
      <c r="P193" s="207"/>
      <c r="Q193" s="207"/>
      <c r="R193" s="207"/>
      <c r="S193" s="207"/>
      <c r="T193" s="207"/>
      <c r="U193" s="199"/>
      <c r="W193" s="158" t="s">
        <v>485</v>
      </c>
      <c r="X193" s="158" t="s">
        <v>497</v>
      </c>
      <c r="Y193" s="200">
        <f>'Mix éner %'!Y231</f>
        <v>0</v>
      </c>
      <c r="Z193" s="200">
        <f>'Mix éner %'!Z231</f>
        <v>0</v>
      </c>
      <c r="AA193" s="200">
        <f>'Mix éner %'!AA231</f>
        <v>0</v>
      </c>
      <c r="AB193" s="200">
        <f>'Mix éner %'!AB231</f>
        <v>0.38</v>
      </c>
      <c r="AC193" s="200">
        <f>'Mix éner %'!AC231</f>
        <v>0.08</v>
      </c>
      <c r="AD193" s="200">
        <f>'Mix éner %'!AD231</f>
        <v>0</v>
      </c>
      <c r="AE193" s="200">
        <f>'Mix éner %'!AE231</f>
        <v>0</v>
      </c>
      <c r="AF193" s="200">
        <f>'Mix éner %'!AF231</f>
        <v>0</v>
      </c>
      <c r="AG193" s="200">
        <f>'Mix éner %'!AG231</f>
        <v>0</v>
      </c>
      <c r="AH193" s="200">
        <f>'Mix éner %'!AH231</f>
        <v>0</v>
      </c>
      <c r="AI193" s="200">
        <f>'Mix éner %'!AI231</f>
        <v>0.48399999999999999</v>
      </c>
      <c r="AJ193" s="200">
        <f>'Mix éner %'!AJ231</f>
        <v>0</v>
      </c>
      <c r="AK193" s="200">
        <f>'Mix éner %'!AK231</f>
        <v>5.5823099680444598E-2</v>
      </c>
      <c r="AL193" s="200">
        <f>'Mix éner %'!AL231</f>
        <v>0</v>
      </c>
      <c r="AM193" s="200">
        <f>'Mix éner %'!AM231</f>
        <v>0.99982309968044458</v>
      </c>
    </row>
    <row r="194" spans="3:39" x14ac:dyDescent="0.3">
      <c r="C194" s="175" t="s">
        <v>488</v>
      </c>
      <c r="D194" s="176" t="s">
        <v>497</v>
      </c>
      <c r="E194" s="198">
        <v>5.4480176252742795E-4</v>
      </c>
      <c r="F194" s="198">
        <v>0</v>
      </c>
      <c r="G194" s="198">
        <v>0</v>
      </c>
      <c r="H194" s="198">
        <v>0.24689652976749499</v>
      </c>
      <c r="I194" s="198">
        <v>0</v>
      </c>
      <c r="J194" s="198">
        <v>0</v>
      </c>
      <c r="K194" s="198">
        <v>0.20917177635277701</v>
      </c>
      <c r="L194" s="198">
        <v>0</v>
      </c>
      <c r="M194" s="198">
        <v>0</v>
      </c>
      <c r="N194" s="198">
        <v>0</v>
      </c>
      <c r="O194" s="198">
        <v>0</v>
      </c>
      <c r="P194" s="198">
        <v>0</v>
      </c>
      <c r="Q194" s="198">
        <v>0.37929983154586699</v>
      </c>
      <c r="R194" s="198">
        <v>0.16408706057133399</v>
      </c>
      <c r="S194" s="198">
        <v>0</v>
      </c>
      <c r="T194" s="198">
        <f>SUM(E194:S194)</f>
        <v>1.0000000000000004</v>
      </c>
      <c r="U194" s="199"/>
      <c r="W194" s="682" t="s">
        <v>486</v>
      </c>
      <c r="X194" s="682"/>
      <c r="Y194" s="203">
        <f>'Mix éner %'!Y235</f>
        <v>0</v>
      </c>
      <c r="Z194" s="203">
        <f>'Mix éner %'!Z235</f>
        <v>0</v>
      </c>
      <c r="AA194" s="203">
        <f>'Mix éner %'!AA235</f>
        <v>0</v>
      </c>
      <c r="AB194" s="203">
        <f>'Mix éner %'!AB235</f>
        <v>0.01</v>
      </c>
      <c r="AC194" s="203">
        <f>'Mix éner %'!AC235</f>
        <v>0</v>
      </c>
      <c r="AD194" s="203">
        <f>'Mix éner %'!AD235</f>
        <v>0</v>
      </c>
      <c r="AE194" s="203">
        <f>'Mix éner %'!AE235</f>
        <v>0</v>
      </c>
      <c r="AF194" s="203">
        <f>'Mix éner %'!AF235</f>
        <v>0</v>
      </c>
      <c r="AG194" s="203">
        <f>'Mix éner %'!AG235</f>
        <v>0</v>
      </c>
      <c r="AH194" s="203">
        <f>'Mix éner %'!AH235</f>
        <v>0</v>
      </c>
      <c r="AI194" s="203">
        <f>'Mix éner %'!AI235</f>
        <v>0</v>
      </c>
      <c r="AJ194" s="203">
        <f>'Mix éner %'!AJ235</f>
        <v>0</v>
      </c>
      <c r="AK194" s="203">
        <f>'Mix éner %'!AK235</f>
        <v>1E-3</v>
      </c>
      <c r="AL194" s="203">
        <f>'Mix éner %'!AL235</f>
        <v>0</v>
      </c>
      <c r="AM194" s="203">
        <f>'Mix éner %'!AM235</f>
        <v>0</v>
      </c>
    </row>
    <row r="195" spans="3:39" x14ac:dyDescent="0.3">
      <c r="C195" s="175" t="s">
        <v>489</v>
      </c>
      <c r="D195" s="176" t="s">
        <v>497</v>
      </c>
      <c r="E195" s="198">
        <v>0</v>
      </c>
      <c r="F195" s="198">
        <v>0</v>
      </c>
      <c r="G195" s="198">
        <v>0.04</v>
      </c>
      <c r="H195" s="198">
        <v>0.31047389168022199</v>
      </c>
      <c r="I195" s="198">
        <v>0</v>
      </c>
      <c r="J195" s="198">
        <v>0</v>
      </c>
      <c r="K195" s="198">
        <v>0.06</v>
      </c>
      <c r="L195" s="198">
        <v>0</v>
      </c>
      <c r="M195" s="198">
        <v>0</v>
      </c>
      <c r="N195" s="198">
        <v>0</v>
      </c>
      <c r="O195" s="198">
        <v>0</v>
      </c>
      <c r="P195" s="198">
        <v>0</v>
      </c>
      <c r="Q195" s="198">
        <v>0.56999999999999995</v>
      </c>
      <c r="R195" s="198">
        <v>2.3504639737751201E-2</v>
      </c>
      <c r="S195" s="198">
        <v>0</v>
      </c>
      <c r="T195" s="198">
        <f>SUM(E195:S195)</f>
        <v>1.0039785314179732</v>
      </c>
      <c r="U195" s="199"/>
      <c r="W195" s="682" t="s">
        <v>31</v>
      </c>
      <c r="X195" s="682"/>
      <c r="Y195" s="203">
        <f>'Mix éner %'!Y239</f>
        <v>0</v>
      </c>
      <c r="Z195" s="203">
        <f>'Mix éner %'!Z239</f>
        <v>0</v>
      </c>
      <c r="AA195" s="203">
        <f>'Mix éner %'!AA239</f>
        <v>0.60548661005878501</v>
      </c>
      <c r="AB195" s="203">
        <f>'Mix éner %'!AB239</f>
        <v>0.12495101241018899</v>
      </c>
      <c r="AC195" s="203">
        <f>'Mix éner %'!AC239</f>
        <v>3.74265186152841E-2</v>
      </c>
      <c r="AD195" s="203">
        <f>'Mix éner %'!AD239</f>
        <v>0</v>
      </c>
      <c r="AE195" s="203">
        <f>'Mix éner %'!AE239</f>
        <v>0</v>
      </c>
      <c r="AF195" s="203">
        <f>'Mix éner %'!AF239</f>
        <v>0</v>
      </c>
      <c r="AG195" s="203">
        <f>'Mix éner %'!AG239</f>
        <v>0</v>
      </c>
      <c r="AH195" s="203">
        <f>'Mix éner %'!AH239</f>
        <v>0</v>
      </c>
      <c r="AI195" s="203">
        <f>'Mix éner %'!AI239</f>
        <v>0.23216485891574101</v>
      </c>
      <c r="AJ195" s="203">
        <f>'Mix éner %'!AJ239</f>
        <v>0</v>
      </c>
      <c r="AK195" s="203">
        <f>'Mix éner %'!AK239</f>
        <v>0</v>
      </c>
      <c r="AL195" s="203">
        <f>'Mix éner %'!AL239</f>
        <v>0</v>
      </c>
      <c r="AM195" s="203">
        <f>'Mix éner %'!AM239</f>
        <v>1.0000289999999992</v>
      </c>
    </row>
    <row r="196" spans="3:39" x14ac:dyDescent="0.3">
      <c r="W196" s="682" t="s">
        <v>487</v>
      </c>
      <c r="X196" s="682"/>
      <c r="Y196" s="688"/>
      <c r="Z196" s="688"/>
      <c r="AA196" s="688"/>
      <c r="AB196" s="688"/>
      <c r="AC196" s="688"/>
      <c r="AD196" s="688"/>
      <c r="AE196" s="688"/>
      <c r="AF196" s="688"/>
      <c r="AG196" s="688"/>
      <c r="AH196" s="688"/>
      <c r="AI196" s="688"/>
      <c r="AJ196" s="688"/>
      <c r="AK196" s="688"/>
      <c r="AL196" s="688"/>
      <c r="AM196" s="688"/>
    </row>
    <row r="197" spans="3:39" x14ac:dyDescent="0.3">
      <c r="W197" s="158" t="s">
        <v>488</v>
      </c>
      <c r="X197" s="158" t="s">
        <v>497</v>
      </c>
      <c r="Y197" s="200">
        <f>'Mix éner %'!Y244</f>
        <v>0</v>
      </c>
      <c r="Z197" s="200">
        <f>'Mix éner %'!Z244</f>
        <v>0</v>
      </c>
      <c r="AA197" s="200">
        <f>'Mix éner %'!AA244</f>
        <v>0</v>
      </c>
      <c r="AB197" s="200">
        <f>'Mix éner %'!AB244</f>
        <v>0.25</v>
      </c>
      <c r="AC197" s="200">
        <f>'Mix éner %'!AC244</f>
        <v>0.28999999999999998</v>
      </c>
      <c r="AD197" s="200">
        <f>'Mix éner %'!AD244</f>
        <v>0.04</v>
      </c>
      <c r="AE197" s="200">
        <f>'Mix éner %'!AE244</f>
        <v>0</v>
      </c>
      <c r="AF197" s="200">
        <f>'Mix éner %'!AF244</f>
        <v>0</v>
      </c>
      <c r="AG197" s="200">
        <f>'Mix éner %'!AG244</f>
        <v>0</v>
      </c>
      <c r="AH197" s="200">
        <f>'Mix éner %'!AH244</f>
        <v>0</v>
      </c>
      <c r="AI197" s="200">
        <f>'Mix éner %'!AI244</f>
        <v>0.28999999999999992</v>
      </c>
      <c r="AJ197" s="200">
        <f>'Mix éner %'!AJ244</f>
        <v>0</v>
      </c>
      <c r="AK197" s="200">
        <f>'Mix éner %'!AK244</f>
        <v>0.13</v>
      </c>
      <c r="AL197" s="200">
        <f>'Mix éner %'!AL244</f>
        <v>0</v>
      </c>
      <c r="AM197" s="200">
        <f>'Mix éner %'!AM244</f>
        <v>1</v>
      </c>
    </row>
    <row r="198" spans="3:39" x14ac:dyDescent="0.3">
      <c r="W198" s="158" t="s">
        <v>489</v>
      </c>
      <c r="X198" s="158" t="s">
        <v>497</v>
      </c>
      <c r="Y198" s="200">
        <f>'Mix éner %'!Y248</f>
        <v>0</v>
      </c>
      <c r="Z198" s="200">
        <f>'Mix éner %'!Z248</f>
        <v>0</v>
      </c>
      <c r="AA198" s="200">
        <f>'Mix éner %'!AA248</f>
        <v>3.5999999999999997E-2</v>
      </c>
      <c r="AB198" s="200">
        <f>'Mix éner %'!AB248</f>
        <v>0.31047389168022199</v>
      </c>
      <c r="AC198" s="200">
        <f>'Mix éner %'!AC248</f>
        <v>0.06</v>
      </c>
      <c r="AD198" s="200">
        <f>'Mix éner %'!AD248</f>
        <v>0</v>
      </c>
      <c r="AE198" s="200">
        <f>'Mix éner %'!AE248</f>
        <v>0</v>
      </c>
      <c r="AF198" s="200">
        <f>'Mix éner %'!AF248</f>
        <v>0</v>
      </c>
      <c r="AG198" s="200">
        <f>'Mix éner %'!AG248</f>
        <v>0</v>
      </c>
      <c r="AH198" s="200">
        <f>'Mix éner %'!AH248</f>
        <v>0</v>
      </c>
      <c r="AI198" s="200">
        <f>'Mix éner %'!AI248</f>
        <v>0.56999999999999995</v>
      </c>
      <c r="AJ198" s="200">
        <f>'Mix éner %'!AJ248</f>
        <v>0</v>
      </c>
      <c r="AK198" s="200">
        <f>'Mix éner %'!AK248</f>
        <v>2.6404639737751201E-2</v>
      </c>
      <c r="AL198" s="200">
        <f>'Mix éner %'!AL248</f>
        <v>0</v>
      </c>
      <c r="AM198" s="200">
        <f>'Mix éner %'!AM248</f>
        <v>1.0028785314179731</v>
      </c>
    </row>
  </sheetData>
  <mergeCells count="264">
    <mergeCell ref="C191:D191"/>
    <mergeCell ref="W191:X191"/>
    <mergeCell ref="Y191:AM191"/>
    <mergeCell ref="C192:D192"/>
    <mergeCell ref="C193:D193"/>
    <mergeCell ref="W194:X194"/>
    <mergeCell ref="W195:X195"/>
    <mergeCell ref="W196:X196"/>
    <mergeCell ref="Y196:AM196"/>
    <mergeCell ref="W175:X175"/>
    <mergeCell ref="Y175:AM175"/>
    <mergeCell ref="C180:D180"/>
    <mergeCell ref="W183:X183"/>
    <mergeCell ref="Y183:AM183"/>
    <mergeCell ref="C184:D184"/>
    <mergeCell ref="W187:X187"/>
    <mergeCell ref="Y187:AM187"/>
    <mergeCell ref="C188:D188"/>
    <mergeCell ref="W172:AM172"/>
    <mergeCell ref="C173:D173"/>
    <mergeCell ref="W173:X174"/>
    <mergeCell ref="Y173:Y174"/>
    <mergeCell ref="AA173:AA174"/>
    <mergeCell ref="AB173:AB174"/>
    <mergeCell ref="AC173:AF173"/>
    <mergeCell ref="AG173:AG174"/>
    <mergeCell ref="AH173:AH174"/>
    <mergeCell ref="AI173:AI174"/>
    <mergeCell ref="AK173:AK174"/>
    <mergeCell ref="AM173:AM174"/>
    <mergeCell ref="C171:T171"/>
    <mergeCell ref="C172:D172"/>
    <mergeCell ref="E172:E173"/>
    <mergeCell ref="F172:F173"/>
    <mergeCell ref="G172:G173"/>
    <mergeCell ref="H172:H173"/>
    <mergeCell ref="I172:I173"/>
    <mergeCell ref="J172:J173"/>
    <mergeCell ref="K172:P172"/>
    <mergeCell ref="Q172:Q173"/>
    <mergeCell ref="R172:R173"/>
    <mergeCell ref="S172:S173"/>
    <mergeCell ref="T172:T173"/>
    <mergeCell ref="C158:D158"/>
    <mergeCell ref="C161:D161"/>
    <mergeCell ref="W161:X161"/>
    <mergeCell ref="Y161:AM161"/>
    <mergeCell ref="C162:D162"/>
    <mergeCell ref="C163:D163"/>
    <mergeCell ref="W164:X164"/>
    <mergeCell ref="W165:X165"/>
    <mergeCell ref="W166:X166"/>
    <mergeCell ref="Y166:AM166"/>
    <mergeCell ref="AK143:AK144"/>
    <mergeCell ref="AM143:AM144"/>
    <mergeCell ref="W145:X145"/>
    <mergeCell ref="Y145:AM145"/>
    <mergeCell ref="C150:D150"/>
    <mergeCell ref="W153:X153"/>
    <mergeCell ref="Y153:AM153"/>
    <mergeCell ref="C154:D154"/>
    <mergeCell ref="W157:X157"/>
    <mergeCell ref="Y157:AM157"/>
    <mergeCell ref="C137:AN137"/>
    <mergeCell ref="C141:T141"/>
    <mergeCell ref="C142:D142"/>
    <mergeCell ref="E142:E143"/>
    <mergeCell ref="F142:F143"/>
    <mergeCell ref="G142:G143"/>
    <mergeCell ref="H142:H143"/>
    <mergeCell ref="I142:I143"/>
    <mergeCell ref="J142:J143"/>
    <mergeCell ref="K142:P142"/>
    <mergeCell ref="Q142:Q143"/>
    <mergeCell ref="R142:R143"/>
    <mergeCell ref="S142:S143"/>
    <mergeCell ref="T142:T143"/>
    <mergeCell ref="W142:AM142"/>
    <mergeCell ref="C143:D143"/>
    <mergeCell ref="W143:X144"/>
    <mergeCell ref="Y143:Y144"/>
    <mergeCell ref="AA143:AA144"/>
    <mergeCell ref="AB143:AB144"/>
    <mergeCell ref="AC143:AF143"/>
    <mergeCell ref="AG143:AG144"/>
    <mergeCell ref="AH143:AH144"/>
    <mergeCell ref="AI143:AI144"/>
    <mergeCell ref="C121:D121"/>
    <mergeCell ref="W123:X123"/>
    <mergeCell ref="Y123:AM123"/>
    <mergeCell ref="C124:D124"/>
    <mergeCell ref="C125:D125"/>
    <mergeCell ref="C126:D126"/>
    <mergeCell ref="W126:X126"/>
    <mergeCell ref="W127:X127"/>
    <mergeCell ref="W128:X128"/>
    <mergeCell ref="Y128:AM128"/>
    <mergeCell ref="C106:D106"/>
    <mergeCell ref="W107:X107"/>
    <mergeCell ref="Y107:AM107"/>
    <mergeCell ref="C113:D113"/>
    <mergeCell ref="W115:X115"/>
    <mergeCell ref="Y115:AM115"/>
    <mergeCell ref="C117:D117"/>
    <mergeCell ref="W119:X119"/>
    <mergeCell ref="Y119:AM119"/>
    <mergeCell ref="C104:T104"/>
    <mergeCell ref="W104:AM104"/>
    <mergeCell ref="C105:D105"/>
    <mergeCell ref="E105:E106"/>
    <mergeCell ref="F105:F106"/>
    <mergeCell ref="G105:G106"/>
    <mergeCell ref="H105:H106"/>
    <mergeCell ref="I105:I106"/>
    <mergeCell ref="J105:J106"/>
    <mergeCell ref="K105:P105"/>
    <mergeCell ref="Q105:Q106"/>
    <mergeCell ref="R105:R106"/>
    <mergeCell ref="S105:S106"/>
    <mergeCell ref="T105:T106"/>
    <mergeCell ref="W105:X106"/>
    <mergeCell ref="Y105:Y106"/>
    <mergeCell ref="AA105:AA106"/>
    <mergeCell ref="AB105:AB106"/>
    <mergeCell ref="AC105:AF105"/>
    <mergeCell ref="AG105:AG106"/>
    <mergeCell ref="AH105:AH106"/>
    <mergeCell ref="AI105:AI106"/>
    <mergeCell ref="AK105:AK106"/>
    <mergeCell ref="AM105:AM106"/>
    <mergeCell ref="C91:D91"/>
    <mergeCell ref="W93:X93"/>
    <mergeCell ref="Y93:AM93"/>
    <mergeCell ref="C94:D94"/>
    <mergeCell ref="C95:D95"/>
    <mergeCell ref="C96:D96"/>
    <mergeCell ref="W96:X96"/>
    <mergeCell ref="W97:X97"/>
    <mergeCell ref="W98:X98"/>
    <mergeCell ref="Y98:AM98"/>
    <mergeCell ref="AM75:AM76"/>
    <mergeCell ref="C76:D76"/>
    <mergeCell ref="W77:X77"/>
    <mergeCell ref="Y77:AM77"/>
    <mergeCell ref="C83:D83"/>
    <mergeCell ref="W85:X85"/>
    <mergeCell ref="Y85:AM85"/>
    <mergeCell ref="C87:D87"/>
    <mergeCell ref="W89:X89"/>
    <mergeCell ref="Y89:AM89"/>
    <mergeCell ref="C70:AN70"/>
    <mergeCell ref="C74:T74"/>
    <mergeCell ref="W74:AM74"/>
    <mergeCell ref="C75:D75"/>
    <mergeCell ref="E75:E76"/>
    <mergeCell ref="F75:F76"/>
    <mergeCell ref="G75:G76"/>
    <mergeCell ref="H75:H76"/>
    <mergeCell ref="I75:I76"/>
    <mergeCell ref="J75:J76"/>
    <mergeCell ref="K75:P75"/>
    <mergeCell ref="Q75:Q76"/>
    <mergeCell ref="R75:R76"/>
    <mergeCell ref="S75:S76"/>
    <mergeCell ref="T75:T76"/>
    <mergeCell ref="W75:X76"/>
    <mergeCell ref="Y75:Y76"/>
    <mergeCell ref="AA75:AA76"/>
    <mergeCell ref="AB75:AB76"/>
    <mergeCell ref="AC75:AF75"/>
    <mergeCell ref="AG75:AG76"/>
    <mergeCell ref="AH75:AH76"/>
    <mergeCell ref="AI75:AI76"/>
    <mergeCell ref="AK75:AK76"/>
    <mergeCell ref="C33:D33"/>
    <mergeCell ref="W33:X33"/>
    <mergeCell ref="AQ33:AR33"/>
    <mergeCell ref="C34:D34"/>
    <mergeCell ref="W34:X34"/>
    <mergeCell ref="AQ34:AR34"/>
    <mergeCell ref="C37:D37"/>
    <mergeCell ref="W37:X37"/>
    <mergeCell ref="AQ37:AR37"/>
    <mergeCell ref="C25:D25"/>
    <mergeCell ref="W25:X25"/>
    <mergeCell ref="AQ25:AR25"/>
    <mergeCell ref="C29:D29"/>
    <mergeCell ref="W29:X29"/>
    <mergeCell ref="AQ29:AR29"/>
    <mergeCell ref="C32:D32"/>
    <mergeCell ref="W32:X32"/>
    <mergeCell ref="AQ32:AR32"/>
    <mergeCell ref="AM11:AM12"/>
    <mergeCell ref="AS11:AT11"/>
    <mergeCell ref="AU11:AV11"/>
    <mergeCell ref="C13:D13"/>
    <mergeCell ref="W13:X13"/>
    <mergeCell ref="AQ13:AR13"/>
    <mergeCell ref="C21:D21"/>
    <mergeCell ref="W21:X21"/>
    <mergeCell ref="AQ21:AR21"/>
    <mergeCell ref="C2:J2"/>
    <mergeCell ref="C4:AN4"/>
    <mergeCell ref="C10:R10"/>
    <mergeCell ref="W10:AM10"/>
    <mergeCell ref="C11:D12"/>
    <mergeCell ref="E11:E12"/>
    <mergeCell ref="F11:F12"/>
    <mergeCell ref="G11:G12"/>
    <mergeCell ref="H11:H12"/>
    <mergeCell ref="I11:L11"/>
    <mergeCell ref="M11:M12"/>
    <mergeCell ref="N11:N12"/>
    <mergeCell ref="O11:O12"/>
    <mergeCell ref="P11:P12"/>
    <mergeCell ref="R11:R12"/>
    <mergeCell ref="W11:X12"/>
    <mergeCell ref="Y11:Y12"/>
    <mergeCell ref="AA11:AA12"/>
    <mergeCell ref="AB11:AB12"/>
    <mergeCell ref="AC11:AF11"/>
    <mergeCell ref="AG11:AG12"/>
    <mergeCell ref="AH11:AH12"/>
    <mergeCell ref="AI11:AI12"/>
    <mergeCell ref="AK11:AK12"/>
    <mergeCell ref="W50:X50"/>
    <mergeCell ref="W54:X54"/>
    <mergeCell ref="W58:X58"/>
    <mergeCell ref="C39:R39"/>
    <mergeCell ref="C40:D41"/>
    <mergeCell ref="E40:E41"/>
    <mergeCell ref="F40:F41"/>
    <mergeCell ref="G40:G41"/>
    <mergeCell ref="H40:H41"/>
    <mergeCell ref="I40:L40"/>
    <mergeCell ref="M40:M41"/>
    <mergeCell ref="N40:N41"/>
    <mergeCell ref="O40:O41"/>
    <mergeCell ref="P40:P41"/>
    <mergeCell ref="R40:R41"/>
    <mergeCell ref="W61:X61"/>
    <mergeCell ref="W62:X62"/>
    <mergeCell ref="W63:X63"/>
    <mergeCell ref="W66:X66"/>
    <mergeCell ref="W39:AM39"/>
    <mergeCell ref="AK40:AK41"/>
    <mergeCell ref="AM40:AM41"/>
    <mergeCell ref="C42:D42"/>
    <mergeCell ref="C50:D50"/>
    <mergeCell ref="C54:D54"/>
    <mergeCell ref="C58:D58"/>
    <mergeCell ref="C61:D61"/>
    <mergeCell ref="C62:D62"/>
    <mergeCell ref="C63:D63"/>
    <mergeCell ref="C66:D66"/>
    <mergeCell ref="W40:X41"/>
    <mergeCell ref="Y40:Y41"/>
    <mergeCell ref="AA40:AA41"/>
    <mergeCell ref="AB40:AB41"/>
    <mergeCell ref="AC40:AF40"/>
    <mergeCell ref="AG40:AG41"/>
    <mergeCell ref="AH40:AH41"/>
    <mergeCell ref="AI40:AI41"/>
    <mergeCell ref="W42:X42"/>
  </mergeCells>
  <hyperlinks>
    <hyperlink ref="AN15" r:id="rId1"/>
  </hyperlink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A6099"/>
  </sheetPr>
  <dimension ref="A7:AMK129"/>
  <sheetViews>
    <sheetView topLeftCell="A103" workbookViewId="0">
      <selection activeCell="G121" sqref="G121"/>
    </sheetView>
  </sheetViews>
  <sheetFormatPr baseColWidth="10" defaultColWidth="8.6640625" defaultRowHeight="14.4" x14ac:dyDescent="0.3"/>
  <cols>
    <col min="1" max="1" width="8.44140625" style="1" customWidth="1"/>
    <col min="2" max="2" width="41.44140625" style="1" customWidth="1"/>
    <col min="3" max="4" width="11.33203125" style="1" customWidth="1"/>
    <col min="5" max="5" width="12.33203125" style="1" customWidth="1"/>
    <col min="6" max="6" width="13.5546875" style="1" customWidth="1"/>
    <col min="7" max="7" width="13.33203125" style="1" customWidth="1"/>
    <col min="8" max="9" width="11.6640625" style="1" customWidth="1"/>
    <col min="10" max="10" width="16.33203125" style="1" customWidth="1"/>
    <col min="11" max="12" width="11.6640625" style="1" customWidth="1"/>
    <col min="13" max="13" width="24.33203125" style="1" customWidth="1"/>
    <col min="14" max="15" width="11.33203125" style="1" customWidth="1"/>
    <col min="16" max="17" width="8.44140625" style="1" customWidth="1"/>
    <col min="18" max="18" width="19.44140625" style="1" customWidth="1"/>
    <col min="19" max="23" width="8.44140625" style="1" customWidth="1"/>
    <col min="24" max="24" width="12.44140625" style="1" customWidth="1"/>
    <col min="25" max="1025" width="8.44140625" style="1" customWidth="1"/>
  </cols>
  <sheetData>
    <row r="7" spans="2:12" x14ac:dyDescent="0.3">
      <c r="B7" s="209" t="s">
        <v>542</v>
      </c>
    </row>
    <row r="8" spans="2:12" ht="13.95" customHeight="1" x14ac:dyDescent="0.3"/>
    <row r="9" spans="2:12" ht="31.95" customHeight="1" x14ac:dyDescent="0.3">
      <c r="B9" s="657" t="s">
        <v>457</v>
      </c>
      <c r="C9" s="657"/>
      <c r="D9" s="639" t="s">
        <v>3</v>
      </c>
      <c r="E9" s="639"/>
      <c r="F9" s="639"/>
      <c r="G9" s="639"/>
      <c r="H9" s="656" t="s">
        <v>4</v>
      </c>
      <c r="I9" s="656"/>
      <c r="J9" s="656"/>
      <c r="K9" s="656"/>
    </row>
    <row r="10" spans="2:12" x14ac:dyDescent="0.3">
      <c r="B10" s="657"/>
      <c r="C10" s="657"/>
      <c r="D10" s="169">
        <v>2025</v>
      </c>
      <c r="E10" s="169">
        <v>2030</v>
      </c>
      <c r="F10" s="169">
        <v>2040</v>
      </c>
      <c r="G10" s="169">
        <v>2050</v>
      </c>
      <c r="H10" s="169">
        <v>2025</v>
      </c>
      <c r="I10" s="169">
        <v>2030</v>
      </c>
      <c r="J10" s="169">
        <v>2040</v>
      </c>
      <c r="K10" s="169">
        <v>2050</v>
      </c>
      <c r="L10" s="1" t="s">
        <v>543</v>
      </c>
    </row>
    <row r="11" spans="2:12" x14ac:dyDescent="0.3">
      <c r="B11" s="635" t="s">
        <v>24</v>
      </c>
      <c r="C11" s="635"/>
      <c r="D11" s="211"/>
      <c r="E11" s="211"/>
      <c r="F11" s="211"/>
      <c r="G11" s="211"/>
      <c r="H11" s="211"/>
      <c r="I11" s="211"/>
      <c r="J11" s="211"/>
      <c r="K11" s="211"/>
      <c r="L11" s="1" t="s">
        <v>544</v>
      </c>
    </row>
    <row r="12" spans="2:12" x14ac:dyDescent="0.3">
      <c r="B12" s="632" t="s">
        <v>460</v>
      </c>
      <c r="C12" s="632"/>
      <c r="D12" s="212">
        <v>0.95698779937530498</v>
      </c>
      <c r="E12" s="212">
        <v>0.91711330773466804</v>
      </c>
      <c r="F12" s="212"/>
      <c r="G12" s="212">
        <v>0.88720743900418897</v>
      </c>
      <c r="H12" s="212"/>
      <c r="I12" s="212"/>
      <c r="J12" s="212"/>
      <c r="K12" s="212">
        <v>0.7</v>
      </c>
      <c r="L12" s="1" t="s">
        <v>545</v>
      </c>
    </row>
    <row r="13" spans="2:12" x14ac:dyDescent="0.3">
      <c r="B13" s="632" t="s">
        <v>463</v>
      </c>
      <c r="C13" s="632"/>
      <c r="D13" s="212">
        <v>0.96129032258064495</v>
      </c>
      <c r="E13" s="212">
        <v>0.92903225806451595</v>
      </c>
      <c r="F13" s="212"/>
      <c r="G13" s="212">
        <v>0.8</v>
      </c>
      <c r="H13" s="212"/>
      <c r="I13" s="212"/>
      <c r="J13" s="212"/>
      <c r="K13" s="212">
        <v>0.8</v>
      </c>
    </row>
    <row r="14" spans="2:12" x14ac:dyDescent="0.3">
      <c r="B14" s="632" t="s">
        <v>465</v>
      </c>
      <c r="C14" s="632"/>
      <c r="D14" s="212">
        <v>1</v>
      </c>
      <c r="E14" s="212">
        <v>1</v>
      </c>
      <c r="F14" s="212"/>
      <c r="G14" s="212">
        <v>1</v>
      </c>
      <c r="H14" s="212">
        <v>1</v>
      </c>
      <c r="I14" s="212">
        <v>1</v>
      </c>
      <c r="J14" s="212"/>
      <c r="K14" s="212">
        <v>1</v>
      </c>
    </row>
    <row r="15" spans="2:12" x14ac:dyDescent="0.3">
      <c r="B15" s="632" t="s">
        <v>546</v>
      </c>
      <c r="C15" s="632"/>
      <c r="D15" s="212">
        <v>0.98645161290322603</v>
      </c>
      <c r="E15" s="212">
        <v>0.97516129032258103</v>
      </c>
      <c r="F15" s="212"/>
      <c r="G15" s="212">
        <v>0.93</v>
      </c>
      <c r="H15" s="212"/>
      <c r="I15" s="212">
        <v>0.89</v>
      </c>
      <c r="J15" s="212"/>
      <c r="K15" s="212">
        <v>0.82</v>
      </c>
    </row>
    <row r="16" spans="2:12" x14ac:dyDescent="0.3">
      <c r="B16" s="632" t="s">
        <v>547</v>
      </c>
      <c r="C16" s="632"/>
      <c r="D16" s="212">
        <v>1</v>
      </c>
      <c r="E16" s="212">
        <v>1</v>
      </c>
      <c r="F16" s="212"/>
      <c r="G16" s="212">
        <v>1</v>
      </c>
      <c r="H16" s="212"/>
      <c r="I16" s="212">
        <v>0.89</v>
      </c>
      <c r="J16" s="212"/>
      <c r="K16" s="212">
        <v>0.82</v>
      </c>
      <c r="L16" s="1" t="s">
        <v>548</v>
      </c>
    </row>
    <row r="17" spans="2:12" x14ac:dyDescent="0.3">
      <c r="B17" s="632" t="s">
        <v>472</v>
      </c>
      <c r="C17" s="632"/>
      <c r="D17" s="212">
        <v>0.97391951528057497</v>
      </c>
      <c r="E17" s="212">
        <v>0.96408194441915396</v>
      </c>
      <c r="F17" s="212"/>
      <c r="G17" s="212">
        <v>0.95424437355773495</v>
      </c>
      <c r="H17" s="212">
        <v>0.96499999999999997</v>
      </c>
      <c r="I17" s="212">
        <v>0.93</v>
      </c>
      <c r="J17" s="212"/>
      <c r="K17" s="212">
        <v>0.85</v>
      </c>
    </row>
    <row r="18" spans="2:12" x14ac:dyDescent="0.3">
      <c r="B18" s="635" t="s">
        <v>25</v>
      </c>
      <c r="C18" s="635"/>
      <c r="D18" s="211"/>
      <c r="E18" s="211"/>
      <c r="F18" s="211"/>
      <c r="G18" s="211"/>
      <c r="H18" s="211"/>
      <c r="I18" s="211"/>
      <c r="J18" s="211"/>
      <c r="K18" s="211"/>
    </row>
    <row r="19" spans="2:12" x14ac:dyDescent="0.3">
      <c r="B19" s="632" t="s">
        <v>474</v>
      </c>
      <c r="C19" s="632"/>
      <c r="D19" s="212">
        <v>0.96</v>
      </c>
      <c r="E19" s="212">
        <v>0.92</v>
      </c>
      <c r="F19" s="212"/>
      <c r="G19" s="212">
        <v>0.9</v>
      </c>
      <c r="H19" s="212"/>
      <c r="I19" s="212">
        <v>0.91</v>
      </c>
      <c r="J19" s="212"/>
      <c r="K19" s="212">
        <v>0.8</v>
      </c>
    </row>
    <row r="20" spans="2:12" x14ac:dyDescent="0.3">
      <c r="B20" s="632" t="s">
        <v>475</v>
      </c>
      <c r="C20" s="632"/>
      <c r="D20" s="212">
        <v>0.90956065615245996</v>
      </c>
      <c r="E20" s="212">
        <v>0.83281462421471797</v>
      </c>
      <c r="F20" s="212"/>
      <c r="G20" s="212">
        <v>0.82422890643930802</v>
      </c>
      <c r="H20" s="212">
        <v>0.90168552036199101</v>
      </c>
      <c r="I20" s="212">
        <v>0.80796380090497699</v>
      </c>
      <c r="J20" s="212"/>
      <c r="K20" s="212">
        <v>0.73846153846153895</v>
      </c>
      <c r="L20" s="1" t="s">
        <v>549</v>
      </c>
    </row>
    <row r="21" spans="2:12" x14ac:dyDescent="0.3">
      <c r="B21" s="632" t="s">
        <v>478</v>
      </c>
      <c r="C21" s="632"/>
      <c r="D21" s="212">
        <v>0.95506546606905796</v>
      </c>
      <c r="E21" s="212">
        <v>0.93057660796472297</v>
      </c>
      <c r="F21" s="212"/>
      <c r="G21" s="212">
        <v>0.92078106472299004</v>
      </c>
      <c r="H21" s="212">
        <v>0.92</v>
      </c>
      <c r="I21" s="212">
        <v>0.84</v>
      </c>
      <c r="J21" s="212"/>
      <c r="K21" s="212">
        <v>0.67</v>
      </c>
    </row>
    <row r="22" spans="2:12" x14ac:dyDescent="0.3">
      <c r="B22" s="635" t="s">
        <v>479</v>
      </c>
      <c r="C22" s="635"/>
      <c r="D22" s="211"/>
      <c r="E22" s="211"/>
      <c r="F22" s="211"/>
      <c r="G22" s="211"/>
      <c r="H22" s="211"/>
      <c r="I22" s="211"/>
      <c r="J22" s="211"/>
      <c r="K22" s="211"/>
    </row>
    <row r="23" spans="2:12" x14ac:dyDescent="0.3">
      <c r="B23" s="632" t="s">
        <v>550</v>
      </c>
      <c r="C23" s="632"/>
      <c r="D23" s="212"/>
      <c r="E23" s="212">
        <v>0.96</v>
      </c>
      <c r="F23" s="212"/>
      <c r="G23" s="212">
        <v>0.96</v>
      </c>
      <c r="H23" s="212"/>
      <c r="I23" s="212"/>
      <c r="J23" s="212"/>
      <c r="K23" s="212">
        <v>0.92</v>
      </c>
      <c r="L23" s="1" t="s">
        <v>551</v>
      </c>
    </row>
    <row r="24" spans="2:12" x14ac:dyDescent="0.3">
      <c r="B24" s="632" t="s">
        <v>481</v>
      </c>
      <c r="C24" s="632"/>
      <c r="D24" s="212">
        <v>0.95093921708769802</v>
      </c>
      <c r="E24" s="212">
        <v>0.90613056287937699</v>
      </c>
      <c r="F24" s="212"/>
      <c r="G24" s="212">
        <v>0.85634316931457599</v>
      </c>
      <c r="H24" s="212"/>
      <c r="I24" s="212">
        <v>0.86541652329749097</v>
      </c>
      <c r="J24" s="212"/>
      <c r="K24" s="212">
        <v>0.74160573476702496</v>
      </c>
      <c r="L24" s="1" t="s">
        <v>552</v>
      </c>
    </row>
    <row r="25" spans="2:12" x14ac:dyDescent="0.3">
      <c r="B25" s="632" t="s">
        <v>482</v>
      </c>
      <c r="C25" s="632"/>
      <c r="D25" s="212">
        <v>0.96624355022597797</v>
      </c>
      <c r="E25" s="212">
        <v>0.94146807457915704</v>
      </c>
      <c r="F25" s="212"/>
      <c r="G25" s="212">
        <v>0.93155788432042896</v>
      </c>
      <c r="H25" s="212">
        <v>0.95499999999999996</v>
      </c>
      <c r="I25" s="212">
        <v>0.91</v>
      </c>
      <c r="J25" s="212"/>
      <c r="K25" s="212">
        <v>0.8</v>
      </c>
    </row>
    <row r="26" spans="2:12" x14ac:dyDescent="0.3">
      <c r="B26" s="635" t="s">
        <v>553</v>
      </c>
      <c r="C26" s="635"/>
      <c r="D26" s="213"/>
      <c r="E26" s="211"/>
      <c r="F26" s="211"/>
      <c r="G26" s="211"/>
      <c r="H26" s="211"/>
      <c r="I26" s="211"/>
      <c r="J26" s="211"/>
      <c r="K26" s="211"/>
    </row>
    <row r="27" spans="2:12" x14ac:dyDescent="0.3">
      <c r="B27" s="632" t="s">
        <v>554</v>
      </c>
      <c r="C27" s="632"/>
      <c r="D27" s="212">
        <v>0.92509223457259904</v>
      </c>
      <c r="E27" s="212">
        <v>0.86078100970926297</v>
      </c>
      <c r="F27" s="212"/>
      <c r="G27" s="212">
        <v>0.83109890592618596</v>
      </c>
      <c r="H27" s="212"/>
      <c r="I27" s="212">
        <v>0.88</v>
      </c>
      <c r="J27" s="212"/>
      <c r="K27" s="212">
        <v>0.74</v>
      </c>
    </row>
    <row r="28" spans="2:12" x14ac:dyDescent="0.3">
      <c r="B28" s="632" t="s">
        <v>555</v>
      </c>
      <c r="C28" s="632"/>
      <c r="D28" s="212">
        <v>0.94405869564292499</v>
      </c>
      <c r="E28" s="212">
        <v>0.88911348055259598</v>
      </c>
      <c r="F28" s="212"/>
      <c r="G28" s="212">
        <v>0.85914336323059803</v>
      </c>
      <c r="H28" s="212">
        <v>0.93</v>
      </c>
      <c r="I28" s="212">
        <v>0.86</v>
      </c>
      <c r="J28" s="212"/>
      <c r="K28" s="212">
        <v>0.69</v>
      </c>
    </row>
    <row r="29" spans="2:12" x14ac:dyDescent="0.3">
      <c r="B29" s="635" t="s">
        <v>486</v>
      </c>
      <c r="C29" s="635"/>
      <c r="D29" s="212">
        <v>0.94434415173186903</v>
      </c>
      <c r="E29" s="212">
        <v>0.88938232279509399</v>
      </c>
      <c r="F29" s="212"/>
      <c r="G29" s="212">
        <v>0.82942396395497497</v>
      </c>
      <c r="H29" s="212">
        <v>0.875</v>
      </c>
      <c r="I29" s="212">
        <v>0.75</v>
      </c>
      <c r="J29" s="212"/>
      <c r="K29" s="212">
        <v>0.59</v>
      </c>
    </row>
    <row r="30" spans="2:12" x14ac:dyDescent="0.3">
      <c r="B30" s="635" t="s">
        <v>31</v>
      </c>
      <c r="C30" s="635"/>
      <c r="D30" s="212"/>
      <c r="E30" s="212">
        <v>0.98899999999999999</v>
      </c>
      <c r="F30" s="212"/>
      <c r="G30" s="212">
        <v>0.96899999999999997</v>
      </c>
      <c r="H30" s="212">
        <v>0.98350000000000004</v>
      </c>
      <c r="I30" s="212">
        <v>0.96699999999999997</v>
      </c>
      <c r="J30" s="212"/>
      <c r="K30" s="212">
        <v>0.90700000000000003</v>
      </c>
      <c r="L30" s="1" t="s">
        <v>545</v>
      </c>
    </row>
    <row r="31" spans="2:12" x14ac:dyDescent="0.3">
      <c r="B31" s="635" t="s">
        <v>487</v>
      </c>
      <c r="C31" s="635"/>
      <c r="D31" s="213"/>
      <c r="E31" s="211"/>
      <c r="F31" s="211"/>
      <c r="G31" s="211"/>
      <c r="H31" s="211"/>
      <c r="I31" s="211"/>
      <c r="J31" s="211"/>
      <c r="K31" s="211"/>
    </row>
    <row r="32" spans="2:12" x14ac:dyDescent="0.3">
      <c r="B32" s="632" t="s">
        <v>488</v>
      </c>
      <c r="C32" s="632"/>
      <c r="D32" s="212">
        <v>0.92550802079359296</v>
      </c>
      <c r="E32" s="212">
        <v>0.86306065736090198</v>
      </c>
      <c r="F32" s="212"/>
      <c r="G32" s="212">
        <v>0.86306065736090198</v>
      </c>
      <c r="H32" s="212">
        <v>0.90995383009153297</v>
      </c>
      <c r="I32" s="212">
        <v>0.82415284897025198</v>
      </c>
      <c r="J32" s="212"/>
      <c r="K32" s="212">
        <v>0.63958921052631601</v>
      </c>
      <c r="L32" s="1" t="s">
        <v>556</v>
      </c>
    </row>
    <row r="33" spans="2:31" x14ac:dyDescent="0.3">
      <c r="B33" s="632" t="s">
        <v>489</v>
      </c>
      <c r="C33" s="632"/>
      <c r="D33" s="212">
        <v>0.95406359134114704</v>
      </c>
      <c r="E33" s="212">
        <v>0.90910771530936596</v>
      </c>
      <c r="F33" s="212"/>
      <c r="G33" s="212">
        <v>0.87913713128817805</v>
      </c>
      <c r="H33" s="212">
        <v>0.92500000000000004</v>
      </c>
      <c r="I33" s="212">
        <v>0.85</v>
      </c>
      <c r="J33" s="212"/>
      <c r="K33" s="212">
        <v>0.69</v>
      </c>
    </row>
    <row r="37" spans="2:31" x14ac:dyDescent="0.3">
      <c r="B37" s="209" t="s">
        <v>557</v>
      </c>
    </row>
    <row r="39" spans="2:31" ht="13.95" customHeight="1" x14ac:dyDescent="0.3">
      <c r="B39" s="657" t="s">
        <v>558</v>
      </c>
      <c r="C39" s="689" t="s">
        <v>559</v>
      </c>
      <c r="D39" s="689"/>
      <c r="E39" s="689"/>
      <c r="F39" s="689"/>
      <c r="H39" s="657" t="s">
        <v>560</v>
      </c>
      <c r="I39" s="689" t="s">
        <v>559</v>
      </c>
      <c r="J39" s="689"/>
      <c r="K39" s="689"/>
      <c r="L39" s="689"/>
      <c r="O39" s="690" t="s">
        <v>561</v>
      </c>
      <c r="P39" s="689" t="s">
        <v>559</v>
      </c>
      <c r="Q39" s="689"/>
      <c r="R39" s="689"/>
      <c r="S39" s="689"/>
      <c r="U39" s="690" t="s">
        <v>562</v>
      </c>
      <c r="V39" s="689" t="s">
        <v>559</v>
      </c>
      <c r="W39" s="689"/>
      <c r="X39" s="689"/>
      <c r="Y39" s="689"/>
      <c r="AA39" s="214" t="s">
        <v>563</v>
      </c>
      <c r="AB39" s="214"/>
      <c r="AC39" s="214"/>
      <c r="AD39" s="214"/>
      <c r="AE39" s="214"/>
    </row>
    <row r="40" spans="2:31" ht="27" customHeight="1" x14ac:dyDescent="0.3">
      <c r="B40" s="657"/>
      <c r="C40" s="691" t="s">
        <v>564</v>
      </c>
      <c r="D40" s="691"/>
      <c r="E40" s="691" t="s">
        <v>565</v>
      </c>
      <c r="F40" s="691"/>
      <c r="H40" s="657"/>
      <c r="I40" s="691" t="s">
        <v>564</v>
      </c>
      <c r="J40" s="691"/>
      <c r="K40" s="691" t="s">
        <v>565</v>
      </c>
      <c r="L40" s="691"/>
      <c r="O40" s="690"/>
      <c r="P40" s="691" t="s">
        <v>564</v>
      </c>
      <c r="Q40" s="691"/>
      <c r="R40" s="691" t="s">
        <v>565</v>
      </c>
      <c r="S40" s="691"/>
      <c r="U40" s="690"/>
      <c r="V40" s="691" t="s">
        <v>564</v>
      </c>
      <c r="W40" s="691"/>
      <c r="X40" s="691" t="s">
        <v>565</v>
      </c>
      <c r="Y40" s="691"/>
      <c r="AA40" s="214" t="s">
        <v>566</v>
      </c>
      <c r="AB40" s="214"/>
      <c r="AC40" s="214"/>
      <c r="AD40" s="214"/>
      <c r="AE40" s="214"/>
    </row>
    <row r="41" spans="2:31" x14ac:dyDescent="0.3">
      <c r="B41" s="657"/>
      <c r="C41" s="215" t="s">
        <v>567</v>
      </c>
      <c r="D41" s="215" t="s">
        <v>568</v>
      </c>
      <c r="E41" s="215" t="s">
        <v>567</v>
      </c>
      <c r="F41" s="215" t="s">
        <v>568</v>
      </c>
      <c r="H41" s="657"/>
      <c r="I41" s="215" t="s">
        <v>569</v>
      </c>
      <c r="J41" s="215" t="s">
        <v>570</v>
      </c>
      <c r="K41" s="215" t="s">
        <v>569</v>
      </c>
      <c r="L41" s="215" t="s">
        <v>570</v>
      </c>
      <c r="O41" s="690"/>
      <c r="P41" s="215" t="s">
        <v>569</v>
      </c>
      <c r="Q41" s="215" t="s">
        <v>570</v>
      </c>
      <c r="R41" s="215" t="s">
        <v>569</v>
      </c>
      <c r="S41" s="215" t="s">
        <v>570</v>
      </c>
      <c r="U41" s="690"/>
      <c r="V41" s="215" t="s">
        <v>569</v>
      </c>
      <c r="W41" s="215" t="s">
        <v>570</v>
      </c>
      <c r="X41" s="215" t="s">
        <v>569</v>
      </c>
      <c r="Y41" s="215" t="s">
        <v>570</v>
      </c>
      <c r="AA41" s="214"/>
      <c r="AB41" s="214"/>
      <c r="AC41" s="214"/>
      <c r="AD41" s="214"/>
      <c r="AE41" s="214"/>
    </row>
    <row r="42" spans="2:31" x14ac:dyDescent="0.3">
      <c r="B42" s="173" t="s">
        <v>24</v>
      </c>
      <c r="C42" s="216">
        <v>0</v>
      </c>
      <c r="D42" s="216"/>
      <c r="E42" s="216">
        <v>0</v>
      </c>
      <c r="F42" s="216"/>
      <c r="H42" s="173" t="s">
        <v>24</v>
      </c>
      <c r="I42" s="216">
        <v>0</v>
      </c>
      <c r="J42" s="216"/>
      <c r="K42" s="216">
        <v>0</v>
      </c>
      <c r="L42" s="216"/>
      <c r="O42" s="173" t="s">
        <v>24</v>
      </c>
      <c r="P42" s="216">
        <v>0</v>
      </c>
      <c r="Q42" s="216"/>
      <c r="R42" s="216">
        <v>0</v>
      </c>
      <c r="S42" s="216"/>
      <c r="U42" s="173" t="s">
        <v>24</v>
      </c>
      <c r="V42" s="216">
        <v>0</v>
      </c>
      <c r="W42" s="216"/>
      <c r="X42" s="216">
        <v>0</v>
      </c>
      <c r="Y42" s="216"/>
      <c r="AA42" s="214"/>
      <c r="AB42" s="692" t="s">
        <v>571</v>
      </c>
      <c r="AC42" s="692"/>
      <c r="AD42" s="692" t="s">
        <v>572</v>
      </c>
      <c r="AE42" s="692"/>
    </row>
    <row r="43" spans="2:31" x14ac:dyDescent="0.3">
      <c r="B43" s="175" t="s">
        <v>573</v>
      </c>
      <c r="C43" s="212">
        <v>0.09</v>
      </c>
      <c r="D43" s="212">
        <v>8.3970606060605996E-2</v>
      </c>
      <c r="E43" s="212">
        <v>0.23</v>
      </c>
      <c r="F43" s="212">
        <v>0.109836342371079</v>
      </c>
      <c r="H43" s="175" t="s">
        <v>573</v>
      </c>
      <c r="I43" s="212"/>
      <c r="J43" s="212"/>
      <c r="K43" s="212"/>
      <c r="L43" s="212"/>
      <c r="M43" s="1" t="s">
        <v>574</v>
      </c>
      <c r="O43" s="175" t="s">
        <v>573</v>
      </c>
      <c r="P43" s="212">
        <v>-0.26</v>
      </c>
      <c r="Q43" s="212">
        <v>0.4</v>
      </c>
      <c r="R43" s="212">
        <v>-0.66</v>
      </c>
      <c r="S43" s="212">
        <v>0.66</v>
      </c>
      <c r="U43" s="175" t="s">
        <v>573</v>
      </c>
      <c r="V43" s="212">
        <v>-0.26</v>
      </c>
      <c r="W43" s="212">
        <v>0.4</v>
      </c>
      <c r="X43" s="212">
        <v>-0.66</v>
      </c>
      <c r="Y43" s="212">
        <v>0.66</v>
      </c>
      <c r="AA43" s="217"/>
      <c r="AB43" s="218">
        <v>2030</v>
      </c>
      <c r="AC43" s="218">
        <v>2050</v>
      </c>
      <c r="AD43" s="218">
        <v>2030</v>
      </c>
      <c r="AE43" s="218">
        <v>2050</v>
      </c>
    </row>
    <row r="44" spans="2:31" x14ac:dyDescent="0.3">
      <c r="B44" s="175" t="s">
        <v>575</v>
      </c>
      <c r="C44" s="212">
        <v>0.09</v>
      </c>
      <c r="D44" s="212">
        <v>0</v>
      </c>
      <c r="E44" s="212">
        <v>0.23</v>
      </c>
      <c r="F44" s="212">
        <v>0</v>
      </c>
      <c r="H44" s="175" t="s">
        <v>575</v>
      </c>
      <c r="I44" s="212">
        <v>0.11</v>
      </c>
      <c r="J44" s="212">
        <v>0.11</v>
      </c>
      <c r="K44" s="212">
        <v>0.18</v>
      </c>
      <c r="L44" s="212">
        <v>0.18</v>
      </c>
      <c r="O44" s="175" t="s">
        <v>575</v>
      </c>
      <c r="P44" s="212">
        <v>0.12</v>
      </c>
      <c r="Q44" s="212">
        <v>0.25</v>
      </c>
      <c r="R44" s="212">
        <v>0.31</v>
      </c>
      <c r="S44" s="212">
        <v>0.55000000000000004</v>
      </c>
      <c r="T44" s="1" t="s">
        <v>576</v>
      </c>
      <c r="U44" s="175" t="s">
        <v>575</v>
      </c>
      <c r="V44" s="212">
        <v>0.12</v>
      </c>
      <c r="W44" s="212">
        <v>0.25</v>
      </c>
      <c r="X44" s="212">
        <v>0.31</v>
      </c>
      <c r="Y44" s="212">
        <v>0.55000000000000004</v>
      </c>
      <c r="AA44" s="219" t="s">
        <v>577</v>
      </c>
      <c r="AB44" s="220">
        <v>0.13163889682701799</v>
      </c>
      <c r="AC44" s="220">
        <v>0.29119491792341801</v>
      </c>
      <c r="AD44" s="220">
        <v>0.16611647474244701</v>
      </c>
      <c r="AE44" s="220">
        <v>0.42601350152455503</v>
      </c>
    </row>
    <row r="45" spans="2:31" x14ac:dyDescent="0.3">
      <c r="B45" s="175" t="s">
        <v>472</v>
      </c>
      <c r="C45" s="212">
        <v>0.09</v>
      </c>
      <c r="D45" s="212">
        <v>2.4433198380566901E-2</v>
      </c>
      <c r="E45" s="212">
        <v>0.23</v>
      </c>
      <c r="F45" s="212">
        <v>3.3755060728744998E-2</v>
      </c>
      <c r="H45" s="175" t="s">
        <v>472</v>
      </c>
      <c r="I45" s="212">
        <v>7.0000000000000007E-2</v>
      </c>
      <c r="J45" s="212">
        <v>7.0000000000000007E-2</v>
      </c>
      <c r="K45" s="212">
        <v>0.15</v>
      </c>
      <c r="L45" s="212">
        <v>0.15</v>
      </c>
      <c r="O45" s="175" t="s">
        <v>472</v>
      </c>
      <c r="P45" s="212"/>
      <c r="Q45" s="212"/>
      <c r="R45" s="212"/>
      <c r="S45" s="212"/>
      <c r="U45" s="175" t="s">
        <v>472</v>
      </c>
      <c r="V45" s="212"/>
      <c r="W45" s="212"/>
      <c r="X45" s="212"/>
      <c r="Y45" s="212"/>
      <c r="AA45" s="219" t="s">
        <v>578</v>
      </c>
      <c r="AB45" s="220">
        <v>0.134445752159849</v>
      </c>
      <c r="AC45" s="220">
        <v>0.31423434150318602</v>
      </c>
      <c r="AD45" s="220">
        <v>0.237966819223311</v>
      </c>
      <c r="AE45" s="220">
        <v>0.64915746644081695</v>
      </c>
    </row>
    <row r="46" spans="2:31" x14ac:dyDescent="0.3">
      <c r="B46" s="173" t="s">
        <v>25</v>
      </c>
      <c r="C46" s="216">
        <v>0</v>
      </c>
      <c r="D46" s="216"/>
      <c r="E46" s="216">
        <v>0</v>
      </c>
      <c r="F46" s="216"/>
      <c r="H46" s="173" t="s">
        <v>25</v>
      </c>
      <c r="I46" s="216">
        <v>0</v>
      </c>
      <c r="J46" s="216">
        <v>0</v>
      </c>
      <c r="K46" s="216">
        <v>0</v>
      </c>
      <c r="L46" s="216">
        <v>0</v>
      </c>
      <c r="O46" s="173" t="s">
        <v>25</v>
      </c>
      <c r="P46" s="216"/>
      <c r="Q46" s="216"/>
      <c r="R46" s="216"/>
      <c r="S46" s="216"/>
      <c r="U46" s="173" t="s">
        <v>25</v>
      </c>
      <c r="V46" s="216"/>
      <c r="W46" s="216"/>
      <c r="X46" s="216"/>
      <c r="Y46" s="216"/>
      <c r="AA46" s="219" t="s">
        <v>579</v>
      </c>
      <c r="AB46" s="220">
        <v>0.12069069416174499</v>
      </c>
      <c r="AC46" s="220">
        <v>0.27096753910138099</v>
      </c>
      <c r="AD46" s="220">
        <v>0.108127850954112</v>
      </c>
      <c r="AE46" s="220">
        <v>0.38434619934592701</v>
      </c>
    </row>
    <row r="47" spans="2:31" x14ac:dyDescent="0.3">
      <c r="B47" s="175" t="s">
        <v>474</v>
      </c>
      <c r="C47" s="212">
        <v>0.18</v>
      </c>
      <c r="D47" s="212">
        <v>8.2307692307692207E-2</v>
      </c>
      <c r="E47" s="212">
        <v>0.21</v>
      </c>
      <c r="F47" s="212">
        <v>9.9040485829959599E-2</v>
      </c>
      <c r="H47" s="175" t="s">
        <v>474</v>
      </c>
      <c r="I47" s="212">
        <v>0.09</v>
      </c>
      <c r="J47" s="212">
        <v>0.09</v>
      </c>
      <c r="K47" s="212">
        <v>0.19</v>
      </c>
      <c r="L47" s="212">
        <v>0.2</v>
      </c>
      <c r="O47" s="175" t="s">
        <v>474</v>
      </c>
      <c r="P47" s="212"/>
      <c r="Q47" s="212"/>
      <c r="R47" s="212"/>
      <c r="S47" s="212"/>
      <c r="U47" s="175" t="s">
        <v>474</v>
      </c>
      <c r="V47" s="212"/>
      <c r="W47" s="212"/>
      <c r="X47" s="212"/>
      <c r="Y47" s="212"/>
      <c r="AA47" s="219" t="s">
        <v>580</v>
      </c>
      <c r="AB47" s="220">
        <v>5.1672667833057601E-2</v>
      </c>
      <c r="AC47" s="220">
        <v>0.13448219961156599</v>
      </c>
      <c r="AD47" s="220">
        <v>4.0205505641205001E-2</v>
      </c>
      <c r="AE47" s="220">
        <v>0.127602050362495</v>
      </c>
    </row>
    <row r="48" spans="2:31" x14ac:dyDescent="0.3">
      <c r="B48" s="175" t="s">
        <v>475</v>
      </c>
      <c r="C48" s="212">
        <v>0</v>
      </c>
      <c r="D48" s="212">
        <v>3.03030303030303E-2</v>
      </c>
      <c r="E48" s="212">
        <v>0</v>
      </c>
      <c r="F48" s="212">
        <v>4.0404040404040401E-2</v>
      </c>
      <c r="H48" s="175" t="s">
        <v>475</v>
      </c>
      <c r="I48" s="212">
        <v>5.4300000000000001E-2</v>
      </c>
      <c r="J48" s="212">
        <v>7.0000000000000007E-2</v>
      </c>
      <c r="K48" s="212">
        <v>0.12</v>
      </c>
      <c r="L48" s="212">
        <v>0.15</v>
      </c>
      <c r="M48" s="1" t="s">
        <v>581</v>
      </c>
      <c r="O48" s="175" t="s">
        <v>475</v>
      </c>
      <c r="P48" s="212"/>
      <c r="Q48" s="212"/>
      <c r="R48" s="212"/>
      <c r="S48" s="212"/>
      <c r="U48" s="175" t="s">
        <v>475</v>
      </c>
      <c r="V48" s="212"/>
      <c r="W48" s="212"/>
      <c r="X48" s="212"/>
      <c r="Y48" s="212"/>
      <c r="AA48" s="219" t="s">
        <v>582</v>
      </c>
      <c r="AB48" s="220">
        <v>2.0907369253972699E-2</v>
      </c>
      <c r="AC48" s="220">
        <v>5.5175985222707502E-2</v>
      </c>
      <c r="AD48" s="220">
        <v>9.3241702809427299E-2</v>
      </c>
      <c r="AE48" s="220">
        <v>0.128644085717529</v>
      </c>
    </row>
    <row r="49" spans="2:31" x14ac:dyDescent="0.3">
      <c r="B49" s="175" t="s">
        <v>583</v>
      </c>
      <c r="C49" s="212">
        <v>0.18</v>
      </c>
      <c r="D49" s="212">
        <v>0.125</v>
      </c>
      <c r="E49" s="212">
        <v>0.21</v>
      </c>
      <c r="F49" s="212">
        <v>0.16666666666666699</v>
      </c>
      <c r="H49" s="175" t="s">
        <v>583</v>
      </c>
      <c r="I49" s="212">
        <v>0.09</v>
      </c>
      <c r="J49" s="212"/>
      <c r="K49" s="212">
        <v>0.21</v>
      </c>
      <c r="L49" s="212"/>
      <c r="O49" s="175" t="s">
        <v>583</v>
      </c>
      <c r="P49" s="212"/>
      <c r="Q49" s="212"/>
      <c r="R49" s="212"/>
      <c r="S49" s="212"/>
      <c r="U49" s="175" t="s">
        <v>583</v>
      </c>
      <c r="V49" s="212"/>
      <c r="W49" s="212"/>
      <c r="X49" s="212"/>
      <c r="Y49" s="212"/>
      <c r="AA49" s="219" t="s">
        <v>584</v>
      </c>
      <c r="AB49" s="220">
        <v>9.2911809940207701E-2</v>
      </c>
      <c r="AC49" s="220">
        <v>0.23138320399630499</v>
      </c>
      <c r="AD49" s="220">
        <v>0.161925382730954</v>
      </c>
      <c r="AE49" s="220">
        <v>0.35063020867141897</v>
      </c>
    </row>
    <row r="50" spans="2:31" x14ac:dyDescent="0.3">
      <c r="B50" s="175" t="s">
        <v>478</v>
      </c>
      <c r="C50" s="212">
        <v>0.18</v>
      </c>
      <c r="D50" s="212">
        <v>4.8153747105944097E-2</v>
      </c>
      <c r="E50" s="212">
        <v>0.21</v>
      </c>
      <c r="F50" s="212">
        <v>6.4024698007073805E-2</v>
      </c>
      <c r="H50" s="175" t="s">
        <v>478</v>
      </c>
      <c r="I50" s="212">
        <v>0.16</v>
      </c>
      <c r="J50" s="212">
        <v>0.16</v>
      </c>
      <c r="K50" s="212">
        <v>0.33</v>
      </c>
      <c r="L50" s="212">
        <v>0.33</v>
      </c>
      <c r="O50" s="175" t="s">
        <v>478</v>
      </c>
      <c r="P50" s="212">
        <v>0.01</v>
      </c>
      <c r="Q50" s="212">
        <v>0.2</v>
      </c>
      <c r="R50" s="212">
        <v>-0.23</v>
      </c>
      <c r="S50" s="212">
        <v>0.57999999999999996</v>
      </c>
      <c r="U50" s="175" t="s">
        <v>478</v>
      </c>
      <c r="V50" s="212">
        <v>0.01</v>
      </c>
      <c r="W50" s="212">
        <v>0.2</v>
      </c>
      <c r="X50" s="212">
        <v>0.23</v>
      </c>
      <c r="Y50" s="212">
        <v>0.57999999999999996</v>
      </c>
      <c r="AA50" s="219" t="s">
        <v>585</v>
      </c>
      <c r="AB50" s="220">
        <v>8.7549525798927302E-2</v>
      </c>
      <c r="AC50" s="220">
        <v>0.261270777059665</v>
      </c>
      <c r="AD50" s="220">
        <v>0.32124128506093602</v>
      </c>
      <c r="AE50" s="220">
        <v>0.51874328161080496</v>
      </c>
    </row>
    <row r="51" spans="2:31" x14ac:dyDescent="0.3">
      <c r="B51" s="173" t="s">
        <v>479</v>
      </c>
      <c r="C51" s="216">
        <v>0</v>
      </c>
      <c r="D51" s="216"/>
      <c r="E51" s="216">
        <v>0</v>
      </c>
      <c r="F51" s="216"/>
      <c r="H51" s="173" t="s">
        <v>479</v>
      </c>
      <c r="I51" s="216">
        <v>0</v>
      </c>
      <c r="J51" s="216">
        <v>0</v>
      </c>
      <c r="K51" s="216">
        <v>0</v>
      </c>
      <c r="L51" s="216">
        <v>0</v>
      </c>
      <c r="O51" s="173" t="s">
        <v>479</v>
      </c>
      <c r="P51" s="216"/>
      <c r="Q51" s="216"/>
      <c r="R51" s="216"/>
      <c r="S51" s="216"/>
      <c r="U51" s="173" t="s">
        <v>479</v>
      </c>
      <c r="V51" s="216"/>
      <c r="W51" s="216"/>
      <c r="X51" s="216"/>
      <c r="Y51" s="216"/>
      <c r="AA51" s="219" t="s">
        <v>586</v>
      </c>
      <c r="AB51" s="220">
        <v>7.6910853679976507E-2</v>
      </c>
      <c r="AC51" s="220">
        <v>0.18580712235395699</v>
      </c>
      <c r="AD51" s="220">
        <v>8.4787016861577302E-2</v>
      </c>
      <c r="AE51" s="220">
        <v>0.16153523749550899</v>
      </c>
    </row>
    <row r="52" spans="2:31" x14ac:dyDescent="0.3">
      <c r="B52" s="175" t="s">
        <v>480</v>
      </c>
      <c r="C52" s="212">
        <v>7.0000000000000007E-2</v>
      </c>
      <c r="D52" s="212">
        <v>3.9235378539811003E-2</v>
      </c>
      <c r="E52" s="212">
        <v>0.13</v>
      </c>
      <c r="F52" s="212">
        <v>3.9100643761117798E-2</v>
      </c>
      <c r="H52" s="175" t="s">
        <v>480</v>
      </c>
      <c r="I52" s="212"/>
      <c r="J52" s="212"/>
      <c r="K52" s="212"/>
      <c r="L52" s="212"/>
      <c r="O52" s="175" t="s">
        <v>480</v>
      </c>
      <c r="P52" s="212"/>
      <c r="Q52" s="212"/>
      <c r="R52" s="212"/>
      <c r="S52" s="212"/>
      <c r="U52" s="175" t="s">
        <v>480</v>
      </c>
      <c r="V52" s="212"/>
      <c r="W52" s="212"/>
      <c r="X52" s="212"/>
      <c r="Y52" s="212"/>
      <c r="AA52" s="219" t="s">
        <v>587</v>
      </c>
      <c r="AB52" s="220">
        <v>9.01667472527726E-2</v>
      </c>
      <c r="AC52" s="220">
        <v>0.20376415567573</v>
      </c>
      <c r="AD52" s="220">
        <v>7.7720942700893497E-2</v>
      </c>
      <c r="AE52" s="220">
        <v>0.359829158785895</v>
      </c>
    </row>
    <row r="53" spans="2:31" x14ac:dyDescent="0.3">
      <c r="B53" s="175" t="s">
        <v>481</v>
      </c>
      <c r="C53" s="212">
        <v>7.0000000000000007E-2</v>
      </c>
      <c r="D53" s="212">
        <v>8.7378640776699004E-2</v>
      </c>
      <c r="E53" s="212">
        <v>0.13</v>
      </c>
      <c r="F53" s="212">
        <v>0.14077669902912601</v>
      </c>
      <c r="H53" s="175" t="s">
        <v>481</v>
      </c>
      <c r="I53" s="212">
        <v>7.0000000000000007E-2</v>
      </c>
      <c r="J53" s="212">
        <v>0.09</v>
      </c>
      <c r="K53" s="212">
        <v>0.15</v>
      </c>
      <c r="L53" s="212">
        <v>0.2</v>
      </c>
      <c r="O53" s="175" t="s">
        <v>481</v>
      </c>
      <c r="P53" s="212"/>
      <c r="Q53" s="212"/>
      <c r="R53" s="212"/>
      <c r="S53" s="212"/>
      <c r="U53" s="175" t="s">
        <v>481</v>
      </c>
      <c r="V53" s="212"/>
      <c r="W53" s="212"/>
      <c r="X53" s="212"/>
      <c r="Y53" s="212"/>
      <c r="AA53" s="219" t="s">
        <v>588</v>
      </c>
      <c r="AB53" s="220">
        <v>0.116946463478158</v>
      </c>
      <c r="AC53" s="220">
        <v>0.29504994440615101</v>
      </c>
      <c r="AD53" s="220">
        <v>8.2033165055189899E-2</v>
      </c>
      <c r="AE53" s="220">
        <v>0.18659373673466501</v>
      </c>
    </row>
    <row r="54" spans="2:31" x14ac:dyDescent="0.3">
      <c r="B54" s="175" t="s">
        <v>482</v>
      </c>
      <c r="C54" s="212">
        <v>7.0000000000000007E-2</v>
      </c>
      <c r="D54" s="212">
        <v>4.5299492385786802E-2</v>
      </c>
      <c r="E54" s="212">
        <v>0.13</v>
      </c>
      <c r="F54" s="212">
        <v>6.0512690355329898E-2</v>
      </c>
      <c r="H54" s="175" t="s">
        <v>482</v>
      </c>
      <c r="I54" s="212">
        <v>0.09</v>
      </c>
      <c r="J54" s="212">
        <v>0.09</v>
      </c>
      <c r="K54" s="212">
        <v>0.19500000000000001</v>
      </c>
      <c r="L54" s="212">
        <v>0.2</v>
      </c>
      <c r="O54" s="175" t="s">
        <v>482</v>
      </c>
      <c r="P54" s="212"/>
      <c r="Q54" s="212"/>
      <c r="R54" s="212"/>
      <c r="S54" s="212"/>
      <c r="U54" s="175" t="s">
        <v>482</v>
      </c>
      <c r="V54" s="212"/>
      <c r="W54" s="212"/>
      <c r="X54" s="212"/>
      <c r="Y54" s="212"/>
      <c r="AA54" s="219" t="s">
        <v>589</v>
      </c>
      <c r="AB54" s="220">
        <v>7.9978336791827295E-2</v>
      </c>
      <c r="AC54" s="220">
        <v>0.25191076800033502</v>
      </c>
      <c r="AD54" s="220">
        <v>9.1457917832990898E-2</v>
      </c>
      <c r="AE54" s="220">
        <v>0.23321980767919201</v>
      </c>
    </row>
    <row r="55" spans="2:31" x14ac:dyDescent="0.3">
      <c r="B55" s="173" t="s">
        <v>553</v>
      </c>
      <c r="C55" s="216">
        <v>0</v>
      </c>
      <c r="D55" s="216"/>
      <c r="E55" s="216">
        <v>0</v>
      </c>
      <c r="F55" s="216"/>
      <c r="H55" s="173" t="s">
        <v>553</v>
      </c>
      <c r="I55" s="216">
        <v>0</v>
      </c>
      <c r="J55" s="216">
        <v>0</v>
      </c>
      <c r="K55" s="216">
        <v>0</v>
      </c>
      <c r="L55" s="216">
        <v>0</v>
      </c>
      <c r="O55" s="173" t="s">
        <v>553</v>
      </c>
      <c r="P55" s="216"/>
      <c r="Q55" s="216"/>
      <c r="R55" s="216"/>
      <c r="S55" s="216"/>
      <c r="U55" s="173" t="s">
        <v>553</v>
      </c>
      <c r="V55" s="216"/>
      <c r="W55" s="216"/>
      <c r="X55" s="216"/>
      <c r="Y55" s="216"/>
      <c r="AA55" s="219" t="s">
        <v>590</v>
      </c>
      <c r="AB55" s="220">
        <v>0.11750833798906</v>
      </c>
      <c r="AC55" s="220">
        <v>0.28934159941405602</v>
      </c>
      <c r="AD55" s="220">
        <v>0.30674589968974197</v>
      </c>
      <c r="AE55" s="220">
        <v>0.81565865900575096</v>
      </c>
    </row>
    <row r="56" spans="2:31" x14ac:dyDescent="0.3">
      <c r="B56" s="175" t="s">
        <v>554</v>
      </c>
      <c r="C56" s="212">
        <v>0</v>
      </c>
      <c r="D56" s="212">
        <v>0.13350000000000001</v>
      </c>
      <c r="E56" s="212">
        <v>0</v>
      </c>
      <c r="F56" s="212">
        <v>0.1575</v>
      </c>
      <c r="H56" s="175" t="s">
        <v>554</v>
      </c>
      <c r="I56" s="212">
        <v>0.12</v>
      </c>
      <c r="J56" s="212">
        <v>0.12</v>
      </c>
      <c r="K56" s="212">
        <v>0.26</v>
      </c>
      <c r="L56" s="212">
        <v>0.26</v>
      </c>
      <c r="O56" s="175" t="s">
        <v>554</v>
      </c>
      <c r="P56" s="212"/>
      <c r="Q56" s="212"/>
      <c r="R56" s="212"/>
      <c r="S56" s="212"/>
      <c r="U56" s="175" t="s">
        <v>554</v>
      </c>
      <c r="V56" s="212"/>
      <c r="W56" s="212"/>
      <c r="X56" s="212"/>
      <c r="Y56" s="212"/>
      <c r="AA56" s="219" t="s">
        <v>591</v>
      </c>
      <c r="AB56" s="220">
        <v>0.11168342521423499</v>
      </c>
      <c r="AC56" s="220">
        <v>0.28146328374900997</v>
      </c>
      <c r="AD56" s="220">
        <v>7.3825552404749903E-2</v>
      </c>
      <c r="AE56" s="220">
        <v>0.15469847189594799</v>
      </c>
    </row>
    <row r="57" spans="2:31" x14ac:dyDescent="0.3">
      <c r="B57" s="175" t="s">
        <v>555</v>
      </c>
      <c r="C57" s="212">
        <v>0</v>
      </c>
      <c r="D57" s="212">
        <v>0.108998970133883</v>
      </c>
      <c r="E57" s="212">
        <v>0</v>
      </c>
      <c r="F57" s="212">
        <v>0.13810272914521099</v>
      </c>
      <c r="H57" s="175" t="s">
        <v>555</v>
      </c>
      <c r="I57" s="212">
        <v>0.14000000000000001</v>
      </c>
      <c r="J57" s="212">
        <v>0.14000000000000001</v>
      </c>
      <c r="K57" s="212">
        <v>0.3</v>
      </c>
      <c r="L57" s="212">
        <v>0.31</v>
      </c>
      <c r="O57" s="175" t="s">
        <v>555</v>
      </c>
      <c r="P57" s="212">
        <v>-0.22</v>
      </c>
      <c r="Q57" s="212">
        <v>0.32</v>
      </c>
      <c r="R57" s="212">
        <v>-0.23</v>
      </c>
      <c r="S57" s="212">
        <v>0.62</v>
      </c>
      <c r="U57" s="175" t="s">
        <v>555</v>
      </c>
      <c r="V57" s="212">
        <v>-0.22</v>
      </c>
      <c r="W57" s="212">
        <v>0.32</v>
      </c>
      <c r="X57" s="212">
        <v>-0.23</v>
      </c>
      <c r="Y57" s="212">
        <v>0.62</v>
      </c>
      <c r="AA57" s="219" t="s">
        <v>592</v>
      </c>
      <c r="AB57" s="220">
        <v>0.13243637042392101</v>
      </c>
      <c r="AC57" s="220">
        <v>0.30630709892305003</v>
      </c>
      <c r="AD57" s="220">
        <v>0.163037364816143</v>
      </c>
      <c r="AE57" s="220">
        <v>0.40358648811231201</v>
      </c>
    </row>
    <row r="58" spans="2:31" x14ac:dyDescent="0.3">
      <c r="B58" s="173" t="s">
        <v>486</v>
      </c>
      <c r="C58" s="221">
        <v>0.11</v>
      </c>
      <c r="D58" s="221">
        <v>0.111360327198364</v>
      </c>
      <c r="E58" s="221">
        <v>0.22</v>
      </c>
      <c r="F58" s="212">
        <v>0.172594989775051</v>
      </c>
      <c r="H58" s="173" t="s">
        <v>486</v>
      </c>
      <c r="I58" s="212">
        <v>0.18</v>
      </c>
      <c r="J58" s="212">
        <v>0.25</v>
      </c>
      <c r="K58" s="212">
        <v>0.34</v>
      </c>
      <c r="L58" s="212">
        <v>0.41</v>
      </c>
      <c r="O58" s="173" t="s">
        <v>486</v>
      </c>
      <c r="P58" s="212">
        <v>0.03</v>
      </c>
      <c r="Q58" s="212">
        <v>0.27</v>
      </c>
      <c r="R58" s="212">
        <v>0.22</v>
      </c>
      <c r="S58" s="212">
        <v>0.57999999999999996</v>
      </c>
      <c r="U58" s="173" t="s">
        <v>486</v>
      </c>
      <c r="V58" s="212">
        <v>0.03</v>
      </c>
      <c r="W58" s="212">
        <v>0.27</v>
      </c>
      <c r="X58" s="212">
        <v>0.22</v>
      </c>
      <c r="Y58" s="212">
        <v>0.57999999999999996</v>
      </c>
      <c r="AA58" s="219" t="s">
        <v>593</v>
      </c>
      <c r="AB58" s="220">
        <v>8.9401095495711194E-2</v>
      </c>
      <c r="AC58" s="220">
        <v>0.19324303769192699</v>
      </c>
      <c r="AD58" s="220">
        <v>0.12977698884306499</v>
      </c>
      <c r="AE58" s="220">
        <v>0.27431169560449797</v>
      </c>
    </row>
    <row r="59" spans="2:31" x14ac:dyDescent="0.3">
      <c r="O59" s="173" t="s">
        <v>31</v>
      </c>
      <c r="P59" s="21">
        <v>-0.14000000000000001</v>
      </c>
      <c r="Q59" s="21">
        <v>0.23</v>
      </c>
      <c r="R59" s="21">
        <v>-0.02</v>
      </c>
      <c r="S59" s="21">
        <v>0.52</v>
      </c>
      <c r="U59" s="173" t="s">
        <v>31</v>
      </c>
      <c r="V59" s="21">
        <v>-0.14000000000000001</v>
      </c>
      <c r="W59" s="21">
        <v>0.23</v>
      </c>
      <c r="X59" s="21">
        <v>-0.02</v>
      </c>
      <c r="Y59" s="21">
        <v>0.52</v>
      </c>
      <c r="AA59" s="219" t="s">
        <v>594</v>
      </c>
      <c r="AB59" s="220">
        <v>0.13913699446559399</v>
      </c>
      <c r="AC59" s="220">
        <v>0.27578510714931198</v>
      </c>
      <c r="AD59" s="220">
        <v>0.32094376605640601</v>
      </c>
      <c r="AE59" s="220">
        <v>0.64988559668475698</v>
      </c>
    </row>
    <row r="60" spans="2:31" x14ac:dyDescent="0.3">
      <c r="B60" s="173" t="s">
        <v>487</v>
      </c>
      <c r="C60" s="216">
        <v>0</v>
      </c>
      <c r="D60" s="216"/>
      <c r="E60" s="216">
        <v>0</v>
      </c>
      <c r="F60" s="216"/>
      <c r="H60" s="173" t="s">
        <v>487</v>
      </c>
      <c r="I60" s="216"/>
      <c r="J60" s="216"/>
      <c r="K60" s="216"/>
      <c r="L60" s="216"/>
      <c r="O60" s="173" t="s">
        <v>487</v>
      </c>
      <c r="P60" s="216"/>
      <c r="Q60" s="216"/>
      <c r="R60" s="216"/>
      <c r="S60" s="216"/>
      <c r="U60" s="173" t="s">
        <v>487</v>
      </c>
      <c r="V60" s="216"/>
      <c r="W60" s="216"/>
      <c r="X60" s="216"/>
      <c r="Y60" s="216"/>
      <c r="AA60" s="219" t="s">
        <v>595</v>
      </c>
      <c r="AB60" s="220">
        <v>0.10014128900777899</v>
      </c>
      <c r="AC60" s="220">
        <v>0.219583202566317</v>
      </c>
      <c r="AD60" s="220">
        <v>0.20199026898290001</v>
      </c>
      <c r="AE60" s="220">
        <v>0.38220091870306699</v>
      </c>
    </row>
    <row r="61" spans="2:31" x14ac:dyDescent="0.3">
      <c r="B61" s="175" t="s">
        <v>488</v>
      </c>
      <c r="C61" s="212">
        <v>0</v>
      </c>
      <c r="D61" s="212">
        <v>8.0645879732739401E-2</v>
      </c>
      <c r="E61" s="212">
        <v>0</v>
      </c>
      <c r="F61" s="212">
        <v>7.8942093541202601E-2</v>
      </c>
      <c r="H61" s="175" t="s">
        <v>488</v>
      </c>
      <c r="I61" s="212">
        <v>0.1</v>
      </c>
      <c r="J61" s="212">
        <v>0.09</v>
      </c>
      <c r="K61" s="212">
        <v>0.23</v>
      </c>
      <c r="L61" s="212">
        <v>0.18</v>
      </c>
      <c r="O61" s="175" t="s">
        <v>488</v>
      </c>
      <c r="P61" s="212">
        <v>-0.22</v>
      </c>
      <c r="Q61" s="212">
        <v>0.32</v>
      </c>
      <c r="R61" s="212">
        <v>-0.06</v>
      </c>
      <c r="S61" s="212">
        <v>0.68</v>
      </c>
      <c r="U61" s="175" t="s">
        <v>488</v>
      </c>
      <c r="V61" s="212">
        <v>-0.22</v>
      </c>
      <c r="W61" s="212">
        <v>0.33</v>
      </c>
      <c r="X61" s="212">
        <v>-0.06</v>
      </c>
      <c r="Y61" s="212">
        <v>0.68</v>
      </c>
      <c r="AA61" s="219" t="s">
        <v>596</v>
      </c>
      <c r="AB61" s="220">
        <v>0.112792042769062</v>
      </c>
      <c r="AC61" s="220">
        <v>0.25553952173171401</v>
      </c>
      <c r="AD61" s="220">
        <v>0.19222038893681101</v>
      </c>
      <c r="AE61" s="220">
        <v>0.40745403030442801</v>
      </c>
    </row>
    <row r="62" spans="2:31" x14ac:dyDescent="0.3">
      <c r="B62" s="175" t="s">
        <v>489</v>
      </c>
      <c r="C62" s="212">
        <v>0</v>
      </c>
      <c r="D62" s="212">
        <v>8.8373592630501499E-2</v>
      </c>
      <c r="E62" s="212">
        <v>0</v>
      </c>
      <c r="F62" s="212">
        <v>0.11502164790174001</v>
      </c>
      <c r="H62" s="175" t="s">
        <v>489</v>
      </c>
      <c r="I62" s="212">
        <v>0.15</v>
      </c>
      <c r="J62" s="212">
        <v>0.15</v>
      </c>
      <c r="K62" s="212">
        <v>0.31</v>
      </c>
      <c r="L62" s="212">
        <v>0.31</v>
      </c>
      <c r="O62" s="175" t="s">
        <v>489</v>
      </c>
      <c r="P62" s="212">
        <v>-0.08</v>
      </c>
      <c r="Q62" s="212">
        <v>0.25</v>
      </c>
      <c r="R62" s="212">
        <v>0.01</v>
      </c>
      <c r="S62" s="212">
        <v>0.47</v>
      </c>
      <c r="U62" s="175" t="s">
        <v>489</v>
      </c>
      <c r="V62" s="212">
        <v>-0.08</v>
      </c>
      <c r="W62" s="212">
        <v>0.25</v>
      </c>
      <c r="X62" s="212">
        <v>0.01</v>
      </c>
      <c r="Y62" s="212">
        <v>0.47</v>
      </c>
      <c r="AA62" s="219" t="s">
        <v>597</v>
      </c>
      <c r="AB62" s="220">
        <v>0.143930100629407</v>
      </c>
      <c r="AC62" s="220">
        <v>0.30917388250185002</v>
      </c>
      <c r="AD62" s="220">
        <v>0.24727546459194499</v>
      </c>
      <c r="AE62" s="220">
        <v>0.52402618998956296</v>
      </c>
    </row>
    <row r="63" spans="2:31" x14ac:dyDescent="0.3">
      <c r="AA63" s="219" t="s">
        <v>598</v>
      </c>
      <c r="AB63" s="220">
        <v>0.111999250154406</v>
      </c>
      <c r="AC63" s="220">
        <v>0.26437249444456901</v>
      </c>
      <c r="AD63" s="220">
        <v>0.202173824263745</v>
      </c>
      <c r="AE63" s="220">
        <v>0.452878701063818</v>
      </c>
    </row>
    <row r="64" spans="2:31" x14ac:dyDescent="0.3">
      <c r="AA64" s="219" t="s">
        <v>599</v>
      </c>
      <c r="AB64" s="220">
        <v>7.7111706407435102E-2</v>
      </c>
      <c r="AC64" s="220">
        <v>0.185840824502263</v>
      </c>
      <c r="AD64" s="220">
        <v>0.130407808938862</v>
      </c>
      <c r="AE64" s="220">
        <v>0.39332523215410298</v>
      </c>
    </row>
    <row r="65" spans="2:31" x14ac:dyDescent="0.3">
      <c r="AA65" s="219" t="s">
        <v>600</v>
      </c>
      <c r="AB65" s="220">
        <v>0.10569420834634</v>
      </c>
      <c r="AC65" s="220">
        <v>0.233825824651888</v>
      </c>
      <c r="AD65" s="220">
        <v>0.12145168517711</v>
      </c>
      <c r="AE65" s="220">
        <v>0.28456322462675498</v>
      </c>
    </row>
    <row r="66" spans="2:31" x14ac:dyDescent="0.3">
      <c r="AA66" s="219" t="s">
        <v>601</v>
      </c>
      <c r="AB66" s="220">
        <v>0.15313214879117901</v>
      </c>
      <c r="AC66" s="220">
        <v>0.28167154548697099</v>
      </c>
      <c r="AD66" s="220">
        <v>0.21745661685411</v>
      </c>
      <c r="AE66" s="220">
        <v>0.44781912952832198</v>
      </c>
    </row>
    <row r="67" spans="2:31" x14ac:dyDescent="0.3">
      <c r="AA67" s="219" t="s">
        <v>602</v>
      </c>
      <c r="AB67" s="220">
        <v>0.12668044024441</v>
      </c>
      <c r="AC67" s="220">
        <v>0.28628488326684798</v>
      </c>
      <c r="AD67" s="220">
        <v>0.18181676342213399</v>
      </c>
      <c r="AE67" s="220">
        <v>0.34758104158984798</v>
      </c>
    </row>
    <row r="68" spans="2:31" x14ac:dyDescent="0.3">
      <c r="AA68" s="222" t="s">
        <v>603</v>
      </c>
      <c r="AB68" s="223">
        <v>9.7471088903460595E-2</v>
      </c>
      <c r="AC68" s="223">
        <v>0.22824356418992101</v>
      </c>
      <c r="AD68" s="223">
        <v>0.11557689741429</v>
      </c>
      <c r="AE68" s="223">
        <v>0.26274288980216698</v>
      </c>
    </row>
    <row r="70" spans="2:31" x14ac:dyDescent="0.3">
      <c r="B70" s="209" t="s">
        <v>604</v>
      </c>
      <c r="C70" s="224"/>
      <c r="D70" s="225" t="s">
        <v>605</v>
      </c>
      <c r="E70" s="224"/>
      <c r="F70" s="224"/>
    </row>
    <row r="71" spans="2:31" ht="13.95" customHeight="1" x14ac:dyDescent="0.3">
      <c r="B71" s="224"/>
      <c r="C71" s="224"/>
      <c r="D71" s="224"/>
      <c r="E71" s="224"/>
      <c r="F71" s="224"/>
    </row>
    <row r="72" spans="2:31" ht="31.95" customHeight="1" x14ac:dyDescent="0.3">
      <c r="B72" s="226" t="s">
        <v>457</v>
      </c>
      <c r="C72" s="226"/>
      <c r="D72" s="639" t="s">
        <v>3</v>
      </c>
      <c r="E72" s="639"/>
      <c r="F72" s="639"/>
      <c r="G72" s="639"/>
    </row>
    <row r="73" spans="2:31" x14ac:dyDescent="0.3">
      <c r="B73" s="210"/>
      <c r="C73" s="210"/>
      <c r="D73" s="169">
        <v>2025</v>
      </c>
      <c r="E73" s="169">
        <v>2030</v>
      </c>
      <c r="F73" s="169">
        <v>2040</v>
      </c>
      <c r="G73" s="169">
        <v>2050</v>
      </c>
    </row>
    <row r="74" spans="2:31" x14ac:dyDescent="0.3">
      <c r="B74" s="191" t="s">
        <v>24</v>
      </c>
      <c r="C74" s="191"/>
      <c r="D74" s="211"/>
      <c r="E74" s="211"/>
      <c r="F74" s="211"/>
      <c r="G74" s="211"/>
    </row>
    <row r="75" spans="2:31" x14ac:dyDescent="0.3">
      <c r="B75" s="227" t="s">
        <v>460</v>
      </c>
      <c r="C75" s="227"/>
      <c r="D75" s="228">
        <v>0.96</v>
      </c>
      <c r="E75" s="228">
        <v>0.96</v>
      </c>
      <c r="F75" s="228">
        <f t="shared" ref="F75:F81" si="0">(E75+G75)/2</f>
        <v>0.95</v>
      </c>
      <c r="G75" s="228">
        <v>0.94</v>
      </c>
      <c r="H75" s="49" t="s">
        <v>606</v>
      </c>
      <c r="W75" s="179"/>
      <c r="X75" s="179"/>
    </row>
    <row r="76" spans="2:31" x14ac:dyDescent="0.3">
      <c r="B76" s="227" t="s">
        <v>463</v>
      </c>
      <c r="C76" s="227"/>
      <c r="D76" s="228">
        <v>0.99</v>
      </c>
      <c r="E76" s="228">
        <v>0.98</v>
      </c>
      <c r="F76" s="228">
        <f t="shared" si="0"/>
        <v>0.96499999999999997</v>
      </c>
      <c r="G76" s="228">
        <v>0.95</v>
      </c>
      <c r="H76" s="49" t="s">
        <v>607</v>
      </c>
      <c r="W76" s="179"/>
      <c r="X76" s="179"/>
    </row>
    <row r="77" spans="2:31" x14ac:dyDescent="0.3">
      <c r="B77" s="227" t="s">
        <v>465</v>
      </c>
      <c r="C77" s="227"/>
      <c r="D77" s="212">
        <v>1</v>
      </c>
      <c r="E77" s="212">
        <v>0.98</v>
      </c>
      <c r="F77" s="212">
        <f t="shared" si="0"/>
        <v>0.96499999999999997</v>
      </c>
      <c r="G77" s="228">
        <v>0.95</v>
      </c>
      <c r="H77" s="49" t="s">
        <v>608</v>
      </c>
    </row>
    <row r="78" spans="2:31" x14ac:dyDescent="0.3">
      <c r="B78" s="229" t="s">
        <v>609</v>
      </c>
      <c r="C78" s="227"/>
      <c r="D78" s="212">
        <v>1</v>
      </c>
      <c r="E78" s="212">
        <v>1</v>
      </c>
      <c r="F78" s="212">
        <f t="shared" si="0"/>
        <v>1</v>
      </c>
      <c r="G78" s="212">
        <v>1</v>
      </c>
      <c r="H78" s="49" t="s">
        <v>610</v>
      </c>
    </row>
    <row r="79" spans="2:31" x14ac:dyDescent="0.3">
      <c r="B79" s="227" t="s">
        <v>546</v>
      </c>
      <c r="C79" s="227"/>
      <c r="D79" s="212">
        <v>0.98645161290322603</v>
      </c>
      <c r="E79" s="212">
        <v>0.97516129032258103</v>
      </c>
      <c r="F79" s="212">
        <f t="shared" si="0"/>
        <v>0.9525806451612906</v>
      </c>
      <c r="G79" s="212">
        <v>0.93</v>
      </c>
      <c r="H79" s="49" t="s">
        <v>611</v>
      </c>
      <c r="W79" s="179"/>
      <c r="X79" s="179"/>
    </row>
    <row r="80" spans="2:31" x14ac:dyDescent="0.3">
      <c r="B80" s="227" t="s">
        <v>547</v>
      </c>
      <c r="C80" s="227"/>
      <c r="D80" s="228">
        <v>0.99</v>
      </c>
      <c r="E80" s="228">
        <v>0.98</v>
      </c>
      <c r="F80" s="228">
        <f t="shared" si="0"/>
        <v>0.96499999999999997</v>
      </c>
      <c r="G80" s="228">
        <v>0.95</v>
      </c>
      <c r="H80" s="49" t="s">
        <v>612</v>
      </c>
    </row>
    <row r="81" spans="2:24" x14ac:dyDescent="0.3">
      <c r="B81" s="227" t="s">
        <v>472</v>
      </c>
      <c r="C81" s="227"/>
      <c r="D81" s="212">
        <v>0.97391951528057497</v>
      </c>
      <c r="E81" s="212">
        <v>0.96408194441915396</v>
      </c>
      <c r="F81" s="212">
        <f t="shared" si="0"/>
        <v>0.9591631589884444</v>
      </c>
      <c r="G81" s="212">
        <v>0.95424437355773495</v>
      </c>
      <c r="H81" s="49" t="s">
        <v>613</v>
      </c>
      <c r="W81" s="179"/>
      <c r="X81" s="179"/>
    </row>
    <row r="82" spans="2:24" x14ac:dyDescent="0.3">
      <c r="B82" s="191" t="s">
        <v>25</v>
      </c>
      <c r="C82" s="191"/>
      <c r="D82" s="211"/>
      <c r="E82" s="211"/>
      <c r="F82" s="211"/>
      <c r="G82" s="211"/>
      <c r="H82" s="49"/>
    </row>
    <row r="83" spans="2:24" x14ac:dyDescent="0.3">
      <c r="B83" s="227" t="s">
        <v>474</v>
      </c>
      <c r="C83" s="227"/>
      <c r="D83" s="212">
        <v>0.96</v>
      </c>
      <c r="E83" s="212">
        <v>0.92</v>
      </c>
      <c r="F83" s="212">
        <f>(E83+G83)/2</f>
        <v>0.91</v>
      </c>
      <c r="G83" s="212">
        <v>0.9</v>
      </c>
      <c r="H83" s="49" t="s">
        <v>614</v>
      </c>
    </row>
    <row r="84" spans="2:24" x14ac:dyDescent="0.3">
      <c r="B84" s="227" t="s">
        <v>475</v>
      </c>
      <c r="C84" s="227"/>
      <c r="D84" s="228">
        <v>0.98</v>
      </c>
      <c r="E84" s="228">
        <v>0.97</v>
      </c>
      <c r="F84" s="228">
        <f>(E84+G84)/2</f>
        <v>0.96</v>
      </c>
      <c r="G84" s="228">
        <v>0.95</v>
      </c>
      <c r="H84" s="49" t="s">
        <v>606</v>
      </c>
      <c r="W84" s="179"/>
      <c r="X84" s="179"/>
    </row>
    <row r="85" spans="2:24" x14ac:dyDescent="0.3">
      <c r="B85" s="227" t="s">
        <v>478</v>
      </c>
      <c r="C85" s="227"/>
      <c r="D85" s="228">
        <v>0.97</v>
      </c>
      <c r="E85" s="212">
        <v>0.93057660796472297</v>
      </c>
      <c r="F85" s="212">
        <f>(E85+G85)/2</f>
        <v>0.9256788363438565</v>
      </c>
      <c r="G85" s="212">
        <v>0.92078106472299004</v>
      </c>
      <c r="H85" s="49" t="s">
        <v>613</v>
      </c>
      <c r="W85" s="179"/>
      <c r="X85" s="179"/>
    </row>
    <row r="86" spans="2:24" x14ac:dyDescent="0.3">
      <c r="B86" s="191" t="s">
        <v>479</v>
      </c>
      <c r="C86" s="191"/>
      <c r="D86" s="211"/>
      <c r="E86" s="211"/>
      <c r="F86" s="211"/>
      <c r="G86" s="211"/>
      <c r="H86" s="49"/>
    </row>
    <row r="87" spans="2:24" x14ac:dyDescent="0.3">
      <c r="B87" s="227" t="s">
        <v>550</v>
      </c>
      <c r="C87" s="227"/>
      <c r="D87" s="228">
        <v>0.95</v>
      </c>
      <c r="E87" s="228">
        <v>0.94</v>
      </c>
      <c r="F87" s="228">
        <f>(E87+G87)/2</f>
        <v>0.92999999999999994</v>
      </c>
      <c r="G87" s="228">
        <v>0.92</v>
      </c>
      <c r="H87" s="49" t="s">
        <v>606</v>
      </c>
      <c r="W87" s="179"/>
      <c r="X87" s="179"/>
    </row>
    <row r="88" spans="2:24" x14ac:dyDescent="0.3">
      <c r="B88" s="227" t="s">
        <v>481</v>
      </c>
      <c r="C88" s="227"/>
      <c r="D88" s="228">
        <v>0.95093921708769802</v>
      </c>
      <c r="E88" s="228">
        <v>0.90613056287937699</v>
      </c>
      <c r="F88" s="228">
        <f>(E88+G88)/2</f>
        <v>0.88123686609697649</v>
      </c>
      <c r="G88" s="228">
        <v>0.85634316931457599</v>
      </c>
      <c r="H88" s="49" t="s">
        <v>615</v>
      </c>
      <c r="W88" s="179"/>
      <c r="X88" s="179"/>
    </row>
    <row r="89" spans="2:24" x14ac:dyDescent="0.3">
      <c r="B89" s="227" t="s">
        <v>482</v>
      </c>
      <c r="C89" s="227"/>
      <c r="D89" s="212">
        <v>0.96624355022597797</v>
      </c>
      <c r="E89" s="212">
        <v>0.94146807457915704</v>
      </c>
      <c r="F89" s="212">
        <f>(E89+G89)/2</f>
        <v>0.93651297944979306</v>
      </c>
      <c r="G89" s="212">
        <v>0.93155788432042896</v>
      </c>
      <c r="H89" s="49" t="s">
        <v>610</v>
      </c>
    </row>
    <row r="90" spans="2:24" x14ac:dyDescent="0.3">
      <c r="B90" s="191" t="s">
        <v>553</v>
      </c>
      <c r="C90" s="191"/>
      <c r="D90" s="213"/>
      <c r="E90" s="211"/>
      <c r="F90" s="211"/>
      <c r="G90" s="211"/>
      <c r="H90" s="49"/>
    </row>
    <row r="91" spans="2:24" x14ac:dyDescent="0.3">
      <c r="B91" s="227" t="s">
        <v>554</v>
      </c>
      <c r="C91" s="227"/>
      <c r="D91" s="228">
        <v>0.96</v>
      </c>
      <c r="E91" s="228">
        <v>0.95</v>
      </c>
      <c r="F91" s="228">
        <f>(E91+G91)/2</f>
        <v>0.92999999999999994</v>
      </c>
      <c r="G91" s="228">
        <v>0.91</v>
      </c>
      <c r="H91" s="49" t="s">
        <v>616</v>
      </c>
      <c r="W91" s="179"/>
      <c r="X91" s="179"/>
    </row>
    <row r="92" spans="2:24" x14ac:dyDescent="0.3">
      <c r="B92" s="227" t="s">
        <v>555</v>
      </c>
      <c r="C92" s="227"/>
      <c r="D92" s="228">
        <v>0.99</v>
      </c>
      <c r="E92" s="228">
        <v>0.99</v>
      </c>
      <c r="F92" s="228">
        <f>(E92+G92)/2</f>
        <v>0.98</v>
      </c>
      <c r="G92" s="228">
        <v>0.97</v>
      </c>
      <c r="H92" s="49" t="s">
        <v>617</v>
      </c>
      <c r="W92" s="179"/>
      <c r="X92" s="179"/>
    </row>
    <row r="93" spans="2:24" x14ac:dyDescent="0.3">
      <c r="B93" s="191" t="s">
        <v>486</v>
      </c>
      <c r="C93" s="191"/>
      <c r="D93" s="228">
        <v>0.99</v>
      </c>
      <c r="E93" s="228">
        <v>0.97</v>
      </c>
      <c r="F93" s="228">
        <f>(E93+G93)/2</f>
        <v>0.95</v>
      </c>
      <c r="G93" s="228">
        <v>0.93</v>
      </c>
      <c r="H93" s="49" t="s">
        <v>618</v>
      </c>
      <c r="W93" s="179"/>
      <c r="X93" s="179"/>
    </row>
    <row r="94" spans="2:24" x14ac:dyDescent="0.3">
      <c r="B94" s="191" t="s">
        <v>31</v>
      </c>
      <c r="C94" s="191"/>
      <c r="D94" s="212">
        <v>0.99</v>
      </c>
      <c r="E94" s="212">
        <v>0.98899999999999999</v>
      </c>
      <c r="F94" s="212">
        <f>(E94+G94)/2</f>
        <v>0.97899999999999998</v>
      </c>
      <c r="G94" s="212">
        <v>0.96899999999999997</v>
      </c>
      <c r="H94" s="49" t="s">
        <v>619</v>
      </c>
      <c r="I94" s="230"/>
      <c r="X94" s="179"/>
    </row>
    <row r="95" spans="2:24" x14ac:dyDescent="0.3">
      <c r="B95" s="191" t="s">
        <v>487</v>
      </c>
      <c r="C95" s="191"/>
      <c r="D95" s="213"/>
      <c r="E95" s="211"/>
      <c r="F95" s="211"/>
      <c r="G95" s="211"/>
      <c r="H95" s="49"/>
    </row>
    <row r="96" spans="2:24" x14ac:dyDescent="0.3">
      <c r="B96" s="227" t="s">
        <v>488</v>
      </c>
      <c r="C96" s="227"/>
      <c r="D96" s="228">
        <v>0.93</v>
      </c>
      <c r="E96" s="228">
        <v>0.92</v>
      </c>
      <c r="F96" s="228">
        <f>(E96+G96)/2</f>
        <v>0.91</v>
      </c>
      <c r="G96" s="228">
        <v>0.9</v>
      </c>
      <c r="H96" s="49" t="s">
        <v>620</v>
      </c>
      <c r="X96" s="179"/>
    </row>
    <row r="97" spans="1:24" x14ac:dyDescent="0.3">
      <c r="B97" s="227" t="s">
        <v>489</v>
      </c>
      <c r="C97" s="227"/>
      <c r="D97" s="228">
        <v>0.99</v>
      </c>
      <c r="E97" s="228">
        <v>0.99</v>
      </c>
      <c r="F97" s="228">
        <f>(E97+G97)/2</f>
        <v>0.98</v>
      </c>
      <c r="G97" s="228">
        <v>0.97</v>
      </c>
      <c r="H97" s="49" t="s">
        <v>621</v>
      </c>
      <c r="X97" s="179"/>
    </row>
    <row r="102" spans="1:24" x14ac:dyDescent="0.3">
      <c r="B102" s="209" t="s">
        <v>893</v>
      </c>
      <c r="D102" s="231"/>
      <c r="L102" s="232" t="s">
        <v>622</v>
      </c>
    </row>
    <row r="104" spans="1:24" x14ac:dyDescent="0.3">
      <c r="A104" s="547"/>
      <c r="B104" s="638" t="s">
        <v>873</v>
      </c>
      <c r="C104" s="638"/>
      <c r="D104" s="639" t="s">
        <v>4</v>
      </c>
      <c r="E104" s="639"/>
      <c r="F104" s="639"/>
      <c r="G104" s="639"/>
      <c r="N104" s="656" t="s">
        <v>623</v>
      </c>
      <c r="O104" s="656"/>
      <c r="P104" s="656" t="s">
        <v>624</v>
      </c>
      <c r="Q104" s="656"/>
    </row>
    <row r="105" spans="1:24" x14ac:dyDescent="0.3">
      <c r="A105" s="547"/>
      <c r="B105" s="638"/>
      <c r="C105" s="638"/>
      <c r="D105" s="169">
        <v>2025</v>
      </c>
      <c r="E105" s="169">
        <v>2030</v>
      </c>
      <c r="F105" s="169">
        <v>2040</v>
      </c>
      <c r="G105" s="169">
        <v>2050</v>
      </c>
      <c r="I105" s="232"/>
      <c r="N105" s="169">
        <v>2030</v>
      </c>
      <c r="O105" s="169">
        <v>2050</v>
      </c>
      <c r="P105" s="169">
        <v>2030</v>
      </c>
      <c r="Q105" s="169">
        <v>2050</v>
      </c>
    </row>
    <row r="106" spans="1:24" x14ac:dyDescent="0.3">
      <c r="A106" s="547"/>
      <c r="B106" s="635" t="s">
        <v>24</v>
      </c>
      <c r="C106" s="635"/>
      <c r="D106" s="211"/>
      <c r="E106" s="211"/>
      <c r="F106" s="211"/>
      <c r="G106" s="211"/>
      <c r="L106" s="693" t="s">
        <v>625</v>
      </c>
      <c r="M106" s="693"/>
      <c r="N106" s="233"/>
      <c r="O106" s="234"/>
      <c r="P106" s="234"/>
      <c r="Q106" s="235"/>
    </row>
    <row r="107" spans="1:24" x14ac:dyDescent="0.3">
      <c r="A107" s="547"/>
      <c r="B107" s="632" t="s">
        <v>460</v>
      </c>
      <c r="C107" s="632"/>
      <c r="D107" s="228">
        <f>'A renseigner'!D175</f>
        <v>0.98</v>
      </c>
      <c r="E107" s="228">
        <f>'A renseigner'!E175</f>
        <v>0.9</v>
      </c>
      <c r="F107" s="212">
        <f>'A renseigner'!F175</f>
        <v>0</v>
      </c>
      <c r="G107" s="212">
        <f>'A renseigner'!G175</f>
        <v>0.7</v>
      </c>
      <c r="H107" s="1" t="s">
        <v>545</v>
      </c>
      <c r="I107" s="150" t="s">
        <v>865</v>
      </c>
      <c r="L107" s="694" t="s">
        <v>626</v>
      </c>
      <c r="M107" s="694"/>
      <c r="N107" s="236" t="s">
        <v>627</v>
      </c>
      <c r="O107" s="237" t="s">
        <v>627</v>
      </c>
      <c r="P107" s="118">
        <v>0.91332715408090104</v>
      </c>
      <c r="Q107" s="238">
        <v>0.68832090023985404</v>
      </c>
    </row>
    <row r="108" spans="1:24" x14ac:dyDescent="0.3">
      <c r="A108" s="547"/>
      <c r="B108" s="632" t="s">
        <v>463</v>
      </c>
      <c r="C108" s="632"/>
      <c r="D108" s="212">
        <f>'A renseigner'!D176</f>
        <v>0.98</v>
      </c>
      <c r="E108" s="212">
        <f>'A renseigner'!E176</f>
        <v>0.95</v>
      </c>
      <c r="F108" s="212">
        <f>'A renseigner'!F176</f>
        <v>0</v>
      </c>
      <c r="G108" s="212">
        <f>'A renseigner'!G176</f>
        <v>0.9</v>
      </c>
      <c r="H108" s="1" t="s">
        <v>628</v>
      </c>
      <c r="L108" s="694" t="s">
        <v>629</v>
      </c>
      <c r="M108" s="694"/>
      <c r="N108" s="239">
        <v>0.94483143582853402</v>
      </c>
      <c r="O108" s="118">
        <v>0.90539175146392803</v>
      </c>
      <c r="P108" s="118">
        <v>0.95666386576374396</v>
      </c>
      <c r="Q108" s="238">
        <v>0.93693348131920695</v>
      </c>
    </row>
    <row r="109" spans="1:24" ht="15" customHeight="1" x14ac:dyDescent="0.3">
      <c r="A109" s="547"/>
      <c r="B109" s="632" t="s">
        <v>465</v>
      </c>
      <c r="C109" s="632"/>
      <c r="D109" s="212">
        <f>'A renseigner'!D177</f>
        <v>1</v>
      </c>
      <c r="E109" s="212">
        <f>'A renseigner'!E177</f>
        <v>0.95</v>
      </c>
      <c r="F109" s="212">
        <f>'A renseigner'!F177</f>
        <v>0</v>
      </c>
      <c r="G109" s="212">
        <f>'A renseigner'!G177</f>
        <v>0.9</v>
      </c>
      <c r="H109" s="1" t="s">
        <v>630</v>
      </c>
      <c r="L109" s="694" t="s">
        <v>631</v>
      </c>
      <c r="M109" s="694"/>
      <c r="N109" s="240"/>
      <c r="Q109" s="241"/>
    </row>
    <row r="110" spans="1:24" x14ac:dyDescent="0.3">
      <c r="A110" s="547"/>
      <c r="B110" s="632" t="s">
        <v>632</v>
      </c>
      <c r="C110" s="632"/>
      <c r="D110" s="212">
        <f>'A renseigner'!D178</f>
        <v>1</v>
      </c>
      <c r="E110" s="212">
        <f>'A renseigner'!E178</f>
        <v>0.95</v>
      </c>
      <c r="F110" s="212">
        <f>'A renseigner'!F178</f>
        <v>0</v>
      </c>
      <c r="G110" s="212">
        <f>'A renseigner'!G178</f>
        <v>0.9</v>
      </c>
      <c r="H110" s="1" t="s">
        <v>630</v>
      </c>
      <c r="N110" s="240"/>
      <c r="Q110" s="241"/>
    </row>
    <row r="111" spans="1:24" x14ac:dyDescent="0.3">
      <c r="A111" s="547"/>
      <c r="B111" s="632" t="s">
        <v>546</v>
      </c>
      <c r="C111" s="632"/>
      <c r="D111" s="212">
        <f>'A renseigner'!D179</f>
        <v>0.98</v>
      </c>
      <c r="E111" s="212">
        <f>'A renseigner'!E179</f>
        <v>0.95</v>
      </c>
      <c r="F111" s="212">
        <f>'A renseigner'!F179</f>
        <v>0</v>
      </c>
      <c r="G111" s="228">
        <f>'A renseigner'!G179</f>
        <v>0.8</v>
      </c>
      <c r="H111" s="242" t="s">
        <v>633</v>
      </c>
      <c r="I111" s="150" t="s">
        <v>866</v>
      </c>
      <c r="L111" s="694" t="s">
        <v>634</v>
      </c>
      <c r="M111" s="694"/>
      <c r="N111" s="239">
        <v>0.78469454253299498</v>
      </c>
      <c r="O111" s="118">
        <v>0.448114548339413</v>
      </c>
      <c r="P111" s="118">
        <v>0.92518971064931499</v>
      </c>
      <c r="Q111" s="238">
        <v>0.85869097158293795</v>
      </c>
      <c r="R111" s="1" t="s">
        <v>635</v>
      </c>
    </row>
    <row r="112" spans="1:24" x14ac:dyDescent="0.3">
      <c r="A112" s="547"/>
      <c r="B112" s="632" t="s">
        <v>547</v>
      </c>
      <c r="C112" s="632"/>
      <c r="D112" s="212">
        <f>'A renseigner'!D180</f>
        <v>0.95</v>
      </c>
      <c r="E112" s="228">
        <f>'A renseigner'!E180</f>
        <v>0.75</v>
      </c>
      <c r="F112" s="228">
        <f>'A renseigner'!F180</f>
        <v>0</v>
      </c>
      <c r="G112" s="228">
        <f>'A renseigner'!G180</f>
        <v>0.75</v>
      </c>
      <c r="H112" s="242" t="s">
        <v>633</v>
      </c>
      <c r="I112" s="150" t="s">
        <v>866</v>
      </c>
      <c r="L112" s="694"/>
      <c r="M112" s="694"/>
      <c r="N112" s="239"/>
      <c r="O112" s="118"/>
      <c r="P112" s="118"/>
      <c r="Q112" s="238"/>
    </row>
    <row r="113" spans="1:18" x14ac:dyDescent="0.3">
      <c r="A113" s="547"/>
      <c r="B113" s="632" t="s">
        <v>472</v>
      </c>
      <c r="C113" s="632"/>
      <c r="D113" s="212">
        <f>'A renseigner'!D181</f>
        <v>0.98</v>
      </c>
      <c r="E113" s="212">
        <f>'A renseigner'!E181</f>
        <v>0.95</v>
      </c>
      <c r="F113" s="212">
        <f>'A renseigner'!F181</f>
        <v>0</v>
      </c>
      <c r="G113" s="212">
        <f>'A renseigner'!G181</f>
        <v>0.9</v>
      </c>
      <c r="H113" s="242" t="s">
        <v>636</v>
      </c>
      <c r="L113" s="694" t="s">
        <v>637</v>
      </c>
      <c r="M113" s="694"/>
      <c r="N113" s="239">
        <v>1.00212918670271</v>
      </c>
      <c r="O113" s="118">
        <v>0.64012062299697503</v>
      </c>
      <c r="P113" s="118">
        <v>1.09600548090054</v>
      </c>
      <c r="Q113" s="238">
        <v>1.07589135156824</v>
      </c>
    </row>
    <row r="114" spans="1:18" x14ac:dyDescent="0.3">
      <c r="A114" s="547"/>
      <c r="B114" s="635" t="s">
        <v>25</v>
      </c>
      <c r="C114" s="635"/>
      <c r="D114" s="211">
        <f>'A renseigner'!D182</f>
        <v>0</v>
      </c>
      <c r="E114" s="211">
        <f>'A renseigner'!E182</f>
        <v>0</v>
      </c>
      <c r="F114" s="211">
        <f>'A renseigner'!F182</f>
        <v>0</v>
      </c>
      <c r="G114" s="211">
        <f>'A renseigner'!G182</f>
        <v>0</v>
      </c>
      <c r="H114" s="242"/>
      <c r="L114" s="694"/>
      <c r="M114" s="694"/>
      <c r="N114" s="239"/>
      <c r="O114" s="118"/>
      <c r="P114" s="118"/>
      <c r="Q114" s="238"/>
    </row>
    <row r="115" spans="1:18" x14ac:dyDescent="0.3">
      <c r="A115" s="547"/>
      <c r="B115" s="632" t="s">
        <v>474</v>
      </c>
      <c r="C115" s="632"/>
      <c r="D115" s="228">
        <f>'A renseigner'!D183</f>
        <v>0.95</v>
      </c>
      <c r="E115" s="228">
        <f>'A renseigner'!E183</f>
        <v>0.92</v>
      </c>
      <c r="F115" s="228">
        <f>'A renseigner'!F183</f>
        <v>0</v>
      </c>
      <c r="G115" s="228">
        <f>'A renseigner'!G183</f>
        <v>1</v>
      </c>
      <c r="H115" s="242" t="s">
        <v>628</v>
      </c>
      <c r="I115" s="150" t="s">
        <v>867</v>
      </c>
      <c r="L115" s="694" t="s">
        <v>638</v>
      </c>
      <c r="M115" s="694"/>
      <c r="N115" s="239">
        <v>0.73576298930750905</v>
      </c>
      <c r="O115" s="118">
        <v>0.71200385889235396</v>
      </c>
      <c r="P115" s="118">
        <v>0.738328034332286</v>
      </c>
      <c r="Q115" s="238">
        <v>0.71794868560444403</v>
      </c>
    </row>
    <row r="116" spans="1:18" x14ac:dyDescent="0.3">
      <c r="A116" s="547"/>
      <c r="B116" s="632" t="s">
        <v>475</v>
      </c>
      <c r="C116" s="632"/>
      <c r="D116" s="228">
        <f>'A renseigner'!D184</f>
        <v>0.98</v>
      </c>
      <c r="E116" s="228">
        <f>'A renseigner'!E184</f>
        <v>0.95</v>
      </c>
      <c r="F116" s="228">
        <f>'A renseigner'!F184</f>
        <v>0</v>
      </c>
      <c r="G116" s="228">
        <f>'A renseigner'!G184</f>
        <v>0.87</v>
      </c>
      <c r="H116" s="242" t="s">
        <v>628</v>
      </c>
      <c r="I116" s="150" t="s">
        <v>866</v>
      </c>
      <c r="L116" s="694" t="s">
        <v>639</v>
      </c>
      <c r="M116" s="694"/>
      <c r="N116" s="239">
        <v>0.95835179869901299</v>
      </c>
      <c r="O116" s="118">
        <v>0.90754207169630097</v>
      </c>
      <c r="P116" s="118">
        <v>0.88775029134714001</v>
      </c>
      <c r="Q116" s="238">
        <v>0.70941641730404303</v>
      </c>
    </row>
    <row r="117" spans="1:18" x14ac:dyDescent="0.3">
      <c r="A117" s="547"/>
      <c r="B117" s="632" t="s">
        <v>478</v>
      </c>
      <c r="C117" s="632"/>
      <c r="D117" s="212">
        <f>'A renseigner'!D185</f>
        <v>0.95</v>
      </c>
      <c r="E117" s="212">
        <f>'A renseigner'!E185</f>
        <v>0.91</v>
      </c>
      <c r="F117" s="212">
        <f>'A renseigner'!F185</f>
        <v>0</v>
      </c>
      <c r="G117" s="212">
        <f>'A renseigner'!G185</f>
        <v>0.81</v>
      </c>
      <c r="H117" s="243" t="s">
        <v>640</v>
      </c>
      <c r="L117" s="694" t="s">
        <v>641</v>
      </c>
      <c r="M117" s="694"/>
      <c r="N117" s="239">
        <v>0.93182591586613495</v>
      </c>
      <c r="O117" s="118">
        <v>0.86133876268689902</v>
      </c>
      <c r="P117" s="118">
        <v>0.91063308904493601</v>
      </c>
      <c r="Q117" s="238">
        <v>0.80554219430119001</v>
      </c>
    </row>
    <row r="118" spans="1:18" x14ac:dyDescent="0.3">
      <c r="A118" s="547"/>
      <c r="B118" s="635" t="s">
        <v>479</v>
      </c>
      <c r="C118" s="635"/>
      <c r="D118" s="211">
        <f>'A renseigner'!D186</f>
        <v>0</v>
      </c>
      <c r="E118" s="211">
        <f>'A renseigner'!E186</f>
        <v>0</v>
      </c>
      <c r="F118" s="211">
        <f>'A renseigner'!F186</f>
        <v>0</v>
      </c>
      <c r="G118" s="211">
        <f>'A renseigner'!G186</f>
        <v>0</v>
      </c>
      <c r="L118" s="694"/>
      <c r="M118" s="694"/>
      <c r="N118" s="239"/>
      <c r="O118" s="118"/>
      <c r="P118" s="118"/>
      <c r="Q118" s="238"/>
    </row>
    <row r="119" spans="1:18" x14ac:dyDescent="0.3">
      <c r="A119" s="547"/>
      <c r="B119" s="632" t="s">
        <v>550</v>
      </c>
      <c r="C119" s="632"/>
      <c r="D119" s="212">
        <f>'A renseigner'!D187</f>
        <v>0.97</v>
      </c>
      <c r="E119" s="212">
        <f>'A renseigner'!E187</f>
        <v>0.93</v>
      </c>
      <c r="F119" s="212">
        <f>'A renseigner'!F187</f>
        <v>0</v>
      </c>
      <c r="G119" s="212">
        <f>'A renseigner'!G187</f>
        <v>0.86</v>
      </c>
      <c r="H119" s="1" t="s">
        <v>628</v>
      </c>
      <c r="L119" s="694" t="s">
        <v>642</v>
      </c>
      <c r="M119" s="694"/>
      <c r="N119" s="239">
        <v>0.92646664060194295</v>
      </c>
      <c r="O119" s="118">
        <v>0.83507564764822595</v>
      </c>
      <c r="P119" s="118">
        <v>0.93921392674303406</v>
      </c>
      <c r="Q119" s="238">
        <v>0.89399409480356296</v>
      </c>
    </row>
    <row r="120" spans="1:18" x14ac:dyDescent="0.3">
      <c r="A120" s="547"/>
      <c r="B120" s="632" t="s">
        <v>481</v>
      </c>
      <c r="C120" s="632"/>
      <c r="D120" s="212">
        <f>'A renseigner'!D188</f>
        <v>0.93</v>
      </c>
      <c r="E120" s="212">
        <f>'A renseigner'!E188</f>
        <v>0.86</v>
      </c>
      <c r="F120" s="212">
        <f>'A renseigner'!F188</f>
        <v>0</v>
      </c>
      <c r="G120" s="212">
        <f>'A renseigner'!G188</f>
        <v>0.75</v>
      </c>
      <c r="H120" s="1" t="s">
        <v>643</v>
      </c>
      <c r="L120" s="694" t="s">
        <v>644</v>
      </c>
      <c r="M120" s="694"/>
      <c r="N120" s="239">
        <v>0.88605352307274998</v>
      </c>
      <c r="O120" s="118">
        <v>0.72794278444363103</v>
      </c>
      <c r="P120" s="118">
        <v>0.83604427393969605</v>
      </c>
      <c r="Q120" s="238">
        <v>0.64009664058007398</v>
      </c>
      <c r="R120" s="1" t="s">
        <v>635</v>
      </c>
    </row>
    <row r="121" spans="1:18" x14ac:dyDescent="0.3">
      <c r="A121" s="547"/>
      <c r="B121" s="632" t="s">
        <v>482</v>
      </c>
      <c r="C121" s="632"/>
      <c r="D121" s="212">
        <f>'A renseigner'!D189</f>
        <v>0.95499999999999996</v>
      </c>
      <c r="E121" s="212">
        <f>'A renseigner'!E189</f>
        <v>0.91</v>
      </c>
      <c r="F121" s="212">
        <f>'A renseigner'!F189</f>
        <v>0</v>
      </c>
      <c r="G121" s="212">
        <f>'A renseigner'!G189</f>
        <v>0.8</v>
      </c>
      <c r="H121" s="1" t="s">
        <v>545</v>
      </c>
      <c r="L121" s="694" t="s">
        <v>645</v>
      </c>
      <c r="M121" s="694"/>
      <c r="N121" s="239">
        <v>0.96532753911166502</v>
      </c>
      <c r="O121" s="118">
        <v>0.95644668669170196</v>
      </c>
      <c r="P121" s="118">
        <v>0.90467101089674196</v>
      </c>
      <c r="Q121" s="238">
        <v>0.79108185666972197</v>
      </c>
    </row>
    <row r="122" spans="1:18" x14ac:dyDescent="0.3">
      <c r="A122" s="547"/>
      <c r="B122" s="635" t="s">
        <v>553</v>
      </c>
      <c r="C122" s="635"/>
      <c r="D122" s="211">
        <f>'A renseigner'!D190</f>
        <v>0</v>
      </c>
      <c r="E122" s="211">
        <f>'A renseigner'!E190</f>
        <v>0</v>
      </c>
      <c r="F122" s="211">
        <f>'A renseigner'!F190</f>
        <v>0</v>
      </c>
      <c r="G122" s="211">
        <f>'A renseigner'!G190</f>
        <v>0</v>
      </c>
      <c r="L122" s="694"/>
      <c r="M122" s="694"/>
      <c r="N122" s="239"/>
      <c r="O122" s="118"/>
      <c r="P122" s="118"/>
      <c r="Q122" s="238"/>
    </row>
    <row r="123" spans="1:18" x14ac:dyDescent="0.3">
      <c r="A123" s="547"/>
      <c r="B123" s="632" t="s">
        <v>554</v>
      </c>
      <c r="C123" s="632"/>
      <c r="D123" s="212">
        <f>'A renseigner'!D191</f>
        <v>0.94</v>
      </c>
      <c r="E123" s="212">
        <f>'A renseigner'!E191</f>
        <v>0.86</v>
      </c>
      <c r="F123" s="212">
        <f>'A renseigner'!F191</f>
        <v>0</v>
      </c>
      <c r="G123" s="212">
        <f>'A renseigner'!G191</f>
        <v>0.64</v>
      </c>
      <c r="H123" s="1" t="s">
        <v>545</v>
      </c>
      <c r="L123" s="694" t="s">
        <v>646</v>
      </c>
      <c r="M123" s="694"/>
      <c r="N123" s="239">
        <v>0.93477128004288101</v>
      </c>
      <c r="O123" s="118">
        <v>0.87881338890024596</v>
      </c>
      <c r="P123" s="118">
        <v>0.86532321515244603</v>
      </c>
      <c r="Q123" s="238">
        <v>0.70728093458586105</v>
      </c>
    </row>
    <row r="124" spans="1:18" x14ac:dyDescent="0.3">
      <c r="A124" s="547"/>
      <c r="B124" s="632" t="s">
        <v>555</v>
      </c>
      <c r="C124" s="632"/>
      <c r="D124" s="212">
        <f>'A renseigner'!D192</f>
        <v>0.93</v>
      </c>
      <c r="E124" s="212">
        <f>'A renseigner'!E192</f>
        <v>0.86</v>
      </c>
      <c r="F124" s="212">
        <f>'A renseigner'!F192</f>
        <v>0</v>
      </c>
      <c r="G124" s="212">
        <f>'A renseigner'!G192</f>
        <v>0.73</v>
      </c>
      <c r="H124" s="1" t="s">
        <v>628</v>
      </c>
      <c r="L124" s="694" t="s">
        <v>647</v>
      </c>
      <c r="M124" s="694"/>
      <c r="N124" s="239">
        <v>0.90009674324570899</v>
      </c>
      <c r="O124" s="118">
        <v>0.76845063887382503</v>
      </c>
      <c r="P124" s="118">
        <v>0.87339442883033802</v>
      </c>
      <c r="Q124" s="238">
        <v>0.71363019095281099</v>
      </c>
    </row>
    <row r="125" spans="1:18" x14ac:dyDescent="0.3">
      <c r="A125" s="547"/>
      <c r="B125" s="635" t="s">
        <v>486</v>
      </c>
      <c r="C125" s="635"/>
      <c r="D125" s="212">
        <f>'A renseigner'!D193</f>
        <v>0.94</v>
      </c>
      <c r="E125" s="212">
        <f>'A renseigner'!E193</f>
        <v>0.88</v>
      </c>
      <c r="F125" s="212">
        <f>'A renseigner'!F193</f>
        <v>0</v>
      </c>
      <c r="G125" s="212">
        <f>'A renseigner'!G193</f>
        <v>0.74</v>
      </c>
      <c r="H125" s="1" t="s">
        <v>628</v>
      </c>
      <c r="L125" s="694" t="s">
        <v>648</v>
      </c>
      <c r="M125" s="694"/>
      <c r="N125" s="239">
        <v>0.87734260581375201</v>
      </c>
      <c r="O125" s="118">
        <v>0.72604683341510701</v>
      </c>
      <c r="P125" s="118">
        <v>0.88569269031682696</v>
      </c>
      <c r="Q125" s="238">
        <v>0.74927516861020504</v>
      </c>
    </row>
    <row r="126" spans="1:18" x14ac:dyDescent="0.3">
      <c r="A126" s="547"/>
      <c r="B126" s="635" t="s">
        <v>31</v>
      </c>
      <c r="C126" s="635"/>
      <c r="D126" s="212">
        <f>'A renseigner'!D194</f>
        <v>0.95</v>
      </c>
      <c r="E126" s="212">
        <f>'A renseigner'!E194</f>
        <v>0.87</v>
      </c>
      <c r="F126" s="212">
        <f>'A renseigner'!F194</f>
        <v>0</v>
      </c>
      <c r="G126" s="212">
        <f>'A renseigner'!G194</f>
        <v>0.71</v>
      </c>
      <c r="H126" s="1" t="s">
        <v>649</v>
      </c>
      <c r="L126" s="694" t="s">
        <v>645</v>
      </c>
      <c r="M126" s="694"/>
      <c r="N126" s="239">
        <v>0.96532753911166502</v>
      </c>
      <c r="O126" s="118">
        <v>0.95644668669170196</v>
      </c>
      <c r="P126" s="118">
        <v>0.90467101089674196</v>
      </c>
      <c r="Q126" s="238">
        <v>0.79108185666972197</v>
      </c>
    </row>
    <row r="127" spans="1:18" x14ac:dyDescent="0.3">
      <c r="A127" s="547"/>
      <c r="B127" s="635" t="s">
        <v>487</v>
      </c>
      <c r="C127" s="635"/>
      <c r="D127" s="211">
        <f>'A renseigner'!D195</f>
        <v>0</v>
      </c>
      <c r="E127" s="211">
        <f>'A renseigner'!E195</f>
        <v>0</v>
      </c>
      <c r="F127" s="211">
        <f>'A renseigner'!F195</f>
        <v>0</v>
      </c>
      <c r="G127" s="211">
        <f>'A renseigner'!G195</f>
        <v>0</v>
      </c>
      <c r="L127" s="694"/>
      <c r="M127" s="694"/>
      <c r="N127" s="239"/>
      <c r="O127" s="118"/>
      <c r="P127" s="118"/>
      <c r="Q127" s="238"/>
    </row>
    <row r="128" spans="1:18" x14ac:dyDescent="0.3">
      <c r="A128" s="547"/>
      <c r="B128" s="632" t="s">
        <v>488</v>
      </c>
      <c r="C128" s="632"/>
      <c r="D128" s="212">
        <f>'A renseigner'!D196</f>
        <v>0.94</v>
      </c>
      <c r="E128" s="212">
        <f>'A renseigner'!E196</f>
        <v>0.88</v>
      </c>
      <c r="F128" s="212">
        <f>'A renseigner'!F196</f>
        <v>0</v>
      </c>
      <c r="G128" s="212">
        <f>'A renseigner'!G196</f>
        <v>0.74</v>
      </c>
      <c r="H128" s="1" t="s">
        <v>650</v>
      </c>
      <c r="L128" s="694" t="s">
        <v>651</v>
      </c>
      <c r="M128" s="694"/>
      <c r="N128" s="244">
        <v>0.87734260581375201</v>
      </c>
      <c r="O128" s="245">
        <v>0.72604683341510701</v>
      </c>
      <c r="P128" s="245">
        <v>0.88569269031682696</v>
      </c>
      <c r="Q128" s="246">
        <v>0.74927516861020504</v>
      </c>
    </row>
    <row r="129" spans="1:8" x14ac:dyDescent="0.3">
      <c r="A129" s="547"/>
      <c r="B129" s="632" t="s">
        <v>489</v>
      </c>
      <c r="C129" s="632"/>
      <c r="D129" s="212">
        <f>'A renseigner'!D197</f>
        <v>0.92500000000000004</v>
      </c>
      <c r="E129" s="212">
        <f>'A renseigner'!E197</f>
        <v>0.88</v>
      </c>
      <c r="F129" s="212">
        <f>'A renseigner'!F197</f>
        <v>0</v>
      </c>
      <c r="G129" s="212">
        <f>'A renseigner'!G197</f>
        <v>0.74</v>
      </c>
      <c r="H129" s="1" t="s">
        <v>652</v>
      </c>
    </row>
  </sheetData>
  <mergeCells count="95">
    <mergeCell ref="B127:C127"/>
    <mergeCell ref="L127:M127"/>
    <mergeCell ref="B128:C128"/>
    <mergeCell ref="L128:M128"/>
    <mergeCell ref="B129:C129"/>
    <mergeCell ref="B124:C124"/>
    <mergeCell ref="L124:M124"/>
    <mergeCell ref="B125:C125"/>
    <mergeCell ref="L125:M125"/>
    <mergeCell ref="B126:C126"/>
    <mergeCell ref="L126:M126"/>
    <mergeCell ref="B121:C121"/>
    <mergeCell ref="L121:M121"/>
    <mergeCell ref="B122:C122"/>
    <mergeCell ref="L122:M122"/>
    <mergeCell ref="B123:C123"/>
    <mergeCell ref="L123:M123"/>
    <mergeCell ref="B118:C118"/>
    <mergeCell ref="L118:M118"/>
    <mergeCell ref="B119:C119"/>
    <mergeCell ref="L119:M119"/>
    <mergeCell ref="B120:C120"/>
    <mergeCell ref="L120:M120"/>
    <mergeCell ref="B115:C115"/>
    <mergeCell ref="L115:M115"/>
    <mergeCell ref="B116:C116"/>
    <mergeCell ref="L116:M116"/>
    <mergeCell ref="B117:C117"/>
    <mergeCell ref="L117:M117"/>
    <mergeCell ref="B112:C112"/>
    <mergeCell ref="L112:M112"/>
    <mergeCell ref="B113:C113"/>
    <mergeCell ref="L113:M113"/>
    <mergeCell ref="B114:C114"/>
    <mergeCell ref="L114:M114"/>
    <mergeCell ref="B109:C109"/>
    <mergeCell ref="L109:M109"/>
    <mergeCell ref="B110:C110"/>
    <mergeCell ref="B111:C111"/>
    <mergeCell ref="L111:M111"/>
    <mergeCell ref="B106:C106"/>
    <mergeCell ref="L106:M106"/>
    <mergeCell ref="B107:C107"/>
    <mergeCell ref="L107:M107"/>
    <mergeCell ref="B108:C108"/>
    <mergeCell ref="L108:M108"/>
    <mergeCell ref="AB42:AC42"/>
    <mergeCell ref="AD42:AE42"/>
    <mergeCell ref="D72:G72"/>
    <mergeCell ref="B104:C105"/>
    <mergeCell ref="D104:G104"/>
    <mergeCell ref="N104:O104"/>
    <mergeCell ref="P104:Q104"/>
    <mergeCell ref="O39:O41"/>
    <mergeCell ref="P39:S39"/>
    <mergeCell ref="U39:U41"/>
    <mergeCell ref="V39:Y39"/>
    <mergeCell ref="C40:D40"/>
    <mergeCell ref="E40:F40"/>
    <mergeCell ref="I40:J40"/>
    <mergeCell ref="K40:L40"/>
    <mergeCell ref="P40:Q40"/>
    <mergeCell ref="R40:S40"/>
    <mergeCell ref="V40:W40"/>
    <mergeCell ref="X40:Y40"/>
    <mergeCell ref="B33:C33"/>
    <mergeCell ref="B39:B41"/>
    <mergeCell ref="C39:F39"/>
    <mergeCell ref="H39:H41"/>
    <mergeCell ref="I39:L39"/>
    <mergeCell ref="B28:C28"/>
    <mergeCell ref="B29:C29"/>
    <mergeCell ref="B30:C30"/>
    <mergeCell ref="B31:C31"/>
    <mergeCell ref="B32:C32"/>
    <mergeCell ref="B23:C23"/>
    <mergeCell ref="B24:C24"/>
    <mergeCell ref="B25:C25"/>
    <mergeCell ref="B26:C26"/>
    <mergeCell ref="B27:C27"/>
    <mergeCell ref="B18:C18"/>
    <mergeCell ref="B19:C19"/>
    <mergeCell ref="B20:C20"/>
    <mergeCell ref="B21:C21"/>
    <mergeCell ref="B22:C22"/>
    <mergeCell ref="B13:C13"/>
    <mergeCell ref="B14:C14"/>
    <mergeCell ref="B15:C15"/>
    <mergeCell ref="B16:C16"/>
    <mergeCell ref="B17:C17"/>
    <mergeCell ref="B9:C10"/>
    <mergeCell ref="D9:G9"/>
    <mergeCell ref="H9:K9"/>
    <mergeCell ref="B11:C11"/>
    <mergeCell ref="B12:C12"/>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A6099"/>
  </sheetPr>
  <dimension ref="A4:AML35"/>
  <sheetViews>
    <sheetView zoomScale="70" zoomScaleNormal="70" workbookViewId="0">
      <selection activeCell="W16" sqref="W16"/>
    </sheetView>
  </sheetViews>
  <sheetFormatPr baseColWidth="10" defaultColWidth="8.6640625" defaultRowHeight="14.4" x14ac:dyDescent="0.3"/>
  <cols>
    <col min="1" max="1" width="8.44140625" style="1" customWidth="1"/>
    <col min="2" max="2" width="23.33203125" style="1" customWidth="1"/>
    <col min="3" max="21" width="8.44140625" style="1" customWidth="1"/>
    <col min="22" max="22" width="14.6640625" style="1" customWidth="1"/>
    <col min="23" max="23" width="15.6640625" style="1" customWidth="1"/>
    <col min="24" max="24" width="17" style="1" customWidth="1"/>
    <col min="25" max="1026" width="8.44140625" style="1" customWidth="1"/>
  </cols>
  <sheetData>
    <row r="4" spans="1:39" x14ac:dyDescent="0.3">
      <c r="P4" s="1">
        <f>700*0.45</f>
        <v>315</v>
      </c>
    </row>
    <row r="7" spans="1:39" ht="13.95" customHeight="1" x14ac:dyDescent="0.3">
      <c r="B7" s="696" t="s">
        <v>653</v>
      </c>
      <c r="C7" s="696"/>
      <c r="D7" s="696"/>
      <c r="E7" s="696"/>
      <c r="F7" s="696"/>
      <c r="G7" s="696"/>
      <c r="H7" s="696"/>
      <c r="I7" s="696"/>
      <c r="J7" s="696"/>
      <c r="K7" s="696"/>
      <c r="L7" s="696"/>
      <c r="M7" s="696"/>
      <c r="N7" s="696"/>
      <c r="O7" s="696"/>
      <c r="P7" s="696"/>
      <c r="Q7" s="247"/>
      <c r="R7" s="247"/>
      <c r="S7" s="247"/>
      <c r="T7" s="247"/>
    </row>
    <row r="9" spans="1:39" x14ac:dyDescent="0.3">
      <c r="B9" s="1" t="s">
        <v>654</v>
      </c>
      <c r="C9" s="697" t="s">
        <v>655</v>
      </c>
      <c r="D9" s="697"/>
      <c r="E9" s="697"/>
      <c r="F9" s="697"/>
      <c r="G9" s="697"/>
      <c r="H9" s="697"/>
      <c r="I9" s="405"/>
      <c r="J9" s="695" t="s">
        <v>21</v>
      </c>
      <c r="K9" s="695"/>
      <c r="L9" s="695"/>
      <c r="M9" s="695"/>
      <c r="N9" s="695"/>
      <c r="O9" s="695"/>
      <c r="P9" s="698" t="s">
        <v>22</v>
      </c>
      <c r="Q9" s="698"/>
      <c r="R9" s="698"/>
      <c r="S9" s="698"/>
      <c r="T9" s="698"/>
      <c r="U9" s="698"/>
      <c r="Z9" s="695" t="s">
        <v>558</v>
      </c>
      <c r="AA9" s="695"/>
      <c r="AB9" s="695" t="s">
        <v>560</v>
      </c>
      <c r="AC9" s="695"/>
      <c r="AE9" s="1" t="s">
        <v>656</v>
      </c>
      <c r="AL9" s="214" t="s">
        <v>657</v>
      </c>
      <c r="AM9" s="214"/>
    </row>
    <row r="10" spans="1:39" x14ac:dyDescent="0.3">
      <c r="C10" s="248">
        <v>2010</v>
      </c>
      <c r="D10" s="248">
        <v>2015</v>
      </c>
      <c r="E10" s="248">
        <v>2016</v>
      </c>
      <c r="F10" s="248">
        <v>2017</v>
      </c>
      <c r="G10" s="248">
        <v>2018</v>
      </c>
      <c r="H10" s="248">
        <v>2019</v>
      </c>
      <c r="I10" s="248">
        <v>2021</v>
      </c>
      <c r="J10" s="249">
        <v>2025</v>
      </c>
      <c r="K10" s="249">
        <v>2030</v>
      </c>
      <c r="L10" s="249">
        <v>2035</v>
      </c>
      <c r="M10" s="249">
        <v>2040</v>
      </c>
      <c r="N10" s="249">
        <v>2045</v>
      </c>
      <c r="O10" s="249">
        <v>2050</v>
      </c>
      <c r="P10" s="551">
        <v>2025</v>
      </c>
      <c r="Q10" s="551">
        <v>2030</v>
      </c>
      <c r="R10" s="551">
        <v>2035</v>
      </c>
      <c r="S10" s="551">
        <v>2040</v>
      </c>
      <c r="T10" s="551">
        <v>2045</v>
      </c>
      <c r="U10" s="551">
        <v>2050</v>
      </c>
      <c r="V10" s="1" t="s">
        <v>658</v>
      </c>
      <c r="W10" s="1" t="s">
        <v>659</v>
      </c>
      <c r="X10" s="1" t="s">
        <v>660</v>
      </c>
      <c r="Z10" s="249">
        <v>2030</v>
      </c>
      <c r="AA10" s="249">
        <v>2050</v>
      </c>
      <c r="AB10" s="249">
        <v>2030</v>
      </c>
      <c r="AC10" s="249">
        <v>2050</v>
      </c>
      <c r="AF10" s="251" t="s">
        <v>661</v>
      </c>
      <c r="AG10" s="252" t="s">
        <v>662</v>
      </c>
      <c r="AH10" s="253" t="s">
        <v>663</v>
      </c>
      <c r="AI10" s="254" t="s">
        <v>664</v>
      </c>
      <c r="AJ10" s="255" t="s">
        <v>665</v>
      </c>
      <c r="AL10" s="214"/>
      <c r="AM10" s="256" t="s">
        <v>666</v>
      </c>
    </row>
    <row r="11" spans="1:39" x14ac:dyDescent="0.3">
      <c r="B11" s="173" t="s">
        <v>24</v>
      </c>
      <c r="C11" s="216">
        <v>0</v>
      </c>
      <c r="D11" s="216"/>
      <c r="E11" s="216"/>
      <c r="F11" s="216"/>
      <c r="G11" s="216"/>
      <c r="H11" s="216"/>
      <c r="I11" s="216"/>
      <c r="J11" s="216"/>
      <c r="K11" s="216"/>
      <c r="L11" s="216"/>
      <c r="M11" s="216"/>
      <c r="N11" s="216"/>
      <c r="O11" s="216"/>
      <c r="P11" s="216"/>
      <c r="Q11" s="216"/>
      <c r="R11" s="216"/>
      <c r="S11" s="216"/>
      <c r="T11" s="216"/>
      <c r="U11" s="216"/>
      <c r="W11" s="1" t="s">
        <v>667</v>
      </c>
      <c r="Z11" s="216"/>
      <c r="AA11" s="216"/>
      <c r="AB11" s="216"/>
      <c r="AC11" s="216"/>
      <c r="AE11" s="257" t="s">
        <v>6</v>
      </c>
      <c r="AF11" s="258">
        <v>0.43</v>
      </c>
      <c r="AG11" s="259">
        <v>0.51</v>
      </c>
      <c r="AH11" s="260">
        <v>0.7</v>
      </c>
      <c r="AI11" s="261">
        <v>0.44</v>
      </c>
      <c r="AJ11" s="262">
        <v>0.4</v>
      </c>
      <c r="AL11" s="263" t="s">
        <v>6</v>
      </c>
      <c r="AM11" s="264">
        <v>0.8</v>
      </c>
    </row>
    <row r="12" spans="1:39" x14ac:dyDescent="0.3">
      <c r="A12" s="150" t="s">
        <v>862</v>
      </c>
      <c r="B12" s="175" t="s">
        <v>573</v>
      </c>
      <c r="C12" s="265"/>
      <c r="D12" s="265">
        <f>IGCE!C3</f>
        <v>0.44389662027832999</v>
      </c>
      <c r="E12" s="265">
        <f>IGCE!D3</f>
        <v>0.44251903114186852</v>
      </c>
      <c r="F12" s="265">
        <f>IGCE!E3</f>
        <v>0.42223076923076924</v>
      </c>
      <c r="G12" s="265">
        <f>IGCE!F3</f>
        <v>0.4236893203883495</v>
      </c>
      <c r="H12" s="265">
        <f>IGCE!G3</f>
        <v>0.41677861549006168</v>
      </c>
      <c r="I12" s="265">
        <f>IGCE!H3</f>
        <v>0.429611734253667</v>
      </c>
      <c r="J12" s="212">
        <f>(H12+K12)/2</f>
        <v>0.44338930774503083</v>
      </c>
      <c r="K12" s="212">
        <f>46%+1%</f>
        <v>0.47000000000000003</v>
      </c>
      <c r="L12" s="212">
        <f>(K12+M12)/2</f>
        <v>0.47499999999999998</v>
      </c>
      <c r="M12" s="212">
        <f>(K12+O12)/2</f>
        <v>0.48</v>
      </c>
      <c r="N12" s="212">
        <f>(M12+O12)/2</f>
        <v>0.48499999999999999</v>
      </c>
      <c r="O12" s="212">
        <f>46%+3%</f>
        <v>0.49</v>
      </c>
      <c r="P12" s="552">
        <f>'A renseigner'!D211</f>
        <v>0.48</v>
      </c>
      <c r="Q12" s="552">
        <f>'A renseigner'!E211</f>
        <v>0.54</v>
      </c>
      <c r="R12" s="552">
        <f>'A renseigner'!F211</f>
        <v>0.56999999999999995</v>
      </c>
      <c r="S12" s="552">
        <f>'A renseigner'!G211</f>
        <v>0.56999999999999995</v>
      </c>
      <c r="T12" s="552">
        <f>'A renseigner'!H211</f>
        <v>0.6</v>
      </c>
      <c r="U12" s="552">
        <f>'A renseigner'!I211</f>
        <v>0.6</v>
      </c>
      <c r="V12" s="1" t="s">
        <v>668</v>
      </c>
      <c r="W12" s="1" t="s">
        <v>669</v>
      </c>
      <c r="X12" s="1" t="s">
        <v>670</v>
      </c>
      <c r="Z12" s="212">
        <v>0.36</v>
      </c>
      <c r="AA12" s="212">
        <v>0.36</v>
      </c>
      <c r="AB12" s="212">
        <v>0.48</v>
      </c>
      <c r="AC12" s="212">
        <v>0.8</v>
      </c>
      <c r="AE12" s="257" t="s">
        <v>10</v>
      </c>
      <c r="AF12" s="258">
        <v>0.55000000000000004</v>
      </c>
      <c r="AG12" s="259">
        <v>0.75</v>
      </c>
      <c r="AH12" s="260">
        <v>0.85</v>
      </c>
      <c r="AI12" s="261">
        <v>0.55000000000000004</v>
      </c>
      <c r="AJ12" s="262">
        <v>0.45</v>
      </c>
      <c r="AL12" s="267" t="s">
        <v>10</v>
      </c>
      <c r="AM12" s="268">
        <v>0.7</v>
      </c>
    </row>
    <row r="13" spans="1:39" x14ac:dyDescent="0.3">
      <c r="A13" s="150" t="s">
        <v>862</v>
      </c>
      <c r="B13" s="175" t="s">
        <v>575</v>
      </c>
      <c r="C13" s="265">
        <v>0.55944846292947603</v>
      </c>
      <c r="D13" s="265">
        <v>0.52855543113101899</v>
      </c>
      <c r="E13" s="265">
        <v>0.53159041394335504</v>
      </c>
      <c r="F13" s="265">
        <v>0.53927813163481997</v>
      </c>
      <c r="G13" s="265">
        <v>0.56492027334851902</v>
      </c>
      <c r="H13" s="265">
        <v>0.53243847874720396</v>
      </c>
      <c r="I13" s="265">
        <v>0.53243847874720396</v>
      </c>
      <c r="J13" s="212">
        <f>(H13+K13)/2</f>
        <v>0.53743847874720396</v>
      </c>
      <c r="K13" s="212">
        <f>H13+1%</f>
        <v>0.54243847874720397</v>
      </c>
      <c r="L13" s="212">
        <f>(K13+M13)/2</f>
        <v>0.54993847874720392</v>
      </c>
      <c r="M13" s="212">
        <f>(K13+O13)/2</f>
        <v>0.55743847874720398</v>
      </c>
      <c r="N13" s="212">
        <f>(M13+O13)/2</f>
        <v>0.56493847874720404</v>
      </c>
      <c r="O13" s="212">
        <f>K13+3%</f>
        <v>0.57243847874720399</v>
      </c>
      <c r="P13" s="552">
        <f>'A renseigner'!D212</f>
        <v>0.56621923937360197</v>
      </c>
      <c r="Q13" s="552">
        <f>'A renseigner'!E212</f>
        <v>0.6</v>
      </c>
      <c r="R13" s="552">
        <f>'A renseigner'!F212</f>
        <v>0.625</v>
      </c>
      <c r="S13" s="552">
        <f>'A renseigner'!G212</f>
        <v>0.64999999999999991</v>
      </c>
      <c r="T13" s="552">
        <f>'A renseigner'!H212</f>
        <v>0.67499999999999993</v>
      </c>
      <c r="U13" s="552">
        <f>'A renseigner'!I212</f>
        <v>0.7</v>
      </c>
      <c r="V13" s="1" t="s">
        <v>671</v>
      </c>
      <c r="W13" s="1" t="s">
        <v>672</v>
      </c>
      <c r="X13" s="1" t="s">
        <v>673</v>
      </c>
      <c r="Z13" s="212">
        <v>0.46571428571428602</v>
      </c>
      <c r="AA13" s="212">
        <v>0.62</v>
      </c>
      <c r="AB13" s="212">
        <v>0.55000000000000004</v>
      </c>
      <c r="AC13" s="212">
        <v>0.8</v>
      </c>
      <c r="AE13" s="257" t="s">
        <v>16</v>
      </c>
      <c r="AF13" s="258">
        <v>0.52</v>
      </c>
      <c r="AG13" s="259">
        <v>0.85</v>
      </c>
      <c r="AH13" s="260">
        <v>0.85</v>
      </c>
      <c r="AI13" s="261">
        <v>0.65</v>
      </c>
      <c r="AJ13" s="262">
        <v>0.52</v>
      </c>
      <c r="AL13" s="267" t="s">
        <v>16</v>
      </c>
      <c r="AM13" s="268">
        <v>0.8</v>
      </c>
    </row>
    <row r="14" spans="1:39" x14ac:dyDescent="0.3">
      <c r="B14" s="175" t="s">
        <v>472</v>
      </c>
      <c r="C14" s="265"/>
      <c r="D14" s="265"/>
      <c r="E14" s="265"/>
      <c r="F14" s="265"/>
      <c r="G14" s="265"/>
      <c r="H14" s="265"/>
      <c r="I14" s="265"/>
      <c r="J14" s="212"/>
      <c r="K14" s="212"/>
      <c r="L14" s="212"/>
      <c r="M14" s="212"/>
      <c r="N14" s="212"/>
      <c r="O14" s="212"/>
      <c r="P14" s="553">
        <f>'A renseigner'!D213</f>
        <v>0</v>
      </c>
      <c r="Q14" s="553">
        <f>'A renseigner'!E213</f>
        <v>0</v>
      </c>
      <c r="R14" s="553">
        <f>'A renseigner'!F213</f>
        <v>0</v>
      </c>
      <c r="S14" s="553">
        <f>'A renseigner'!G213</f>
        <v>0</v>
      </c>
      <c r="T14" s="553">
        <f>'A renseigner'!H213</f>
        <v>0</v>
      </c>
      <c r="U14" s="553">
        <f>'A renseigner'!I213</f>
        <v>0</v>
      </c>
      <c r="Z14" s="212">
        <v>0</v>
      </c>
      <c r="AA14" s="212">
        <v>0</v>
      </c>
      <c r="AB14" s="212">
        <v>0</v>
      </c>
      <c r="AC14" s="212">
        <v>0</v>
      </c>
      <c r="AE14" s="257" t="s">
        <v>17</v>
      </c>
      <c r="AF14" s="258">
        <v>0.73</v>
      </c>
      <c r="AG14" s="259">
        <v>0.85</v>
      </c>
      <c r="AH14" s="260">
        <v>0.95</v>
      </c>
      <c r="AI14" s="261">
        <v>0.85</v>
      </c>
      <c r="AJ14" s="262">
        <v>0.73</v>
      </c>
      <c r="AL14" s="267" t="s">
        <v>17</v>
      </c>
      <c r="AM14" s="268">
        <v>0.87</v>
      </c>
    </row>
    <row r="15" spans="1:39" x14ac:dyDescent="0.3">
      <c r="B15" s="173" t="s">
        <v>25</v>
      </c>
      <c r="C15" s="216">
        <v>0</v>
      </c>
      <c r="D15" s="216"/>
      <c r="E15" s="216"/>
      <c r="F15" s="216"/>
      <c r="G15" s="216"/>
      <c r="H15" s="216"/>
      <c r="I15" s="216"/>
      <c r="J15" s="216"/>
      <c r="K15" s="216"/>
      <c r="L15" s="216"/>
      <c r="M15" s="216"/>
      <c r="N15" s="216"/>
      <c r="O15" s="216"/>
      <c r="P15" s="216"/>
      <c r="Q15" s="216"/>
      <c r="R15" s="216"/>
      <c r="S15" s="216"/>
      <c r="T15" s="216"/>
      <c r="U15" s="216"/>
      <c r="Z15" s="216">
        <v>0</v>
      </c>
      <c r="AA15" s="216">
        <v>0</v>
      </c>
      <c r="AB15" s="216">
        <v>0</v>
      </c>
      <c r="AC15" s="216">
        <v>0</v>
      </c>
      <c r="AE15" s="269" t="s">
        <v>674</v>
      </c>
      <c r="AF15" s="270">
        <v>5.8693594193752002E-2</v>
      </c>
      <c r="AG15" s="271">
        <v>0.8</v>
      </c>
      <c r="AH15" s="272">
        <v>0.8</v>
      </c>
      <c r="AI15" s="273">
        <v>0.4</v>
      </c>
      <c r="AJ15" s="274">
        <v>5.8693594193752002E-2</v>
      </c>
      <c r="AL15" s="275" t="s">
        <v>674</v>
      </c>
      <c r="AM15" s="276">
        <v>0.35</v>
      </c>
    </row>
    <row r="16" spans="1:39" x14ac:dyDescent="0.3">
      <c r="B16" s="175" t="s">
        <v>474</v>
      </c>
      <c r="C16" s="265"/>
      <c r="D16" s="265"/>
      <c r="E16" s="265"/>
      <c r="F16" s="265"/>
      <c r="G16" s="265"/>
      <c r="H16" s="265"/>
      <c r="I16" s="265"/>
      <c r="J16" s="212"/>
      <c r="K16" s="212"/>
      <c r="L16" s="212"/>
      <c r="M16" s="212"/>
      <c r="N16" s="212"/>
      <c r="O16" s="212"/>
      <c r="P16" s="553">
        <f>'A renseigner'!D215</f>
        <v>0</v>
      </c>
      <c r="Q16" s="553">
        <f>'A renseigner'!E215</f>
        <v>0</v>
      </c>
      <c r="R16" s="553">
        <f>'A renseigner'!F215</f>
        <v>0</v>
      </c>
      <c r="S16" s="553">
        <f>'A renseigner'!G215</f>
        <v>0</v>
      </c>
      <c r="T16" s="553">
        <f>'A renseigner'!H215</f>
        <v>0</v>
      </c>
      <c r="U16" s="553">
        <f>'A renseigner'!I215</f>
        <v>0</v>
      </c>
      <c r="Z16" s="212">
        <v>0</v>
      </c>
      <c r="AA16" s="212">
        <v>0</v>
      </c>
      <c r="AB16" s="212">
        <v>0</v>
      </c>
      <c r="AC16" s="212">
        <v>0</v>
      </c>
    </row>
    <row r="17" spans="1:39" x14ac:dyDescent="0.3">
      <c r="A17" s="150" t="s">
        <v>862</v>
      </c>
      <c r="B17" s="175" t="s">
        <v>475</v>
      </c>
      <c r="C17" s="265" t="s">
        <v>675</v>
      </c>
      <c r="D17" s="265" t="s">
        <v>675</v>
      </c>
      <c r="E17" s="265" t="s">
        <v>675</v>
      </c>
      <c r="F17" s="265" t="s">
        <v>675</v>
      </c>
      <c r="G17" s="265" t="s">
        <v>675</v>
      </c>
      <c r="H17" s="265">
        <v>0.14499999999999999</v>
      </c>
      <c r="I17" s="265">
        <v>0.14499999999999999</v>
      </c>
      <c r="J17" s="212">
        <f>(H17+K17)/2</f>
        <v>0.22249999999999998</v>
      </c>
      <c r="K17" s="212">
        <f>29%+1%</f>
        <v>0.3</v>
      </c>
      <c r="L17" s="212">
        <f>(K17+M17)/2</f>
        <v>0.3075</v>
      </c>
      <c r="M17" s="212">
        <f>(K17+O17)/2</f>
        <v>0.31499999999999995</v>
      </c>
      <c r="N17" s="212">
        <f>(M17+O17)/2</f>
        <v>0.32249999999999995</v>
      </c>
      <c r="O17" s="212">
        <f>K17+3%</f>
        <v>0.32999999999999996</v>
      </c>
      <c r="P17" s="552">
        <f>'A renseigner'!D216</f>
        <v>0.2475</v>
      </c>
      <c r="Q17" s="552">
        <f>'A renseigner'!E216</f>
        <v>0.35</v>
      </c>
      <c r="R17" s="552">
        <f>'A renseigner'!F216</f>
        <v>0.35</v>
      </c>
      <c r="S17" s="552">
        <f>'A renseigner'!G216</f>
        <v>0.35</v>
      </c>
      <c r="T17" s="552">
        <f>'A renseigner'!H216</f>
        <v>0.35</v>
      </c>
      <c r="U17" s="552">
        <f>'A renseigner'!I216</f>
        <v>0.35</v>
      </c>
      <c r="V17" s="1" t="s">
        <v>676</v>
      </c>
      <c r="W17" s="1" t="s">
        <v>677</v>
      </c>
      <c r="X17" s="1" t="s">
        <v>678</v>
      </c>
      <c r="Z17" s="212">
        <v>0</v>
      </c>
      <c r="AA17" s="212">
        <v>0</v>
      </c>
      <c r="AB17" s="212">
        <v>0.3</v>
      </c>
      <c r="AC17" s="212">
        <v>0.8</v>
      </c>
    </row>
    <row r="18" spans="1:39" x14ac:dyDescent="0.3">
      <c r="B18" s="175" t="s">
        <v>478</v>
      </c>
      <c r="C18" s="265"/>
      <c r="D18" s="265"/>
      <c r="E18" s="265"/>
      <c r="F18" s="265"/>
      <c r="G18" s="265"/>
      <c r="H18" s="265"/>
      <c r="I18" s="265"/>
      <c r="J18" s="212"/>
      <c r="K18" s="212"/>
      <c r="L18" s="212"/>
      <c r="M18" s="212"/>
      <c r="N18" s="212"/>
      <c r="O18" s="212"/>
      <c r="P18" s="553">
        <f>'A renseigner'!D217</f>
        <v>0</v>
      </c>
      <c r="Q18" s="553">
        <f>'A renseigner'!E217</f>
        <v>0</v>
      </c>
      <c r="R18" s="553">
        <f>'A renseigner'!F217</f>
        <v>0</v>
      </c>
      <c r="S18" s="553">
        <f>'A renseigner'!G217</f>
        <v>0</v>
      </c>
      <c r="T18" s="553">
        <f>'A renseigner'!H217</f>
        <v>0</v>
      </c>
      <c r="U18" s="553">
        <f>'A renseigner'!I217</f>
        <v>0</v>
      </c>
      <c r="Z18" s="212">
        <v>0</v>
      </c>
      <c r="AA18" s="212">
        <v>0</v>
      </c>
      <c r="AB18" s="212">
        <v>0</v>
      </c>
      <c r="AC18" s="212">
        <v>0</v>
      </c>
      <c r="AE18" s="1" t="s">
        <v>562</v>
      </c>
    </row>
    <row r="19" spans="1:39" x14ac:dyDescent="0.3">
      <c r="B19" s="173" t="s">
        <v>479</v>
      </c>
      <c r="C19" s="216">
        <v>0</v>
      </c>
      <c r="D19" s="216"/>
      <c r="E19" s="216"/>
      <c r="F19" s="216"/>
      <c r="G19" s="216"/>
      <c r="H19" s="216"/>
      <c r="I19" s="216"/>
      <c r="J19" s="216"/>
      <c r="K19" s="216"/>
      <c r="L19" s="216"/>
      <c r="M19" s="216"/>
      <c r="N19" s="216"/>
      <c r="O19" s="216"/>
      <c r="P19" s="216"/>
      <c r="Q19" s="216"/>
      <c r="R19" s="216"/>
      <c r="S19" s="216"/>
      <c r="T19" s="216"/>
      <c r="U19" s="216"/>
      <c r="Z19" s="216">
        <v>0</v>
      </c>
      <c r="AA19" s="216">
        <v>0</v>
      </c>
      <c r="AB19" s="216">
        <v>0</v>
      </c>
      <c r="AC19" s="216">
        <v>0</v>
      </c>
      <c r="AE19" s="122" t="s">
        <v>679</v>
      </c>
      <c r="AF19" s="277">
        <v>2015</v>
      </c>
      <c r="AG19" s="277">
        <v>2020</v>
      </c>
      <c r="AH19" s="277">
        <v>2025</v>
      </c>
      <c r="AI19" s="277">
        <v>2030</v>
      </c>
      <c r="AJ19" s="277">
        <v>2035</v>
      </c>
      <c r="AK19" s="277">
        <v>2040</v>
      </c>
      <c r="AL19" s="277">
        <v>2045</v>
      </c>
      <c r="AM19" s="277">
        <v>2050</v>
      </c>
    </row>
    <row r="20" spans="1:39" x14ac:dyDescent="0.3">
      <c r="B20" s="175" t="s">
        <v>480</v>
      </c>
      <c r="C20" s="265"/>
      <c r="D20" s="265"/>
      <c r="E20" s="265"/>
      <c r="F20" s="265"/>
      <c r="G20" s="265"/>
      <c r="H20" s="265"/>
      <c r="I20" s="265"/>
      <c r="J20" s="212"/>
      <c r="K20" s="212"/>
      <c r="L20" s="212"/>
      <c r="M20" s="212"/>
      <c r="N20" s="212"/>
      <c r="O20" s="212"/>
      <c r="P20" s="553">
        <f>'A renseigner'!D219</f>
        <v>0</v>
      </c>
      <c r="Q20" s="553">
        <f>'A renseigner'!E219</f>
        <v>0</v>
      </c>
      <c r="R20" s="553">
        <f>'A renseigner'!F219</f>
        <v>0</v>
      </c>
      <c r="S20" s="553">
        <f>'A renseigner'!G219</f>
        <v>0</v>
      </c>
      <c r="T20" s="553">
        <f>'A renseigner'!H219</f>
        <v>0</v>
      </c>
      <c r="U20" s="553">
        <f>'A renseigner'!I219</f>
        <v>0</v>
      </c>
      <c r="Z20" s="212">
        <v>0</v>
      </c>
      <c r="AA20" s="212">
        <v>0</v>
      </c>
      <c r="AB20" s="212">
        <v>0</v>
      </c>
      <c r="AC20" s="212">
        <v>0</v>
      </c>
      <c r="AE20" s="278" t="s">
        <v>680</v>
      </c>
      <c r="AF20" s="279">
        <v>0.33270114063888501</v>
      </c>
      <c r="AG20" s="279">
        <v>0.33270114063888601</v>
      </c>
      <c r="AH20" s="279">
        <v>0.33270114063888501</v>
      </c>
      <c r="AI20" s="279">
        <v>0.33270114063888601</v>
      </c>
      <c r="AJ20" s="279">
        <v>0.33270114063888501</v>
      </c>
      <c r="AK20" s="279">
        <v>0.33270114063888501</v>
      </c>
      <c r="AL20" s="279">
        <v>0.33270114063888501</v>
      </c>
      <c r="AM20" s="279">
        <v>0.33270114063888501</v>
      </c>
    </row>
    <row r="21" spans="1:39" x14ac:dyDescent="0.3">
      <c r="B21" s="175" t="s">
        <v>481</v>
      </c>
      <c r="C21" s="265">
        <v>0.58040243709647399</v>
      </c>
      <c r="D21" s="265">
        <v>0.60967320261437896</v>
      </c>
      <c r="E21" s="265">
        <v>0.64116379310344795</v>
      </c>
      <c r="F21" s="265">
        <v>0.60014763779527602</v>
      </c>
      <c r="G21" s="265">
        <v>0.59520958083832298</v>
      </c>
      <c r="H21" s="265">
        <v>0.60669056152927103</v>
      </c>
      <c r="I21" s="265">
        <v>0.60669056152927103</v>
      </c>
      <c r="J21" s="212">
        <f>(H21+K21)/2</f>
        <v>0.61169056152927104</v>
      </c>
      <c r="K21" s="212">
        <f>H21+1%</f>
        <v>0.61669056152927104</v>
      </c>
      <c r="L21" s="212">
        <f>(K21+M21)/2</f>
        <v>0.6241905615292711</v>
      </c>
      <c r="M21" s="212">
        <f>(K21+O21)/2</f>
        <v>0.63169056152927106</v>
      </c>
      <c r="N21" s="212">
        <f>(M21+O21)/2</f>
        <v>0.63919056152927101</v>
      </c>
      <c r="O21" s="212">
        <f>K21+3%</f>
        <v>0.64669056152927107</v>
      </c>
      <c r="P21" s="553">
        <f>'A renseigner'!D220</f>
        <v>0.68834528076463553</v>
      </c>
      <c r="Q21" s="553">
        <f>'A renseigner'!E220</f>
        <v>0.77</v>
      </c>
      <c r="R21" s="553">
        <f>'A renseigner'!F220</f>
        <v>0.79</v>
      </c>
      <c r="S21" s="553">
        <f>'A renseigner'!G220</f>
        <v>0.81</v>
      </c>
      <c r="T21" s="553">
        <f>'A renseigner'!H220</f>
        <v>0.83000000000000007</v>
      </c>
      <c r="U21" s="553">
        <f>'A renseigner'!I220</f>
        <v>0.85</v>
      </c>
      <c r="V21" s="1" t="s">
        <v>681</v>
      </c>
      <c r="W21" s="1" t="s">
        <v>672</v>
      </c>
      <c r="X21" s="1" t="s">
        <v>678</v>
      </c>
      <c r="Z21" s="212">
        <v>0.65</v>
      </c>
      <c r="AA21" s="212">
        <v>0.65</v>
      </c>
      <c r="AB21" s="212">
        <v>0.77</v>
      </c>
      <c r="AC21" s="212">
        <v>0.85</v>
      </c>
      <c r="AE21" s="278" t="s">
        <v>10</v>
      </c>
      <c r="AF21" s="279">
        <v>0.55146126248309901</v>
      </c>
      <c r="AG21" s="279">
        <v>0.55146126248309901</v>
      </c>
      <c r="AH21" s="279">
        <v>0.55146126248309901</v>
      </c>
      <c r="AI21" s="279">
        <v>0.55146126248309901</v>
      </c>
      <c r="AJ21" s="279">
        <v>0.55146126248309901</v>
      </c>
      <c r="AK21" s="279">
        <v>0.55146126248309901</v>
      </c>
      <c r="AL21" s="279">
        <v>0.55146126248309901</v>
      </c>
      <c r="AM21" s="279">
        <v>0.55146126248309901</v>
      </c>
    </row>
    <row r="22" spans="1:39" x14ac:dyDescent="0.3">
      <c r="B22" s="175" t="s">
        <v>482</v>
      </c>
      <c r="C22" s="265"/>
      <c r="D22" s="265"/>
      <c r="E22" s="265"/>
      <c r="F22" s="265"/>
      <c r="G22" s="265"/>
      <c r="H22" s="265"/>
      <c r="I22" s="265"/>
      <c r="J22" s="212"/>
      <c r="K22" s="212"/>
      <c r="L22" s="212"/>
      <c r="M22" s="212"/>
      <c r="N22" s="212"/>
      <c r="O22" s="212"/>
      <c r="P22" s="553">
        <f>'A renseigner'!D221</f>
        <v>0</v>
      </c>
      <c r="Q22" s="553">
        <f>'A renseigner'!E221</f>
        <v>0</v>
      </c>
      <c r="R22" s="553">
        <f>'A renseigner'!F221</f>
        <v>0</v>
      </c>
      <c r="S22" s="553">
        <f>'A renseigner'!G221</f>
        <v>0</v>
      </c>
      <c r="T22" s="553">
        <f>'A renseigner'!H221</f>
        <v>0</v>
      </c>
      <c r="U22" s="553">
        <f>'A renseigner'!I221</f>
        <v>0</v>
      </c>
      <c r="Z22" s="212">
        <v>0</v>
      </c>
      <c r="AA22" s="212">
        <v>0</v>
      </c>
      <c r="AB22" s="212">
        <v>0</v>
      </c>
      <c r="AC22" s="212">
        <v>0</v>
      </c>
      <c r="AE22" s="278" t="s">
        <v>674</v>
      </c>
      <c r="AF22" s="279">
        <v>5.7066663521714203E-2</v>
      </c>
      <c r="AG22" s="279">
        <v>5.8536352971927302E-2</v>
      </c>
      <c r="AH22" s="279">
        <v>5.87989042969028E-2</v>
      </c>
      <c r="AI22" s="279">
        <v>5.8572799636290099E-2</v>
      </c>
      <c r="AJ22" s="279">
        <v>5.8933693518077701E-2</v>
      </c>
      <c r="AK22" s="279">
        <v>5.9581338780711299E-2</v>
      </c>
      <c r="AL22" s="279">
        <v>5.9854465916222697E-2</v>
      </c>
      <c r="AM22" s="279">
        <v>5.9739646602975302E-2</v>
      </c>
    </row>
    <row r="23" spans="1:39" x14ac:dyDescent="0.3">
      <c r="B23" s="173" t="s">
        <v>553</v>
      </c>
      <c r="C23" s="216">
        <v>0</v>
      </c>
      <c r="D23" s="216"/>
      <c r="E23" s="216"/>
      <c r="F23" s="216"/>
      <c r="G23" s="216"/>
      <c r="H23" s="216"/>
      <c r="I23" s="216"/>
      <c r="J23" s="216"/>
      <c r="K23" s="216"/>
      <c r="L23" s="216"/>
      <c r="M23" s="216"/>
      <c r="N23" s="216"/>
      <c r="O23" s="216"/>
      <c r="P23" s="216"/>
      <c r="Q23" s="216"/>
      <c r="R23" s="216"/>
      <c r="S23" s="216"/>
      <c r="T23" s="216"/>
      <c r="U23" s="216"/>
      <c r="Z23" s="216">
        <v>0</v>
      </c>
      <c r="AA23" s="216">
        <v>0</v>
      </c>
      <c r="AB23" s="216">
        <v>0</v>
      </c>
      <c r="AC23" s="216">
        <v>0</v>
      </c>
      <c r="AE23" s="278" t="s">
        <v>16</v>
      </c>
      <c r="AF23" s="279">
        <v>0.52685210709501795</v>
      </c>
      <c r="AG23" s="279">
        <v>0.53259414951223205</v>
      </c>
      <c r="AH23" s="279">
        <v>0.53320912605541304</v>
      </c>
      <c r="AI23" s="279">
        <v>0.53259545767970495</v>
      </c>
      <c r="AJ23" s="279">
        <v>0.53316252448429402</v>
      </c>
      <c r="AK23" s="279">
        <v>0.53425086203415495</v>
      </c>
      <c r="AL23" s="279">
        <v>0.53598296837786696</v>
      </c>
      <c r="AM23" s="279">
        <v>0.53663799361387499</v>
      </c>
    </row>
    <row r="24" spans="1:39" x14ac:dyDescent="0.3">
      <c r="B24" s="175" t="s">
        <v>554</v>
      </c>
      <c r="C24" s="265"/>
      <c r="D24" s="265"/>
      <c r="E24" s="265"/>
      <c r="F24" s="265"/>
      <c r="G24" s="265"/>
      <c r="H24" s="265"/>
      <c r="I24" s="265"/>
      <c r="J24" s="212"/>
      <c r="K24" s="212"/>
      <c r="L24" s="212"/>
      <c r="M24" s="212"/>
      <c r="N24" s="212"/>
      <c r="O24" s="212"/>
      <c r="P24" s="553">
        <f>'A renseigner'!D223</f>
        <v>0</v>
      </c>
      <c r="Q24" s="553">
        <f>'A renseigner'!E223</f>
        <v>0</v>
      </c>
      <c r="R24" s="553">
        <f>'A renseigner'!F223</f>
        <v>0</v>
      </c>
      <c r="S24" s="553">
        <f>'A renseigner'!G223</f>
        <v>0</v>
      </c>
      <c r="T24" s="553">
        <f>'A renseigner'!H223</f>
        <v>0</v>
      </c>
      <c r="U24" s="553">
        <f>'A renseigner'!I223</f>
        <v>0</v>
      </c>
      <c r="Z24" s="212">
        <v>0</v>
      </c>
      <c r="AA24" s="212">
        <v>0</v>
      </c>
      <c r="AB24" s="212">
        <v>0</v>
      </c>
      <c r="AC24" s="212">
        <v>0</v>
      </c>
      <c r="AE24" s="278" t="s">
        <v>17</v>
      </c>
      <c r="AF24" s="279">
        <v>0.72548371093104003</v>
      </c>
      <c r="AG24" s="279">
        <v>0.72548371093104003</v>
      </c>
      <c r="AH24" s="279">
        <v>0.72548371093104003</v>
      </c>
      <c r="AI24" s="279">
        <v>0.72548371093104003</v>
      </c>
      <c r="AJ24" s="279">
        <v>0.72548371093104003</v>
      </c>
      <c r="AK24" s="279">
        <v>0.72548371093104003</v>
      </c>
      <c r="AL24" s="279">
        <v>0.72548371093104003</v>
      </c>
      <c r="AM24" s="279">
        <v>0.72548371093104003</v>
      </c>
    </row>
    <row r="25" spans="1:39" x14ac:dyDescent="0.3">
      <c r="B25" s="175" t="s">
        <v>682</v>
      </c>
      <c r="C25" s="265"/>
      <c r="D25" s="265"/>
      <c r="E25" s="265"/>
      <c r="F25" s="265"/>
      <c r="G25" s="265"/>
      <c r="H25" s="265"/>
      <c r="I25" s="265"/>
      <c r="J25" s="212"/>
      <c r="K25" s="212"/>
      <c r="L25" s="212"/>
      <c r="M25" s="212"/>
      <c r="N25" s="212"/>
      <c r="O25" s="212"/>
      <c r="P25" s="553">
        <f>'A renseigner'!D224</f>
        <v>0</v>
      </c>
      <c r="Q25" s="553">
        <f>'A renseigner'!E224</f>
        <v>0</v>
      </c>
      <c r="R25" s="553">
        <f>'A renseigner'!F224</f>
        <v>0</v>
      </c>
      <c r="S25" s="553">
        <f>'A renseigner'!G224</f>
        <v>0</v>
      </c>
      <c r="T25" s="553">
        <f>'A renseigner'!H224</f>
        <v>0</v>
      </c>
      <c r="U25" s="553">
        <f>'A renseigner'!I224</f>
        <v>0</v>
      </c>
      <c r="Z25" s="212">
        <v>0</v>
      </c>
      <c r="AA25" s="212">
        <v>0</v>
      </c>
      <c r="AB25" s="212">
        <v>0</v>
      </c>
      <c r="AC25" s="212">
        <v>0</v>
      </c>
      <c r="AE25" s="278"/>
      <c r="AF25" s="279"/>
      <c r="AG25" s="279"/>
      <c r="AH25" s="279"/>
      <c r="AI25" s="279"/>
      <c r="AJ25" s="279"/>
      <c r="AK25" s="279"/>
      <c r="AL25" s="279"/>
      <c r="AM25" s="279"/>
    </row>
    <row r="26" spans="1:39" x14ac:dyDescent="0.3">
      <c r="B26" s="173" t="s">
        <v>486</v>
      </c>
      <c r="C26" s="265"/>
      <c r="D26" s="265"/>
      <c r="E26" s="265"/>
      <c r="F26" s="265"/>
      <c r="G26" s="265"/>
      <c r="H26" s="265"/>
      <c r="I26" s="265"/>
      <c r="J26" s="212"/>
      <c r="K26" s="212"/>
      <c r="L26" s="212"/>
      <c r="M26" s="212"/>
      <c r="N26" s="212"/>
      <c r="O26" s="212"/>
      <c r="P26" s="553">
        <f>'A renseigner'!D225</f>
        <v>0</v>
      </c>
      <c r="Q26" s="553">
        <f>'A renseigner'!E225</f>
        <v>0</v>
      </c>
      <c r="R26" s="553">
        <f>'A renseigner'!F225</f>
        <v>0</v>
      </c>
      <c r="S26" s="553">
        <f>'A renseigner'!G225</f>
        <v>0</v>
      </c>
      <c r="T26" s="553">
        <f>'A renseigner'!H225</f>
        <v>0</v>
      </c>
      <c r="U26" s="553">
        <f>'A renseigner'!I225</f>
        <v>0</v>
      </c>
      <c r="Z26" s="212">
        <v>0</v>
      </c>
      <c r="AA26" s="212">
        <v>0</v>
      </c>
      <c r="AB26" s="212">
        <v>0</v>
      </c>
      <c r="AC26" s="212">
        <v>0</v>
      </c>
      <c r="AE26" s="122" t="s">
        <v>683</v>
      </c>
      <c r="AF26" s="277">
        <v>2015</v>
      </c>
      <c r="AG26" s="277">
        <v>2020</v>
      </c>
      <c r="AH26" s="277">
        <v>2025</v>
      </c>
      <c r="AI26" s="277">
        <v>2030</v>
      </c>
      <c r="AJ26" s="277">
        <v>2035</v>
      </c>
      <c r="AK26" s="277">
        <v>2040</v>
      </c>
      <c r="AL26" s="277">
        <v>2045</v>
      </c>
      <c r="AM26" s="277">
        <v>2050</v>
      </c>
    </row>
    <row r="27" spans="1:39" x14ac:dyDescent="0.3">
      <c r="B27" s="173" t="s">
        <v>31</v>
      </c>
      <c r="C27" s="265"/>
      <c r="D27" s="265"/>
      <c r="E27" s="265"/>
      <c r="F27" s="265"/>
      <c r="G27" s="265"/>
      <c r="H27" s="265"/>
      <c r="I27" s="265"/>
      <c r="J27" s="212"/>
      <c r="K27" s="212"/>
      <c r="L27" s="212"/>
      <c r="M27" s="212"/>
      <c r="N27" s="212"/>
      <c r="O27" s="212"/>
      <c r="P27" s="553">
        <f>'A renseigner'!D226</f>
        <v>0</v>
      </c>
      <c r="Q27" s="553">
        <f>'A renseigner'!E226</f>
        <v>0</v>
      </c>
      <c r="R27" s="553">
        <f>'A renseigner'!F226</f>
        <v>0</v>
      </c>
      <c r="S27" s="553">
        <f>'A renseigner'!G226</f>
        <v>0</v>
      </c>
      <c r="T27" s="553">
        <f>'A renseigner'!H226</f>
        <v>0</v>
      </c>
      <c r="U27" s="553">
        <f>'A renseigner'!I226</f>
        <v>0</v>
      </c>
      <c r="Z27" s="212"/>
      <c r="AA27" s="212"/>
      <c r="AB27" s="212"/>
      <c r="AC27" s="212"/>
      <c r="AE27" s="278" t="s">
        <v>680</v>
      </c>
      <c r="AF27" s="279">
        <v>0.33270114063888501</v>
      </c>
      <c r="AG27" s="279">
        <v>0.33270114063888501</v>
      </c>
      <c r="AH27" s="279">
        <v>0.475641191070998</v>
      </c>
      <c r="AI27" s="279">
        <v>0.60127170916472295</v>
      </c>
      <c r="AJ27" s="279">
        <v>0.58305097012585405</v>
      </c>
      <c r="AK27" s="279">
        <v>0.60000913580246895</v>
      </c>
      <c r="AL27" s="279">
        <v>0.61703162415752599</v>
      </c>
      <c r="AM27" s="279">
        <v>0.63637500000000002</v>
      </c>
    </row>
    <row r="28" spans="1:39" x14ac:dyDescent="0.3">
      <c r="B28" s="173" t="s">
        <v>487</v>
      </c>
      <c r="C28" s="216">
        <v>0</v>
      </c>
      <c r="D28" s="216"/>
      <c r="E28" s="216"/>
      <c r="F28" s="216"/>
      <c r="G28" s="216"/>
      <c r="H28" s="216"/>
      <c r="I28" s="216"/>
      <c r="J28" s="216"/>
      <c r="K28" s="216"/>
      <c r="L28" s="216"/>
      <c r="M28" s="216"/>
      <c r="N28" s="216"/>
      <c r="O28" s="216"/>
      <c r="P28" s="216"/>
      <c r="Q28" s="216"/>
      <c r="R28" s="216"/>
      <c r="S28" s="216"/>
      <c r="T28" s="216"/>
      <c r="U28" s="216"/>
      <c r="Z28" s="216">
        <v>0</v>
      </c>
      <c r="AA28" s="216">
        <v>0</v>
      </c>
      <c r="AB28" s="216"/>
      <c r="AC28" s="216"/>
      <c r="AE28" s="278" t="s">
        <v>10</v>
      </c>
      <c r="AF28" s="279">
        <v>0.55146126248309901</v>
      </c>
      <c r="AG28" s="279">
        <v>0.55146126248309901</v>
      </c>
      <c r="AH28" s="279">
        <v>0.65073063124154895</v>
      </c>
      <c r="AI28" s="279">
        <v>0.73222253898475298</v>
      </c>
      <c r="AJ28" s="279">
        <v>0.77500000000000002</v>
      </c>
      <c r="AK28" s="279">
        <v>0.78406324434227304</v>
      </c>
      <c r="AL28" s="279">
        <v>0.82499999999999996</v>
      </c>
      <c r="AM28" s="279">
        <v>0.85</v>
      </c>
    </row>
    <row r="29" spans="1:39" x14ac:dyDescent="0.3">
      <c r="B29" s="175" t="s">
        <v>488</v>
      </c>
      <c r="C29" s="280">
        <v>0.59752202767899598</v>
      </c>
      <c r="D29" s="280">
        <v>0.66287521844239194</v>
      </c>
      <c r="E29" s="280">
        <v>0.67060224312977701</v>
      </c>
      <c r="F29" s="280">
        <v>0.67109968334704695</v>
      </c>
      <c r="G29" s="265">
        <v>0.68641752544569701</v>
      </c>
      <c r="H29" s="265">
        <v>0.712442132000492</v>
      </c>
      <c r="I29" s="265">
        <v>0.712442132000492</v>
      </c>
      <c r="J29" s="212">
        <f>(H29+K29)/2</f>
        <v>0.73622106600024595</v>
      </c>
      <c r="K29" s="212">
        <f>75%+1%</f>
        <v>0.76</v>
      </c>
      <c r="L29" s="212">
        <f>(K29+M29)/2</f>
        <v>0.76500000000000001</v>
      </c>
      <c r="M29" s="212">
        <f>(K29+O29)/2</f>
        <v>0.77</v>
      </c>
      <c r="N29" s="212">
        <f>(M29+O29)/2</f>
        <v>0.77500000000000002</v>
      </c>
      <c r="O29" s="212">
        <f>75%+3%</f>
        <v>0.78</v>
      </c>
      <c r="P29" s="553">
        <f>'A renseigner'!D228</f>
        <v>0.74622106600024596</v>
      </c>
      <c r="Q29" s="553">
        <f>'A renseigner'!E228</f>
        <v>0.78</v>
      </c>
      <c r="R29" s="553">
        <f>'A renseigner'!F228</f>
        <v>0.80249999999999999</v>
      </c>
      <c r="S29" s="553">
        <f>'A renseigner'!G228</f>
        <v>0.82499999999999996</v>
      </c>
      <c r="T29" s="553">
        <f>'A renseigner'!H228</f>
        <v>0.84749999999999992</v>
      </c>
      <c r="U29" s="553">
        <f>'A renseigner'!I228</f>
        <v>0.87</v>
      </c>
      <c r="V29" s="1" t="s">
        <v>684</v>
      </c>
      <c r="W29" s="1" t="s">
        <v>685</v>
      </c>
      <c r="X29" s="1" t="s">
        <v>686</v>
      </c>
      <c r="Z29" s="212">
        <v>0.66428571428571404</v>
      </c>
      <c r="AA29" s="212">
        <v>0.75</v>
      </c>
      <c r="AB29" s="212">
        <v>0.75</v>
      </c>
      <c r="AC29" s="212">
        <v>0.85</v>
      </c>
      <c r="AD29" s="1" t="s">
        <v>687</v>
      </c>
      <c r="AE29" s="278" t="s">
        <v>674</v>
      </c>
      <c r="AF29" s="279">
        <v>5.70608458699082E-2</v>
      </c>
      <c r="AG29" s="279">
        <v>5.8338849772418801E-2</v>
      </c>
      <c r="AH29" s="279">
        <v>0.106072912611664</v>
      </c>
      <c r="AI29" s="279">
        <v>0.16787362025272101</v>
      </c>
      <c r="AJ29" s="279">
        <v>0.21794869910293199</v>
      </c>
      <c r="AK29" s="279">
        <v>0.27113887909074802</v>
      </c>
      <c r="AL29" s="279">
        <v>0.34396393890592403</v>
      </c>
      <c r="AM29" s="279">
        <v>0.44322454619600998</v>
      </c>
    </row>
    <row r="30" spans="1:39" x14ac:dyDescent="0.3">
      <c r="B30" s="175" t="s">
        <v>489</v>
      </c>
      <c r="C30" s="265"/>
      <c r="D30" s="265"/>
      <c r="E30" s="265"/>
      <c r="F30" s="265"/>
      <c r="G30" s="265"/>
      <c r="H30" s="265"/>
      <c r="I30" s="265"/>
      <c r="J30" s="212"/>
      <c r="K30" s="212"/>
      <c r="L30" s="212"/>
      <c r="M30" s="212"/>
      <c r="N30" s="212"/>
      <c r="O30" s="212"/>
      <c r="P30" s="553">
        <f>'A renseigner'!D229</f>
        <v>0</v>
      </c>
      <c r="Q30" s="553">
        <f>'A renseigner'!E229</f>
        <v>0</v>
      </c>
      <c r="R30" s="553">
        <f>'A renseigner'!F229</f>
        <v>0</v>
      </c>
      <c r="S30" s="553">
        <f>'A renseigner'!G229</f>
        <v>0</v>
      </c>
      <c r="T30" s="553">
        <f>'A renseigner'!H229</f>
        <v>0</v>
      </c>
      <c r="U30" s="553">
        <f>'A renseigner'!I229</f>
        <v>0</v>
      </c>
      <c r="Z30" s="212">
        <v>0</v>
      </c>
      <c r="AA30" s="212">
        <v>0</v>
      </c>
      <c r="AB30" s="212">
        <v>0</v>
      </c>
      <c r="AC30" s="212">
        <v>0</v>
      </c>
      <c r="AE30" s="278" t="s">
        <v>16</v>
      </c>
      <c r="AF30" s="279">
        <v>0.526834875580798</v>
      </c>
      <c r="AG30" s="279">
        <v>0.53247579743719997</v>
      </c>
      <c r="AH30" s="279">
        <v>0.51774813550098997</v>
      </c>
      <c r="AI30" s="279">
        <v>0.50320799254434401</v>
      </c>
      <c r="AJ30" s="279">
        <v>0.49111046916615397</v>
      </c>
      <c r="AK30" s="279">
        <v>0.48509278886499702</v>
      </c>
      <c r="AL30" s="279">
        <v>0.50931796149268704</v>
      </c>
      <c r="AM30" s="279">
        <v>0.516662374176724</v>
      </c>
    </row>
    <row r="31" spans="1:39" x14ac:dyDescent="0.3">
      <c r="I31" s="1" t="s">
        <v>875</v>
      </c>
      <c r="AE31" s="278" t="s">
        <v>17</v>
      </c>
      <c r="AF31" s="279">
        <v>0.72548371093104003</v>
      </c>
      <c r="AG31" s="279">
        <v>0.72548371093104003</v>
      </c>
      <c r="AH31" s="279">
        <v>0.72548371093104003</v>
      </c>
      <c r="AI31" s="279">
        <v>0.72548371093104003</v>
      </c>
      <c r="AJ31" s="279">
        <v>0.74411278319828</v>
      </c>
      <c r="AK31" s="279">
        <v>0.76274185546551998</v>
      </c>
      <c r="AL31" s="279">
        <v>0.78137092773275996</v>
      </c>
      <c r="AM31" s="279">
        <v>0.8</v>
      </c>
    </row>
    <row r="35" spans="8:10" x14ac:dyDescent="0.3">
      <c r="H35" s="21"/>
      <c r="I35" s="21"/>
      <c r="J35" s="21"/>
    </row>
  </sheetData>
  <mergeCells count="6">
    <mergeCell ref="AB9:AC9"/>
    <mergeCell ref="B7:P7"/>
    <mergeCell ref="C9:H9"/>
    <mergeCell ref="J9:O9"/>
    <mergeCell ref="P9:U9"/>
    <mergeCell ref="Z9:AA9"/>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Roman,Normal"&amp;12Page &amp;P</oddFooter>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23c5334-5dad-4194-9e00-48b8d9851b34" xsi:nil="true"/>
    <lcf76f155ced4ddcb4097134ff3c332f xmlns="1daa9b06-e6e8-4a5f-a5d5-3619779892a5">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AAAC37BD05F7145AA350F90A845546C" ma:contentTypeVersion="11" ma:contentTypeDescription="Crée un document." ma:contentTypeScope="" ma:versionID="3e83b7218e19c03203cacedb8ee62db8">
  <xsd:schema xmlns:xsd="http://www.w3.org/2001/XMLSchema" xmlns:xs="http://www.w3.org/2001/XMLSchema" xmlns:p="http://schemas.microsoft.com/office/2006/metadata/properties" xmlns:ns2="1daa9b06-e6e8-4a5f-a5d5-3619779892a5" xmlns:ns3="123c5334-5dad-4194-9e00-48b8d9851b34" targetNamespace="http://schemas.microsoft.com/office/2006/metadata/properties" ma:root="true" ma:fieldsID="2454b1acacc5d5630cb8d35344f20aa6" ns2:_="" ns3:_="">
    <xsd:import namespace="1daa9b06-e6e8-4a5f-a5d5-3619779892a5"/>
    <xsd:import namespace="123c5334-5dad-4194-9e00-48b8d9851b3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aa9b06-e6e8-4a5f-a5d5-361977989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Balises d’images" ma:readOnly="false" ma:fieldId="{5cf76f15-5ced-4ddc-b409-7134ff3c332f}" ma:taxonomyMulti="true" ma:sspId="3b217d2e-895e-4b73-b90f-e0c73e5e9f18"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23c5334-5dad-4194-9e00-48b8d9851b34"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element name="TaxCatchAll" ma:index="14" nillable="true" ma:displayName="Taxonomy Catch All Column" ma:hidden="true" ma:list="{060bf3e5-5c79-4e71-8885-e5cbcb3687cd}" ma:internalName="TaxCatchAll" ma:showField="CatchAllData" ma:web="123c5334-5dad-4194-9e00-48b8d9851b3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EF7E65B-8CC9-4CA2-BD55-038339F93D64}">
  <ds:schemaRefs>
    <ds:schemaRef ds:uri="http://schemas.openxmlformats.org/package/2006/metadata/core-properties"/>
    <ds:schemaRef ds:uri="123c5334-5dad-4194-9e00-48b8d9851b34"/>
    <ds:schemaRef ds:uri="1daa9b06-e6e8-4a5f-a5d5-3619779892a5"/>
    <ds:schemaRef ds:uri="http://purl.org/dc/elements/1.1/"/>
    <ds:schemaRef ds:uri="http://purl.org/dc/dcmitype/"/>
    <ds:schemaRef ds:uri="http://schemas.microsoft.com/office/2006/documentManagement/types"/>
    <ds:schemaRef ds:uri="http://schemas.microsoft.com/office/2006/metadata/properties"/>
    <ds:schemaRef ds:uri="http://schemas.microsoft.com/office/infopath/2007/PartnerControls"/>
    <ds:schemaRef ds:uri="http://www.w3.org/XML/1998/namespace"/>
    <ds:schemaRef ds:uri="http://purl.org/dc/terms/"/>
  </ds:schemaRefs>
</ds:datastoreItem>
</file>

<file path=customXml/itemProps2.xml><?xml version="1.0" encoding="utf-8"?>
<ds:datastoreItem xmlns:ds="http://schemas.openxmlformats.org/officeDocument/2006/customXml" ds:itemID="{D1DCA49A-3E60-4584-8BD8-8291DD81A598}">
  <ds:schemaRefs>
    <ds:schemaRef ds:uri="http://schemas.microsoft.com/sharepoint/v3/contenttype/forms"/>
  </ds:schemaRefs>
</ds:datastoreItem>
</file>

<file path=customXml/itemProps3.xml><?xml version="1.0" encoding="utf-8"?>
<ds:datastoreItem xmlns:ds="http://schemas.openxmlformats.org/officeDocument/2006/customXml" ds:itemID="{7FC6C079-D7EF-4D67-8A65-EE46184ADC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aa9b06-e6e8-4a5f-a5d5-3619779892a5"/>
    <ds:schemaRef ds:uri="123c5334-5dad-4194-9e00-48b8d9851b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Feuilles de calcul</vt:lpstr>
      </vt:variant>
      <vt:variant>
        <vt:i4>14</vt:i4>
      </vt:variant>
    </vt:vector>
  </HeadingPairs>
  <TitlesOfParts>
    <vt:vector size="14" baseType="lpstr">
      <vt:lpstr>A renseigner</vt:lpstr>
      <vt:lpstr>1. Production</vt:lpstr>
      <vt:lpstr>IGCE</vt:lpstr>
      <vt:lpstr>Diffus</vt:lpstr>
      <vt:lpstr>VA historique</vt:lpstr>
      <vt:lpstr>Mix éner %</vt:lpstr>
      <vt:lpstr>Mix éner % (2)</vt:lpstr>
      <vt:lpstr>3. Efficacité</vt:lpstr>
      <vt:lpstr>4. Recyclage</vt:lpstr>
      <vt:lpstr>5. Non-énergétique</vt:lpstr>
      <vt:lpstr>6. CCUS</vt:lpstr>
      <vt:lpstr>Pepit0 AME</vt:lpstr>
      <vt:lpstr>Pepit0 AMS</vt:lpstr>
      <vt:lpstr>Traduction FdR 50 sites DGE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PODESTA Gwenaël</dc:creator>
  <dc:description/>
  <cp:lastModifiedBy>CHAIGNEAU Yanis</cp:lastModifiedBy>
  <cp:revision>1</cp:revision>
  <dcterms:created xsi:type="dcterms:W3CDTF">2023-01-30T12:30:44Z</dcterms:created>
  <dcterms:modified xsi:type="dcterms:W3CDTF">2023-09-12T16:22:49Z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0x010100DAAAC37BD05F7145AA350F90A845546C</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MediaServiceImageTags">
    <vt:lpwstr/>
  </property>
  <property fmtid="{D5CDD505-2E9C-101B-9397-08002B2CF9AE}" pid="8" name="ProgId">
    <vt:lpwstr>Excel.Sheet</vt:lpwstr>
  </property>
  <property fmtid="{D5CDD505-2E9C-101B-9397-08002B2CF9AE}" pid="9" name="ScaleCrop">
    <vt:bool>false</vt:bool>
  </property>
  <property fmtid="{D5CDD505-2E9C-101B-9397-08002B2CF9AE}" pid="10" name="ShareDoc">
    <vt:bool>false</vt:bool>
  </property>
</Properties>
</file>