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S\004_Agriculture\"/>
    </mc:Choice>
  </mc:AlternateContent>
  <bookViews>
    <workbookView xWindow="0" yWindow="0" windowWidth="28800" windowHeight="10992" tabRatio="765" firstSheet="2" activeTab="7"/>
  </bookViews>
  <sheets>
    <sheet name="RUN 2 CENTRAL &gt;&gt;&gt;" sheetId="12" r:id="rId1"/>
    <sheet name="Agri" sheetId="11" r:id="rId2"/>
    <sheet name="Alim°" sheetId="13" r:id="rId3"/>
    <sheet name="Cultures interm" sheetId="14" r:id="rId4"/>
    <sheet name="EN_tracteurs" sheetId="15" r:id="rId5"/>
    <sheet name="EN_autres" sheetId="17" r:id="rId6"/>
    <sheet name="UTCATF" sheetId="20" r:id="rId7"/>
    <sheet name="Biomasse" sheetId="21" r:id="rId8"/>
  </sheets>
  <externalReferences>
    <externalReference r:id="rId9"/>
    <externalReference r:id="rId10"/>
  </externalReferences>
  <definedNames>
    <definedName name="_xlchart.v1.0" hidden="1">'[1]Hypothèses SNBC'!$A$2:$A$13</definedName>
    <definedName name="_xlchart.v1.1" hidden="1">'[1]Hypothèses SNBC'!$D$2:$D$13</definedName>
    <definedName name="_xlchart.v1.2" hidden="1">'[1]Hypothèses SNBC'!$A$2:$A$13</definedName>
    <definedName name="_xlchart.v1.3" hidden="1">'[1]Hypothèses SNBC'!$C$2:$C$13</definedName>
    <definedName name="_xlchart.v1.4" hidden="1">'[1]Hypothèses SNBC'!$A$2:$A$13</definedName>
    <definedName name="_xlchart.v1.5" hidden="1">'[1]Hypothèses SNBC'!$B$1</definedName>
    <definedName name="_xlchart.v1.6" hidden="1">'[1]Hypothèses SNBC'!$B$2:$B$13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3" l="1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40" i="13"/>
  <c r="H85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40" i="13"/>
  <c r="C15" i="13" l="1"/>
  <c r="X26" i="20" l="1"/>
  <c r="Y26" i="20" s="1"/>
  <c r="Z26" i="20" s="1"/>
  <c r="AA26" i="20" s="1"/>
  <c r="AB26" i="20" s="1"/>
  <c r="AC26" i="20" s="1"/>
  <c r="AD26" i="20" s="1"/>
  <c r="AE26" i="20" s="1"/>
  <c r="AF26" i="20" s="1"/>
  <c r="N26" i="20"/>
  <c r="O26" i="20" s="1"/>
  <c r="P26" i="20" s="1"/>
  <c r="Q26" i="20" s="1"/>
  <c r="R26" i="20" s="1"/>
  <c r="S26" i="20" s="1"/>
  <c r="T26" i="20" s="1"/>
  <c r="U26" i="20" s="1"/>
  <c r="V26" i="20" s="1"/>
  <c r="D26" i="20"/>
  <c r="E26" i="20" s="1"/>
  <c r="F26" i="20" s="1"/>
  <c r="G26" i="20" s="1"/>
  <c r="H26" i="20" s="1"/>
  <c r="I26" i="20" s="1"/>
  <c r="J26" i="20" s="1"/>
  <c r="K26" i="20" s="1"/>
  <c r="L26" i="20" s="1"/>
  <c r="M24" i="20"/>
  <c r="M22" i="20"/>
  <c r="M21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C18" i="20"/>
  <c r="X17" i="20"/>
  <c r="Y17" i="20" s="1"/>
  <c r="Z17" i="20" s="1"/>
  <c r="AA17" i="20" s="1"/>
  <c r="AB17" i="20" s="1"/>
  <c r="AC17" i="20" s="1"/>
  <c r="AD17" i="20" s="1"/>
  <c r="AE17" i="20" s="1"/>
  <c r="AF17" i="20" s="1"/>
  <c r="N17" i="20"/>
  <c r="O17" i="20" s="1"/>
  <c r="P17" i="20" s="1"/>
  <c r="Q17" i="20" s="1"/>
  <c r="R17" i="20" s="1"/>
  <c r="S17" i="20" s="1"/>
  <c r="T17" i="20" s="1"/>
  <c r="U17" i="20" s="1"/>
  <c r="V17" i="20" s="1"/>
  <c r="D17" i="20"/>
  <c r="E17" i="20" s="1"/>
  <c r="F17" i="20" s="1"/>
  <c r="G17" i="20" s="1"/>
  <c r="H17" i="20" s="1"/>
  <c r="I17" i="20" s="1"/>
  <c r="J17" i="20" s="1"/>
  <c r="K17" i="20" s="1"/>
  <c r="L17" i="20" s="1"/>
  <c r="I13" i="20"/>
  <c r="K13" i="20"/>
  <c r="L13" i="20"/>
  <c r="M13" i="20"/>
  <c r="N13" i="20"/>
  <c r="O13" i="20"/>
  <c r="U13" i="20"/>
  <c r="W13" i="20"/>
  <c r="X13" i="20"/>
  <c r="Y13" i="20"/>
  <c r="Z13" i="20"/>
  <c r="AA13" i="20"/>
  <c r="AG13" i="20"/>
  <c r="D12" i="20"/>
  <c r="D13" i="20" s="1"/>
  <c r="E12" i="20"/>
  <c r="E13" i="20" s="1"/>
  <c r="F12" i="20"/>
  <c r="F13" i="20" s="1"/>
  <c r="G12" i="20"/>
  <c r="G13" i="20" s="1"/>
  <c r="H12" i="20"/>
  <c r="H13" i="20" s="1"/>
  <c r="I12" i="20"/>
  <c r="J12" i="20"/>
  <c r="J13" i="20" s="1"/>
  <c r="K12" i="20"/>
  <c r="L12" i="20"/>
  <c r="M12" i="20"/>
  <c r="N12" i="20"/>
  <c r="O12" i="20"/>
  <c r="P12" i="20"/>
  <c r="P13" i="20" s="1"/>
  <c r="Q12" i="20"/>
  <c r="Q13" i="20" s="1"/>
  <c r="R12" i="20"/>
  <c r="R13" i="20" s="1"/>
  <c r="S12" i="20"/>
  <c r="S13" i="20" s="1"/>
  <c r="T12" i="20"/>
  <c r="T13" i="20" s="1"/>
  <c r="U12" i="20"/>
  <c r="V12" i="20"/>
  <c r="V13" i="20" s="1"/>
  <c r="W12" i="20"/>
  <c r="X12" i="20"/>
  <c r="Y12" i="20"/>
  <c r="Z12" i="20"/>
  <c r="AA12" i="20"/>
  <c r="AB12" i="20"/>
  <c r="AB13" i="20" s="1"/>
  <c r="AC12" i="20"/>
  <c r="AC13" i="20" s="1"/>
  <c r="AD12" i="20"/>
  <c r="AD13" i="20" s="1"/>
  <c r="AE12" i="20"/>
  <c r="AE13" i="20" s="1"/>
  <c r="AF12" i="20"/>
  <c r="AF13" i="20" s="1"/>
  <c r="AG12" i="20"/>
  <c r="C12" i="20"/>
  <c r="C13" i="20" s="1"/>
  <c r="X10" i="20"/>
  <c r="Y10" i="20" s="1"/>
  <c r="Z10" i="20" s="1"/>
  <c r="AA10" i="20" s="1"/>
  <c r="AB10" i="20" s="1"/>
  <c r="AC10" i="20" s="1"/>
  <c r="AD10" i="20" s="1"/>
  <c r="AE10" i="20" s="1"/>
  <c r="AF10" i="20" s="1"/>
  <c r="N10" i="20"/>
  <c r="O10" i="20" s="1"/>
  <c r="P10" i="20" s="1"/>
  <c r="Q10" i="20" s="1"/>
  <c r="R10" i="20" s="1"/>
  <c r="S10" i="20" s="1"/>
  <c r="T10" i="20" s="1"/>
  <c r="U10" i="20" s="1"/>
  <c r="V10" i="20" s="1"/>
  <c r="D10" i="20"/>
  <c r="E10" i="20" s="1"/>
  <c r="F10" i="20" s="1"/>
  <c r="G10" i="20" s="1"/>
  <c r="H10" i="20" s="1"/>
  <c r="I10" i="20" s="1"/>
  <c r="J10" i="20" s="1"/>
  <c r="K10" i="20" s="1"/>
  <c r="L10" i="20" s="1"/>
  <c r="W28" i="20" l="1"/>
  <c r="X28" i="20" s="1"/>
  <c r="Y28" i="20" s="1"/>
  <c r="Z28" i="20" s="1"/>
  <c r="AA28" i="20" s="1"/>
  <c r="AB28" i="20" s="1"/>
  <c r="AC28" i="20" s="1"/>
  <c r="AD28" i="20" s="1"/>
  <c r="AE28" i="20" s="1"/>
  <c r="AF28" i="20" s="1"/>
  <c r="C8" i="20"/>
  <c r="X19" i="20"/>
  <c r="Y19" i="20" s="1"/>
  <c r="Z19" i="20" s="1"/>
  <c r="AA19" i="20" s="1"/>
  <c r="AB19" i="20" s="1"/>
  <c r="AC19" i="20" s="1"/>
  <c r="AD19" i="20" s="1"/>
  <c r="AE19" i="20" s="1"/>
  <c r="AF19" i="20" s="1"/>
  <c r="X20" i="20"/>
  <c r="Y20" i="20" s="1"/>
  <c r="Z20" i="20" s="1"/>
  <c r="AA20" i="20" s="1"/>
  <c r="AB20" i="20" s="1"/>
  <c r="AC20" i="20" s="1"/>
  <c r="AD20" i="20" s="1"/>
  <c r="AE20" i="20" s="1"/>
  <c r="AF20" i="20" s="1"/>
  <c r="X16" i="20"/>
  <c r="Y16" i="20" s="1"/>
  <c r="Z16" i="20" s="1"/>
  <c r="AA16" i="20" s="1"/>
  <c r="AB16" i="20" s="1"/>
  <c r="AC16" i="20" s="1"/>
  <c r="AD16" i="20" s="1"/>
  <c r="AE16" i="20" s="1"/>
  <c r="AF16" i="20" s="1"/>
  <c r="X7" i="20"/>
  <c r="Y7" i="20" s="1"/>
  <c r="Z7" i="20" s="1"/>
  <c r="AA7" i="20" s="1"/>
  <c r="AB7" i="20" s="1"/>
  <c r="AC7" i="20" s="1"/>
  <c r="AD7" i="20" s="1"/>
  <c r="AE7" i="20" s="1"/>
  <c r="AF7" i="20" s="1"/>
  <c r="N28" i="20"/>
  <c r="O28" i="20" s="1"/>
  <c r="P28" i="20" s="1"/>
  <c r="Q28" i="20" s="1"/>
  <c r="R28" i="20" s="1"/>
  <c r="S28" i="20" s="1"/>
  <c r="T28" i="20" s="1"/>
  <c r="U28" i="20" s="1"/>
  <c r="V28" i="20" s="1"/>
  <c r="N19" i="20"/>
  <c r="O19" i="20" s="1"/>
  <c r="P19" i="20" s="1"/>
  <c r="Q19" i="20" s="1"/>
  <c r="R19" i="20" s="1"/>
  <c r="S19" i="20" s="1"/>
  <c r="T19" i="20" s="1"/>
  <c r="U19" i="20" s="1"/>
  <c r="V19" i="20" s="1"/>
  <c r="N20" i="20"/>
  <c r="O20" i="20" s="1"/>
  <c r="P20" i="20" s="1"/>
  <c r="Q20" i="20" s="1"/>
  <c r="R20" i="20" s="1"/>
  <c r="S20" i="20" s="1"/>
  <c r="T20" i="20" s="1"/>
  <c r="U20" i="20" s="1"/>
  <c r="V20" i="20" s="1"/>
  <c r="O16" i="20"/>
  <c r="P16" i="20" s="1"/>
  <c r="Q16" i="20" s="1"/>
  <c r="R16" i="20" s="1"/>
  <c r="S16" i="20" s="1"/>
  <c r="T16" i="20" s="1"/>
  <c r="U16" i="20" s="1"/>
  <c r="V16" i="20" s="1"/>
  <c r="N16" i="20"/>
  <c r="N7" i="20"/>
  <c r="O7" i="20" s="1"/>
  <c r="P7" i="20" s="1"/>
  <c r="Q7" i="20" s="1"/>
  <c r="R7" i="20" s="1"/>
  <c r="S7" i="20" s="1"/>
  <c r="T7" i="20" s="1"/>
  <c r="U7" i="20" s="1"/>
  <c r="V7" i="20" s="1"/>
  <c r="X15" i="20"/>
  <c r="Y15" i="20" s="1"/>
  <c r="Z15" i="20" s="1"/>
  <c r="AA15" i="20" s="1"/>
  <c r="AB15" i="20" s="1"/>
  <c r="AC15" i="20" s="1"/>
  <c r="AD15" i="20" s="1"/>
  <c r="AE15" i="20" s="1"/>
  <c r="AF15" i="20" s="1"/>
  <c r="X6" i="20"/>
  <c r="Y6" i="20" s="1"/>
  <c r="Z6" i="20" s="1"/>
  <c r="AA6" i="20" s="1"/>
  <c r="AB6" i="20" s="1"/>
  <c r="AC6" i="20" s="1"/>
  <c r="AD6" i="20" s="1"/>
  <c r="AE6" i="20" s="1"/>
  <c r="AF6" i="20" s="1"/>
  <c r="N15" i="20"/>
  <c r="O15" i="20" s="1"/>
  <c r="P15" i="20" s="1"/>
  <c r="Q15" i="20" s="1"/>
  <c r="R15" i="20" s="1"/>
  <c r="S15" i="20" s="1"/>
  <c r="T15" i="20" s="1"/>
  <c r="U15" i="20" s="1"/>
  <c r="V15" i="20" s="1"/>
  <c r="N6" i="20"/>
  <c r="O6" i="20" s="1"/>
  <c r="P6" i="20" s="1"/>
  <c r="Q6" i="20" s="1"/>
  <c r="R6" i="20" s="1"/>
  <c r="S6" i="20" s="1"/>
  <c r="T6" i="20" s="1"/>
  <c r="U6" i="20" s="1"/>
  <c r="V6" i="20" s="1"/>
  <c r="D15" i="20"/>
  <c r="E15" i="20" s="1"/>
  <c r="F15" i="20" s="1"/>
  <c r="G15" i="20" s="1"/>
  <c r="H15" i="20" s="1"/>
  <c r="I15" i="20" s="1"/>
  <c r="J15" i="20" s="1"/>
  <c r="K15" i="20" s="1"/>
  <c r="L15" i="20" s="1"/>
  <c r="D16" i="20"/>
  <c r="E16" i="20" s="1"/>
  <c r="F16" i="20" s="1"/>
  <c r="G16" i="20" s="1"/>
  <c r="H16" i="20" s="1"/>
  <c r="I16" i="20" s="1"/>
  <c r="J16" i="20" s="1"/>
  <c r="K16" i="20" s="1"/>
  <c r="L16" i="20" s="1"/>
  <c r="D19" i="20"/>
  <c r="E19" i="20" s="1"/>
  <c r="F19" i="20" s="1"/>
  <c r="G19" i="20" s="1"/>
  <c r="H19" i="20" s="1"/>
  <c r="I19" i="20" s="1"/>
  <c r="J19" i="20" s="1"/>
  <c r="K19" i="20" s="1"/>
  <c r="L19" i="20" s="1"/>
  <c r="D20" i="20"/>
  <c r="E20" i="20" s="1"/>
  <c r="F20" i="20" s="1"/>
  <c r="G20" i="20" s="1"/>
  <c r="H20" i="20" s="1"/>
  <c r="I20" i="20" s="1"/>
  <c r="J20" i="20" s="1"/>
  <c r="K20" i="20" s="1"/>
  <c r="L20" i="20" s="1"/>
  <c r="D28" i="20"/>
  <c r="E28" i="20" s="1"/>
  <c r="F28" i="20" s="1"/>
  <c r="G28" i="20" s="1"/>
  <c r="H28" i="20" s="1"/>
  <c r="I28" i="20" s="1"/>
  <c r="J28" i="20" s="1"/>
  <c r="K28" i="20" s="1"/>
  <c r="L28" i="20" s="1"/>
  <c r="D7" i="20"/>
  <c r="E7" i="20" s="1"/>
  <c r="F7" i="20" s="1"/>
  <c r="G7" i="20" s="1"/>
  <c r="H7" i="20" s="1"/>
  <c r="I7" i="20" s="1"/>
  <c r="J7" i="20" s="1"/>
  <c r="K7" i="20" s="1"/>
  <c r="L7" i="20" s="1"/>
  <c r="D6" i="20"/>
  <c r="E6" i="20"/>
  <c r="F6" i="20" s="1"/>
  <c r="G6" i="20" s="1"/>
  <c r="H6" i="20" s="1"/>
  <c r="I6" i="20" s="1"/>
  <c r="J6" i="20" s="1"/>
  <c r="K6" i="20" s="1"/>
  <c r="L6" i="20" s="1"/>
  <c r="C27" i="20"/>
  <c r="D8" i="20" l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AJ16" i="20" l="1"/>
  <c r="AJ18" i="20"/>
  <c r="AJ15" i="20"/>
  <c r="W22" i="20" l="1"/>
  <c r="AG22" i="20"/>
  <c r="AG24" i="20" s="1"/>
  <c r="AG27" i="20" s="1"/>
  <c r="C22" i="20"/>
  <c r="W21" i="20"/>
  <c r="AG21" i="20"/>
  <c r="C21" i="20"/>
  <c r="X21" i="20" l="1"/>
  <c r="Y21" i="20" s="1"/>
  <c r="Z21" i="20" s="1"/>
  <c r="AA21" i="20" s="1"/>
  <c r="AB21" i="20" s="1"/>
  <c r="AC21" i="20" s="1"/>
  <c r="AD21" i="20" s="1"/>
  <c r="AE21" i="20" s="1"/>
  <c r="AF21" i="20" s="1"/>
  <c r="N21" i="20"/>
  <c r="O21" i="20" s="1"/>
  <c r="P21" i="20" s="1"/>
  <c r="Q21" i="20" s="1"/>
  <c r="R21" i="20" s="1"/>
  <c r="S21" i="20" s="1"/>
  <c r="T21" i="20" s="1"/>
  <c r="U21" i="20" s="1"/>
  <c r="V21" i="20" s="1"/>
  <c r="X22" i="20"/>
  <c r="Y22" i="20" s="1"/>
  <c r="Z22" i="20" s="1"/>
  <c r="AA22" i="20" s="1"/>
  <c r="AB22" i="20" s="1"/>
  <c r="AC22" i="20" s="1"/>
  <c r="AD22" i="20" s="1"/>
  <c r="AE22" i="20" s="1"/>
  <c r="AF22" i="20" s="1"/>
  <c r="N22" i="20"/>
  <c r="O22" i="20" s="1"/>
  <c r="P22" i="20" s="1"/>
  <c r="Q22" i="20" s="1"/>
  <c r="R22" i="20" s="1"/>
  <c r="S22" i="20" s="1"/>
  <c r="T22" i="20" s="1"/>
  <c r="U22" i="20" s="1"/>
  <c r="V22" i="20" s="1"/>
  <c r="W24" i="20"/>
  <c r="D22" i="20"/>
  <c r="E22" i="20" s="1"/>
  <c r="F22" i="20" s="1"/>
  <c r="G22" i="20" s="1"/>
  <c r="H22" i="20" s="1"/>
  <c r="I22" i="20" s="1"/>
  <c r="J22" i="20" s="1"/>
  <c r="K22" i="20" s="1"/>
  <c r="L22" i="20" s="1"/>
  <c r="D21" i="20"/>
  <c r="E21" i="20" s="1"/>
  <c r="F21" i="20" s="1"/>
  <c r="G21" i="20" s="1"/>
  <c r="H21" i="20" s="1"/>
  <c r="I21" i="20" s="1"/>
  <c r="J21" i="20" s="1"/>
  <c r="K21" i="20" s="1"/>
  <c r="L21" i="20" s="1"/>
  <c r="X24" i="20" l="1"/>
  <c r="W27" i="20"/>
  <c r="N24" i="20"/>
  <c r="M27" i="20"/>
  <c r="D24" i="20"/>
  <c r="E24" i="20" l="1"/>
  <c r="D27" i="20"/>
  <c r="Y24" i="20"/>
  <c r="X27" i="20"/>
  <c r="O24" i="20"/>
  <c r="N27" i="20"/>
  <c r="P24" i="20" l="1"/>
  <c r="O27" i="20"/>
  <c r="Z24" i="20"/>
  <c r="Y27" i="20"/>
  <c r="F24" i="20"/>
  <c r="E27" i="20"/>
  <c r="AA24" i="20" l="1"/>
  <c r="Z27" i="20"/>
  <c r="G24" i="20"/>
  <c r="F27" i="20"/>
  <c r="Q24" i="20"/>
  <c r="P27" i="20"/>
  <c r="R24" i="20" l="1"/>
  <c r="Q27" i="20"/>
  <c r="H24" i="20"/>
  <c r="G27" i="20"/>
  <c r="AB24" i="20"/>
  <c r="AA27" i="20"/>
  <c r="AC24" i="20" l="1"/>
  <c r="AB27" i="20"/>
  <c r="I24" i="20"/>
  <c r="H27" i="20"/>
  <c r="S24" i="20"/>
  <c r="R27" i="20"/>
  <c r="T24" i="20" l="1"/>
  <c r="S27" i="20"/>
  <c r="AD24" i="20"/>
  <c r="AC27" i="20"/>
  <c r="J24" i="20"/>
  <c r="I27" i="20"/>
  <c r="K24" i="20" l="1"/>
  <c r="J27" i="20"/>
  <c r="AE24" i="20"/>
  <c r="AD27" i="20"/>
  <c r="U24" i="20"/>
  <c r="T27" i="20"/>
  <c r="V24" i="20" l="1"/>
  <c r="V27" i="20" s="1"/>
  <c r="U27" i="20"/>
  <c r="AF24" i="20"/>
  <c r="AF27" i="20" s="1"/>
  <c r="AE27" i="20"/>
  <c r="L24" i="20"/>
  <c r="L27" i="20" s="1"/>
  <c r="K27" i="20"/>
  <c r="D13" i="21" l="1"/>
  <c r="E13" i="21"/>
  <c r="F13" i="21"/>
  <c r="G13" i="21"/>
  <c r="H13" i="21"/>
  <c r="I13" i="21"/>
  <c r="J13" i="21"/>
  <c r="K13" i="21"/>
  <c r="L13" i="21"/>
  <c r="M13" i="21"/>
  <c r="N13" i="21"/>
  <c r="O13" i="21"/>
  <c r="P13" i="21"/>
  <c r="C13" i="21"/>
  <c r="I35" i="17" l="1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C1" i="15" l="1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D4" i="15"/>
  <c r="E4" i="15" s="1"/>
  <c r="F4" i="15" s="1"/>
  <c r="G4" i="15" s="1"/>
  <c r="H4" i="15" s="1"/>
  <c r="I4" i="15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M6" i="15"/>
  <c r="M7" i="15"/>
  <c r="AG7" i="15"/>
  <c r="AI8" i="15"/>
  <c r="M9" i="15"/>
  <c r="B18" i="15"/>
  <c r="B20" i="15"/>
  <c r="B22" i="15"/>
  <c r="B23" i="15"/>
  <c r="B24" i="15"/>
  <c r="B27" i="15"/>
  <c r="C27" i="15" s="1"/>
  <c r="C38" i="15" s="1"/>
  <c r="AF47" i="15" s="1"/>
  <c r="C28" i="15"/>
  <c r="D28" i="15"/>
  <c r="E28" i="15" s="1"/>
  <c r="F28" i="15" s="1"/>
  <c r="I28" i="15"/>
  <c r="J28" i="15" s="1"/>
  <c r="K28" i="15"/>
  <c r="N28" i="15"/>
  <c r="O28" i="15" s="1"/>
  <c r="P28" i="15" s="1"/>
  <c r="Q28" i="15" s="1"/>
  <c r="X28" i="15"/>
  <c r="Y28" i="15" s="1"/>
  <c r="D29" i="15"/>
  <c r="E29" i="15" s="1"/>
  <c r="F29" i="15" s="1"/>
  <c r="G29" i="15" s="1"/>
  <c r="I29" i="15"/>
  <c r="J29" i="15" s="1"/>
  <c r="K29" i="15"/>
  <c r="L29" i="15" s="1"/>
  <c r="N29" i="15"/>
  <c r="O29" i="15" s="1"/>
  <c r="P29" i="15" s="1"/>
  <c r="Q29" i="15" s="1"/>
  <c r="R29" i="15" s="1"/>
  <c r="S29" i="15" s="1"/>
  <c r="T29" i="15" s="1"/>
  <c r="U29" i="15" s="1"/>
  <c r="V29" i="15" s="1"/>
  <c r="X29" i="15"/>
  <c r="Y29" i="15"/>
  <c r="Z29" i="15" s="1"/>
  <c r="AA29" i="15"/>
  <c r="AB29" i="15" s="1"/>
  <c r="AC29" i="15" s="1"/>
  <c r="AD29" i="15" s="1"/>
  <c r="AE29" i="15" s="1"/>
  <c r="AF29" i="15" s="1"/>
  <c r="D30" i="15"/>
  <c r="E30" i="15" s="1"/>
  <c r="E33" i="15" s="1"/>
  <c r="F30" i="15"/>
  <c r="G30" i="15" s="1"/>
  <c r="I30" i="15"/>
  <c r="J30" i="15" s="1"/>
  <c r="K30" i="15" s="1"/>
  <c r="L30" i="15" s="1"/>
  <c r="N30" i="15"/>
  <c r="O30" i="15" s="1"/>
  <c r="P30" i="15" s="1"/>
  <c r="Q30" i="15" s="1"/>
  <c r="R30" i="15" s="1"/>
  <c r="S30" i="15" s="1"/>
  <c r="T30" i="15" s="1"/>
  <c r="U30" i="15" s="1"/>
  <c r="V30" i="15"/>
  <c r="X30" i="15"/>
  <c r="Y30" i="15"/>
  <c r="Z30" i="15" s="1"/>
  <c r="AA30" i="15" s="1"/>
  <c r="AB30" i="15" s="1"/>
  <c r="AC30" i="15" s="1"/>
  <c r="AD30" i="15" s="1"/>
  <c r="AE30" i="15" s="1"/>
  <c r="AF30" i="15" s="1"/>
  <c r="D31" i="15"/>
  <c r="E31" i="15" s="1"/>
  <c r="F31" i="15" s="1"/>
  <c r="G31" i="15" s="1"/>
  <c r="I31" i="15"/>
  <c r="J31" i="15" s="1"/>
  <c r="K31" i="15" s="1"/>
  <c r="L31" i="15" s="1"/>
  <c r="N31" i="15"/>
  <c r="O31" i="15" s="1"/>
  <c r="P31" i="15" s="1"/>
  <c r="Q31" i="15" s="1"/>
  <c r="R31" i="15" s="1"/>
  <c r="S31" i="15" s="1"/>
  <c r="T31" i="15" s="1"/>
  <c r="U31" i="15" s="1"/>
  <c r="V31" i="15" s="1"/>
  <c r="X31" i="15"/>
  <c r="Y31" i="15"/>
  <c r="Z31" i="15" s="1"/>
  <c r="AA31" i="15" s="1"/>
  <c r="AB31" i="15" s="1"/>
  <c r="AC31" i="15" s="1"/>
  <c r="AD31" i="15" s="1"/>
  <c r="AE31" i="15" s="1"/>
  <c r="AF31" i="15" s="1"/>
  <c r="D32" i="15"/>
  <c r="E32" i="15" s="1"/>
  <c r="F32" i="15"/>
  <c r="G32" i="15" s="1"/>
  <c r="I32" i="15"/>
  <c r="J32" i="15"/>
  <c r="K32" i="15" s="1"/>
  <c r="L32" i="15" s="1"/>
  <c r="N32" i="15"/>
  <c r="O32" i="15" s="1"/>
  <c r="P32" i="15" s="1"/>
  <c r="Q32" i="15" s="1"/>
  <c r="R32" i="15" s="1"/>
  <c r="S32" i="15" s="1"/>
  <c r="T32" i="15" s="1"/>
  <c r="U32" i="15" s="1"/>
  <c r="V32" i="15" s="1"/>
  <c r="X32" i="15"/>
  <c r="Y32" i="15" s="1"/>
  <c r="Z32" i="15" s="1"/>
  <c r="AA32" i="15" s="1"/>
  <c r="AB32" i="15" s="1"/>
  <c r="AC32" i="15" s="1"/>
  <c r="AD32" i="15" s="1"/>
  <c r="AE32" i="15" s="1"/>
  <c r="AF32" i="15" s="1"/>
  <c r="B33" i="15"/>
  <c r="C33" i="15"/>
  <c r="H33" i="15"/>
  <c r="I33" i="15"/>
  <c r="M33" i="15"/>
  <c r="W33" i="15"/>
  <c r="AG33" i="15"/>
  <c r="B35" i="15"/>
  <c r="AG35" i="15"/>
  <c r="AG36" i="15"/>
  <c r="B37" i="15"/>
  <c r="AE46" i="15" s="1"/>
  <c r="AG37" i="15"/>
  <c r="B38" i="15"/>
  <c r="AE47" i="15" s="1"/>
  <c r="AG38" i="15"/>
  <c r="B39" i="15"/>
  <c r="AE48" i="15" s="1"/>
  <c r="AG39" i="15"/>
  <c r="B43" i="15"/>
  <c r="C43" i="15" s="1"/>
  <c r="C42" i="15" s="1"/>
  <c r="I44" i="15"/>
  <c r="J44" i="15" s="1"/>
  <c r="K44" i="15" s="1"/>
  <c r="L44" i="15" s="1"/>
  <c r="N44" i="15"/>
  <c r="O44" i="15" s="1"/>
  <c r="P44" i="15" s="1"/>
  <c r="Q44" i="15" s="1"/>
  <c r="R44" i="15" s="1"/>
  <c r="S44" i="15" s="1"/>
  <c r="T44" i="15" s="1"/>
  <c r="U44" i="15" s="1"/>
  <c r="V44" i="15" s="1"/>
  <c r="X44" i="15"/>
  <c r="Y44" i="15" s="1"/>
  <c r="Z44" i="15" s="1"/>
  <c r="AA44" i="15" s="1"/>
  <c r="AB44" i="15" s="1"/>
  <c r="AC44" i="15" s="1"/>
  <c r="AD44" i="15" s="1"/>
  <c r="AE44" i="15" s="1"/>
  <c r="AF44" i="15" s="1"/>
  <c r="AE45" i="15"/>
  <c r="AF45" i="15"/>
  <c r="B51" i="15"/>
  <c r="C51" i="15"/>
  <c r="H51" i="15"/>
  <c r="M51" i="15"/>
  <c r="W51" i="15"/>
  <c r="AG51" i="15"/>
  <c r="D52" i="15"/>
  <c r="E52" i="15"/>
  <c r="F52" i="15" s="1"/>
  <c r="G52" i="15" s="1"/>
  <c r="I52" i="15"/>
  <c r="N52" i="15"/>
  <c r="X52" i="15"/>
  <c r="Y52" i="15"/>
  <c r="D53" i="15"/>
  <c r="E53" i="15" s="1"/>
  <c r="F53" i="15" s="1"/>
  <c r="G53" i="15" s="1"/>
  <c r="I53" i="15"/>
  <c r="J53" i="15" s="1"/>
  <c r="K53" i="15" s="1"/>
  <c r="L53" i="15" s="1"/>
  <c r="N53" i="15"/>
  <c r="O53" i="15" s="1"/>
  <c r="P53" i="15" s="1"/>
  <c r="Q53" i="15" s="1"/>
  <c r="R53" i="15" s="1"/>
  <c r="S53" i="15" s="1"/>
  <c r="T53" i="15" s="1"/>
  <c r="U53" i="15" s="1"/>
  <c r="V53" i="15" s="1"/>
  <c r="X53" i="15"/>
  <c r="Y53" i="15" s="1"/>
  <c r="Z53" i="15" s="1"/>
  <c r="AA53" i="15" s="1"/>
  <c r="AB53" i="15" s="1"/>
  <c r="AC53" i="15" s="1"/>
  <c r="AD53" i="15" s="1"/>
  <c r="AE53" i="15" s="1"/>
  <c r="AF53" i="15" s="1"/>
  <c r="D54" i="15"/>
  <c r="E54" i="15" s="1"/>
  <c r="F54" i="15" s="1"/>
  <c r="I54" i="15"/>
  <c r="J54" i="15" s="1"/>
  <c r="K54" i="15"/>
  <c r="L54" i="15" s="1"/>
  <c r="N54" i="15"/>
  <c r="O54" i="15" s="1"/>
  <c r="P54" i="15" s="1"/>
  <c r="Q54" i="15" s="1"/>
  <c r="R54" i="15" s="1"/>
  <c r="S54" i="15" s="1"/>
  <c r="T54" i="15" s="1"/>
  <c r="U54" i="15" s="1"/>
  <c r="V54" i="15" s="1"/>
  <c r="X54" i="15"/>
  <c r="Y54" i="15" s="1"/>
  <c r="Z54" i="15" s="1"/>
  <c r="AA54" i="15" s="1"/>
  <c r="AB54" i="15" s="1"/>
  <c r="AC54" i="15" s="1"/>
  <c r="AD54" i="15" s="1"/>
  <c r="AE54" i="15" s="1"/>
  <c r="AF54" i="15" s="1"/>
  <c r="D55" i="15"/>
  <c r="E55" i="15"/>
  <c r="F55" i="15" s="1"/>
  <c r="G55" i="15" s="1"/>
  <c r="I55" i="15"/>
  <c r="J55" i="15"/>
  <c r="K55" i="15"/>
  <c r="L55" i="15" s="1"/>
  <c r="N55" i="15"/>
  <c r="O55" i="15" s="1"/>
  <c r="P55" i="15" s="1"/>
  <c r="Q55" i="15" s="1"/>
  <c r="R55" i="15" s="1"/>
  <c r="S55" i="15" s="1"/>
  <c r="T55" i="15" s="1"/>
  <c r="U55" i="15" s="1"/>
  <c r="V55" i="15" s="1"/>
  <c r="X55" i="15"/>
  <c r="Y55" i="15" s="1"/>
  <c r="Z55" i="15" s="1"/>
  <c r="AA55" i="15" s="1"/>
  <c r="AB55" i="15" s="1"/>
  <c r="AC55" i="15" s="1"/>
  <c r="AD55" i="15" s="1"/>
  <c r="AE55" i="15" s="1"/>
  <c r="AF55" i="15" s="1"/>
  <c r="B66" i="15"/>
  <c r="B73" i="15" s="1"/>
  <c r="C72" i="15"/>
  <c r="C73" i="15"/>
  <c r="C74" i="15"/>
  <c r="C75" i="15"/>
  <c r="B75" i="15" l="1"/>
  <c r="B72" i="15"/>
  <c r="B74" i="15"/>
  <c r="P33" i="15"/>
  <c r="N33" i="15"/>
  <c r="G54" i="15"/>
  <c r="F51" i="15"/>
  <c r="B42" i="15"/>
  <c r="X33" i="15"/>
  <c r="N51" i="15"/>
  <c r="O52" i="15"/>
  <c r="C39" i="15"/>
  <c r="AF48" i="15" s="1"/>
  <c r="Z28" i="15"/>
  <c r="Y33" i="15"/>
  <c r="R28" i="15"/>
  <c r="Q33" i="15"/>
  <c r="J52" i="15"/>
  <c r="I51" i="15"/>
  <c r="L28" i="15"/>
  <c r="L33" i="15" s="1"/>
  <c r="K33" i="15"/>
  <c r="X51" i="15"/>
  <c r="G51" i="15"/>
  <c r="J33" i="15"/>
  <c r="G28" i="15"/>
  <c r="G33" i="15" s="1"/>
  <c r="F33" i="15"/>
  <c r="Y51" i="15"/>
  <c r="Z52" i="15"/>
  <c r="E51" i="15"/>
  <c r="D43" i="15"/>
  <c r="D51" i="15"/>
  <c r="C35" i="15"/>
  <c r="AE43" i="15" s="1"/>
  <c r="AE42" i="15" s="1"/>
  <c r="C37" i="15"/>
  <c r="AF46" i="15" s="1"/>
  <c r="D27" i="15"/>
  <c r="D33" i="15"/>
  <c r="B71" i="15"/>
  <c r="C20" i="15"/>
  <c r="O33" i="15"/>
  <c r="B70" i="15" l="1"/>
  <c r="K52" i="15"/>
  <c r="J51" i="15"/>
  <c r="Z51" i="15"/>
  <c r="AA52" i="15"/>
  <c r="C12" i="15"/>
  <c r="D20" i="15"/>
  <c r="C71" i="15"/>
  <c r="C70" i="15" s="1"/>
  <c r="C13" i="15"/>
  <c r="O51" i="15"/>
  <c r="P52" i="15"/>
  <c r="S28" i="15"/>
  <c r="R33" i="15"/>
  <c r="E27" i="15"/>
  <c r="D39" i="15"/>
  <c r="D35" i="15"/>
  <c r="AF43" i="15" s="1"/>
  <c r="AF42" i="15" s="1"/>
  <c r="D36" i="15"/>
  <c r="D37" i="15"/>
  <c r="D38" i="15"/>
  <c r="D42" i="15"/>
  <c r="E43" i="15"/>
  <c r="AA28" i="15"/>
  <c r="Z33" i="15"/>
  <c r="S33" i="15" l="1"/>
  <c r="T28" i="15"/>
  <c r="D23" i="15"/>
  <c r="AG47" i="15"/>
  <c r="D71" i="15"/>
  <c r="D22" i="15"/>
  <c r="AG46" i="15"/>
  <c r="C15" i="15"/>
  <c r="C16" i="15"/>
  <c r="C17" i="15"/>
  <c r="C14" i="15"/>
  <c r="C18" i="15" s="1"/>
  <c r="P51" i="15"/>
  <c r="Q52" i="15"/>
  <c r="E42" i="15"/>
  <c r="F43" i="15"/>
  <c r="D21" i="15"/>
  <c r="AG45" i="15"/>
  <c r="AA51" i="15"/>
  <c r="AB52" i="15"/>
  <c r="AA33" i="15"/>
  <c r="AB28" i="15"/>
  <c r="AG48" i="15"/>
  <c r="D24" i="15"/>
  <c r="E37" i="15"/>
  <c r="E36" i="15"/>
  <c r="E39" i="15"/>
  <c r="F27" i="15"/>
  <c r="E35" i="15"/>
  <c r="AG43" i="15" s="1"/>
  <c r="E38" i="15"/>
  <c r="K51" i="15"/>
  <c r="L52" i="15"/>
  <c r="L51" i="15" s="1"/>
  <c r="E22" i="15" l="1"/>
  <c r="D73" i="15"/>
  <c r="E21" i="15"/>
  <c r="D72" i="15"/>
  <c r="E20" i="15"/>
  <c r="Q51" i="15"/>
  <c r="R52" i="15"/>
  <c r="G27" i="15"/>
  <c r="F35" i="15"/>
  <c r="F36" i="15"/>
  <c r="F37" i="15"/>
  <c r="F38" i="15"/>
  <c r="F39" i="15"/>
  <c r="E23" i="15"/>
  <c r="D74" i="15"/>
  <c r="AC52" i="15"/>
  <c r="AB51" i="15"/>
  <c r="AG42" i="15"/>
  <c r="D12" i="15"/>
  <c r="D13" i="15" s="1"/>
  <c r="E24" i="15"/>
  <c r="D17" i="15"/>
  <c r="D75" i="15"/>
  <c r="U28" i="15"/>
  <c r="T33" i="15"/>
  <c r="D70" i="15"/>
  <c r="G43" i="15"/>
  <c r="F42" i="15"/>
  <c r="AC28" i="15"/>
  <c r="AB33" i="15"/>
  <c r="F24" i="15" l="1"/>
  <c r="E75" i="15"/>
  <c r="S52" i="15"/>
  <c r="R51" i="15"/>
  <c r="F20" i="15"/>
  <c r="E12" i="15"/>
  <c r="E16" i="15" s="1"/>
  <c r="E71" i="15"/>
  <c r="E70" i="15" s="1"/>
  <c r="G42" i="15"/>
  <c r="H43" i="15"/>
  <c r="F23" i="15"/>
  <c r="E74" i="15"/>
  <c r="F21" i="15"/>
  <c r="E72" i="15"/>
  <c r="G35" i="15"/>
  <c r="G38" i="15"/>
  <c r="G36" i="15"/>
  <c r="G37" i="15"/>
  <c r="G39" i="15"/>
  <c r="H27" i="15"/>
  <c r="AD28" i="15"/>
  <c r="AC33" i="15"/>
  <c r="D16" i="15"/>
  <c r="D14" i="15"/>
  <c r="D18" i="15" s="1"/>
  <c r="AC51" i="15"/>
  <c r="AD52" i="15"/>
  <c r="V28" i="15"/>
  <c r="V33" i="15" s="1"/>
  <c r="U33" i="15"/>
  <c r="F22" i="15"/>
  <c r="E15" i="15"/>
  <c r="E73" i="15"/>
  <c r="D15" i="15"/>
  <c r="I27" i="15" l="1"/>
  <c r="H38" i="15"/>
  <c r="H35" i="15"/>
  <c r="H36" i="15"/>
  <c r="H37" i="15"/>
  <c r="H39" i="15"/>
  <c r="F12" i="15"/>
  <c r="F15" i="15" s="1"/>
  <c r="G20" i="15"/>
  <c r="F71" i="15"/>
  <c r="E13" i="15"/>
  <c r="E18" i="15" s="1"/>
  <c r="G22" i="15"/>
  <c r="F73" i="15"/>
  <c r="AD51" i="15"/>
  <c r="AE52" i="15"/>
  <c r="I43" i="15"/>
  <c r="H42" i="15"/>
  <c r="E14" i="15"/>
  <c r="T52" i="15"/>
  <c r="S51" i="15"/>
  <c r="F14" i="15"/>
  <c r="G21" i="15"/>
  <c r="F72" i="15"/>
  <c r="E17" i="15"/>
  <c r="G23" i="15"/>
  <c r="F74" i="15"/>
  <c r="AE28" i="15"/>
  <c r="AD33" i="15"/>
  <c r="G24" i="15"/>
  <c r="F75" i="15"/>
  <c r="H21" i="15" l="1"/>
  <c r="G72" i="15"/>
  <c r="H20" i="15"/>
  <c r="G12" i="15"/>
  <c r="G14" i="15" s="1"/>
  <c r="G71" i="15"/>
  <c r="G13" i="15"/>
  <c r="F13" i="15"/>
  <c r="F18" i="15" s="1"/>
  <c r="AF28" i="15"/>
  <c r="AF33" i="15" s="1"/>
  <c r="AE33" i="15"/>
  <c r="I42" i="15"/>
  <c r="J43" i="15"/>
  <c r="F70" i="15"/>
  <c r="F17" i="15"/>
  <c r="H22" i="15"/>
  <c r="G15" i="15"/>
  <c r="G73" i="15"/>
  <c r="U52" i="15"/>
  <c r="T51" i="15"/>
  <c r="AE51" i="15"/>
  <c r="AF52" i="15"/>
  <c r="AF51" i="15" s="1"/>
  <c r="G16" i="15"/>
  <c r="H23" i="15"/>
  <c r="G74" i="15"/>
  <c r="H24" i="15"/>
  <c r="G75" i="15"/>
  <c r="F16" i="15"/>
  <c r="I38" i="15"/>
  <c r="J27" i="15"/>
  <c r="I37" i="15"/>
  <c r="I36" i="15"/>
  <c r="I39" i="15"/>
  <c r="I35" i="15"/>
  <c r="J42" i="15" l="1"/>
  <c r="K43" i="15"/>
  <c r="K27" i="15"/>
  <c r="J37" i="15"/>
  <c r="J36" i="15"/>
  <c r="J39" i="15"/>
  <c r="J35" i="15"/>
  <c r="J38" i="15"/>
  <c r="V52" i="15"/>
  <c r="V51" i="15" s="1"/>
  <c r="U51" i="15"/>
  <c r="G70" i="15"/>
  <c r="I23" i="15"/>
  <c r="H74" i="15"/>
  <c r="I20" i="15"/>
  <c r="H13" i="15"/>
  <c r="H12" i="15"/>
  <c r="H16" i="15" s="1"/>
  <c r="H71" i="15"/>
  <c r="H70" i="15" s="1"/>
  <c r="I22" i="15"/>
  <c r="H73" i="15"/>
  <c r="H15" i="15"/>
  <c r="I24" i="15"/>
  <c r="H17" i="15"/>
  <c r="H75" i="15"/>
  <c r="I21" i="15"/>
  <c r="H72" i="15"/>
  <c r="H14" i="15"/>
  <c r="G17" i="15"/>
  <c r="G18" i="15" s="1"/>
  <c r="J22" i="15" l="1"/>
  <c r="I73" i="15"/>
  <c r="J24" i="15"/>
  <c r="I75" i="15"/>
  <c r="H18" i="15"/>
  <c r="J20" i="15"/>
  <c r="I12" i="15"/>
  <c r="I15" i="15" s="1"/>
  <c r="I71" i="15"/>
  <c r="I70" i="15" s="1"/>
  <c r="K35" i="15"/>
  <c r="K36" i="15"/>
  <c r="K39" i="15"/>
  <c r="K38" i="15"/>
  <c r="L27" i="15"/>
  <c r="K37" i="15"/>
  <c r="J21" i="15"/>
  <c r="I72" i="15"/>
  <c r="K42" i="15"/>
  <c r="L43" i="15"/>
  <c r="J23" i="15"/>
  <c r="I74" i="15"/>
  <c r="I16" i="15" l="1"/>
  <c r="I13" i="15"/>
  <c r="K21" i="15"/>
  <c r="J72" i="15"/>
  <c r="I14" i="15"/>
  <c r="K24" i="15"/>
  <c r="J75" i="15"/>
  <c r="M27" i="15"/>
  <c r="L36" i="15"/>
  <c r="L37" i="15"/>
  <c r="L38" i="15"/>
  <c r="L35" i="15"/>
  <c r="L39" i="15"/>
  <c r="I17" i="15"/>
  <c r="K23" i="15"/>
  <c r="J74" i="15"/>
  <c r="L42" i="15"/>
  <c r="M43" i="15"/>
  <c r="J12" i="15"/>
  <c r="J14" i="15" s="1"/>
  <c r="K20" i="15"/>
  <c r="J71" i="15"/>
  <c r="J70" i="15" s="1"/>
  <c r="K22" i="15"/>
  <c r="J73" i="15"/>
  <c r="B12" i="14"/>
  <c r="F9" i="14"/>
  <c r="D14" i="14" s="1"/>
  <c r="F14" i="14" s="1"/>
  <c r="G14" i="14" s="1"/>
  <c r="B9" i="14"/>
  <c r="D12" i="14" s="1"/>
  <c r="F12" i="14" s="1"/>
  <c r="G12" i="14" s="1"/>
  <c r="C8" i="14"/>
  <c r="B8" i="14"/>
  <c r="E8" i="14" s="1"/>
  <c r="F7" i="14"/>
  <c r="D7" i="14"/>
  <c r="C7" i="14"/>
  <c r="B6" i="14"/>
  <c r="F5" i="14"/>
  <c r="B14" i="14" s="1"/>
  <c r="D5" i="14"/>
  <c r="D9" i="14" s="1"/>
  <c r="C5" i="14"/>
  <c r="C9" i="14" s="1"/>
  <c r="B4" i="14"/>
  <c r="E3" i="14"/>
  <c r="E5" i="14" s="1"/>
  <c r="I18" i="15" l="1"/>
  <c r="M36" i="15"/>
  <c r="M39" i="15"/>
  <c r="M38" i="15"/>
  <c r="M37" i="15"/>
  <c r="N27" i="15"/>
  <c r="M35" i="15"/>
  <c r="L24" i="15"/>
  <c r="K75" i="15"/>
  <c r="J17" i="15"/>
  <c r="K12" i="15"/>
  <c r="K13" i="15" s="1"/>
  <c r="L20" i="15"/>
  <c r="K71" i="15"/>
  <c r="M42" i="15"/>
  <c r="N43" i="15"/>
  <c r="J16" i="15"/>
  <c r="L23" i="15"/>
  <c r="K74" i="15"/>
  <c r="J13" i="15"/>
  <c r="J15" i="15"/>
  <c r="K14" i="15"/>
  <c r="L21" i="15"/>
  <c r="K72" i="15"/>
  <c r="L22" i="15"/>
  <c r="K73" i="15"/>
  <c r="D4" i="14"/>
  <c r="C4" i="14"/>
  <c r="F4" i="14"/>
  <c r="B21" i="14" s="1"/>
  <c r="B23" i="14" s="1"/>
  <c r="E7" i="14"/>
  <c r="E4" i="14" s="1"/>
  <c r="B20" i="14" s="1"/>
  <c r="B22" i="14" s="1"/>
  <c r="E9" i="14"/>
  <c r="D13" i="14" s="1"/>
  <c r="F13" i="14" s="1"/>
  <c r="G13" i="14" s="1"/>
  <c r="B13" i="14"/>
  <c r="J18" i="15" l="1"/>
  <c r="L12" i="15"/>
  <c r="L13" i="15" s="1"/>
  <c r="L71" i="15"/>
  <c r="M20" i="15"/>
  <c r="M24" i="15"/>
  <c r="L75" i="15"/>
  <c r="K16" i="15"/>
  <c r="M23" i="15"/>
  <c r="L74" i="15"/>
  <c r="N36" i="15"/>
  <c r="N39" i="15"/>
  <c r="O27" i="15"/>
  <c r="N35" i="15"/>
  <c r="N37" i="15"/>
  <c r="N38" i="15"/>
  <c r="M22" i="15"/>
  <c r="L73" i="15"/>
  <c r="M21" i="15"/>
  <c r="L72" i="15"/>
  <c r="K17" i="15"/>
  <c r="N42" i="15"/>
  <c r="O43" i="15"/>
  <c r="K15" i="15"/>
  <c r="K70" i="15"/>
  <c r="E136" i="13"/>
  <c r="D136" i="13"/>
  <c r="C136" i="13"/>
  <c r="N44" i="13"/>
  <c r="N43" i="13"/>
  <c r="N42" i="13"/>
  <c r="N41" i="13"/>
  <c r="C85" i="13"/>
  <c r="J4" i="13"/>
  <c r="J5" i="13"/>
  <c r="J6" i="13"/>
  <c r="J7" i="13"/>
  <c r="J8" i="13"/>
  <c r="J9" i="13"/>
  <c r="J10" i="13"/>
  <c r="J11" i="13"/>
  <c r="J12" i="13"/>
  <c r="J13" i="13"/>
  <c r="J14" i="13"/>
  <c r="J3" i="13"/>
  <c r="H4" i="13"/>
  <c r="H5" i="13"/>
  <c r="H6" i="13"/>
  <c r="H7" i="13"/>
  <c r="H8" i="13"/>
  <c r="H9" i="13"/>
  <c r="H10" i="13"/>
  <c r="H11" i="13"/>
  <c r="H12" i="13"/>
  <c r="H13" i="13"/>
  <c r="H14" i="13"/>
  <c r="H3" i="13"/>
  <c r="F4" i="13"/>
  <c r="F5" i="13"/>
  <c r="F6" i="13"/>
  <c r="F7" i="13"/>
  <c r="F8" i="13"/>
  <c r="F9" i="13"/>
  <c r="F10" i="13"/>
  <c r="F11" i="13"/>
  <c r="F12" i="13"/>
  <c r="F13" i="13"/>
  <c r="F14" i="13"/>
  <c r="F3" i="13"/>
  <c r="D4" i="13"/>
  <c r="D5" i="13"/>
  <c r="D6" i="13"/>
  <c r="D7" i="13"/>
  <c r="D8" i="13"/>
  <c r="D9" i="13"/>
  <c r="D10" i="13"/>
  <c r="D11" i="13"/>
  <c r="D12" i="13"/>
  <c r="D13" i="13"/>
  <c r="D14" i="13"/>
  <c r="D3" i="13"/>
  <c r="K18" i="15" l="1"/>
  <c r="L14" i="15"/>
  <c r="L16" i="15"/>
  <c r="L15" i="15"/>
  <c r="L17" i="15"/>
  <c r="N23" i="15"/>
  <c r="M74" i="15"/>
  <c r="N21" i="15"/>
  <c r="M72" i="15"/>
  <c r="N22" i="15"/>
  <c r="M73" i="15"/>
  <c r="M12" i="15"/>
  <c r="M16" i="15" s="1"/>
  <c r="M71" i="15"/>
  <c r="N20" i="15"/>
  <c r="L70" i="15"/>
  <c r="O42" i="15"/>
  <c r="P43" i="15"/>
  <c r="O35" i="15"/>
  <c r="O37" i="15"/>
  <c r="O38" i="15"/>
  <c r="O39" i="15"/>
  <c r="P27" i="15"/>
  <c r="O36" i="15"/>
  <c r="N24" i="15"/>
  <c r="M75" i="15"/>
  <c r="I29" i="11"/>
  <c r="L18" i="15" l="1"/>
  <c r="M70" i="15"/>
  <c r="M13" i="15"/>
  <c r="M15" i="15"/>
  <c r="O24" i="15"/>
  <c r="N75" i="15"/>
  <c r="Q27" i="15"/>
  <c r="P36" i="15"/>
  <c r="P37" i="15"/>
  <c r="P39" i="15"/>
  <c r="P35" i="15"/>
  <c r="P38" i="15"/>
  <c r="M14" i="15"/>
  <c r="O22" i="15"/>
  <c r="N73" i="15"/>
  <c r="Q43" i="15"/>
  <c r="P42" i="15"/>
  <c r="O21" i="15"/>
  <c r="N14" i="15"/>
  <c r="N72" i="15"/>
  <c r="M17" i="15"/>
  <c r="N71" i="15"/>
  <c r="O20" i="15"/>
  <c r="N12" i="15"/>
  <c r="N17" i="15" s="1"/>
  <c r="O23" i="15"/>
  <c r="N74" i="15"/>
  <c r="G17" i="11"/>
  <c r="H17" i="11"/>
  <c r="H16" i="11"/>
  <c r="G16" i="11"/>
  <c r="N16" i="15" l="1"/>
  <c r="N15" i="15"/>
  <c r="N13" i="15"/>
  <c r="N18" i="15"/>
  <c r="Q37" i="15"/>
  <c r="Q36" i="15"/>
  <c r="Q39" i="15"/>
  <c r="R27" i="15"/>
  <c r="Q35" i="15"/>
  <c r="Q38" i="15"/>
  <c r="P23" i="15"/>
  <c r="O74" i="15"/>
  <c r="Q42" i="15"/>
  <c r="R43" i="15"/>
  <c r="O75" i="15"/>
  <c r="P24" i="15"/>
  <c r="P22" i="15"/>
  <c r="O73" i="15"/>
  <c r="N70" i="15"/>
  <c r="M18" i="15"/>
  <c r="O12" i="15"/>
  <c r="O17" i="15" s="1"/>
  <c r="P20" i="15"/>
  <c r="O71" i="15"/>
  <c r="P21" i="15"/>
  <c r="O72" i="15"/>
  <c r="I23" i="11"/>
  <c r="I25" i="11"/>
  <c r="I26" i="11"/>
  <c r="I28" i="11"/>
  <c r="I30" i="11"/>
  <c r="I22" i="11"/>
  <c r="O70" i="15" l="1"/>
  <c r="O13" i="15"/>
  <c r="S43" i="15"/>
  <c r="R42" i="15"/>
  <c r="P74" i="15"/>
  <c r="Q23" i="15"/>
  <c r="O16" i="15"/>
  <c r="Q22" i="15"/>
  <c r="P73" i="15"/>
  <c r="Q20" i="15"/>
  <c r="P12" i="15"/>
  <c r="P16" i="15" s="1"/>
  <c r="P71" i="15"/>
  <c r="S27" i="15"/>
  <c r="R38" i="15"/>
  <c r="R39" i="15"/>
  <c r="R36" i="15"/>
  <c r="R37" i="15"/>
  <c r="R35" i="15"/>
  <c r="O14" i="15"/>
  <c r="O15" i="15"/>
  <c r="P72" i="15"/>
  <c r="Q21" i="15"/>
  <c r="Q24" i="15"/>
  <c r="P75" i="15"/>
  <c r="B7" i="11"/>
  <c r="P14" i="15" l="1"/>
  <c r="P13" i="15"/>
  <c r="O18" i="15"/>
  <c r="R22" i="15"/>
  <c r="Q73" i="15"/>
  <c r="R20" i="15"/>
  <c r="Q12" i="15"/>
  <c r="Q15" i="15" s="1"/>
  <c r="Q71" i="15"/>
  <c r="P15" i="15"/>
  <c r="R23" i="15"/>
  <c r="Q74" i="15"/>
  <c r="P17" i="15"/>
  <c r="S35" i="15"/>
  <c r="S38" i="15"/>
  <c r="T27" i="15"/>
  <c r="S39" i="15"/>
  <c r="S36" i="15"/>
  <c r="S37" i="15"/>
  <c r="R24" i="15"/>
  <c r="Q17" i="15"/>
  <c r="Q75" i="15"/>
  <c r="R21" i="15"/>
  <c r="Q72" i="15"/>
  <c r="P70" i="15"/>
  <c r="T43" i="15"/>
  <c r="S42" i="15"/>
  <c r="C7" i="11"/>
  <c r="D7" i="11"/>
  <c r="P18" i="15" l="1"/>
  <c r="Q16" i="15"/>
  <c r="Q14" i="15"/>
  <c r="S23" i="15"/>
  <c r="R74" i="15"/>
  <c r="S21" i="15"/>
  <c r="R72" i="15"/>
  <c r="Q70" i="15"/>
  <c r="R12" i="15"/>
  <c r="R16" i="15" s="1"/>
  <c r="S20" i="15"/>
  <c r="R71" i="15"/>
  <c r="S24" i="15"/>
  <c r="R75" i="15"/>
  <c r="Q13" i="15"/>
  <c r="U43" i="15"/>
  <c r="T42" i="15"/>
  <c r="U27" i="15"/>
  <c r="T35" i="15"/>
  <c r="T39" i="15"/>
  <c r="T38" i="15"/>
  <c r="T36" i="15"/>
  <c r="T37" i="15"/>
  <c r="S22" i="15"/>
  <c r="R73" i="15"/>
  <c r="G7" i="11"/>
  <c r="H7" i="11"/>
  <c r="F7" i="11"/>
  <c r="E7" i="11"/>
  <c r="Q18" i="15" l="1"/>
  <c r="R14" i="15"/>
  <c r="R70" i="15"/>
  <c r="T22" i="15"/>
  <c r="S73" i="15"/>
  <c r="T24" i="15"/>
  <c r="S75" i="15"/>
  <c r="T20" i="15"/>
  <c r="S12" i="15"/>
  <c r="S15" i="15" s="1"/>
  <c r="S71" i="15"/>
  <c r="R13" i="15"/>
  <c r="U38" i="15"/>
  <c r="V27" i="15"/>
  <c r="U37" i="15"/>
  <c r="U39" i="15"/>
  <c r="U36" i="15"/>
  <c r="U35" i="15"/>
  <c r="T21" i="15"/>
  <c r="S72" i="15"/>
  <c r="U42" i="15"/>
  <c r="V43" i="15"/>
  <c r="T23" i="15"/>
  <c r="S74" i="15"/>
  <c r="R15" i="15"/>
  <c r="R17" i="15"/>
  <c r="R18" i="15" l="1"/>
  <c r="S16" i="15"/>
  <c r="S70" i="15"/>
  <c r="U23" i="15"/>
  <c r="T74" i="15"/>
  <c r="W43" i="15"/>
  <c r="V42" i="15"/>
  <c r="S13" i="15"/>
  <c r="U20" i="15"/>
  <c r="T12" i="15"/>
  <c r="T16" i="15" s="1"/>
  <c r="T71" i="15"/>
  <c r="S14" i="15"/>
  <c r="U24" i="15"/>
  <c r="T75" i="15"/>
  <c r="S17" i="15"/>
  <c r="T72" i="15"/>
  <c r="U21" i="15"/>
  <c r="W27" i="15"/>
  <c r="V36" i="15"/>
  <c r="V38" i="15"/>
  <c r="V35" i="15"/>
  <c r="V39" i="15"/>
  <c r="V37" i="15"/>
  <c r="U22" i="15"/>
  <c r="T73" i="15"/>
  <c r="T70" i="15" l="1"/>
  <c r="T13" i="15"/>
  <c r="W35" i="15"/>
  <c r="W36" i="15"/>
  <c r="W39" i="15"/>
  <c r="X27" i="15"/>
  <c r="W37" i="15"/>
  <c r="W38" i="15"/>
  <c r="V21" i="15"/>
  <c r="U72" i="15"/>
  <c r="U75" i="15"/>
  <c r="V24" i="15"/>
  <c r="V20" i="15"/>
  <c r="U12" i="15"/>
  <c r="U14" i="15" s="1"/>
  <c r="U13" i="15"/>
  <c r="U71" i="15"/>
  <c r="S18" i="15"/>
  <c r="T14" i="15"/>
  <c r="W42" i="15"/>
  <c r="X43" i="15"/>
  <c r="T15" i="15"/>
  <c r="V23" i="15"/>
  <c r="U74" i="15"/>
  <c r="V22" i="15"/>
  <c r="U73" i="15"/>
  <c r="T17" i="15"/>
  <c r="U15" i="15" l="1"/>
  <c r="U17" i="15"/>
  <c r="U16" i="15"/>
  <c r="W23" i="15"/>
  <c r="V74" i="15"/>
  <c r="X42" i="15"/>
  <c r="Y43" i="15"/>
  <c r="W21" i="15"/>
  <c r="V72" i="15"/>
  <c r="U70" i="15"/>
  <c r="Y27" i="15"/>
  <c r="X38" i="15"/>
  <c r="X35" i="15"/>
  <c r="X37" i="15"/>
  <c r="X39" i="15"/>
  <c r="X36" i="15"/>
  <c r="W22" i="15"/>
  <c r="V73" i="15"/>
  <c r="V71" i="15"/>
  <c r="V70" i="15" s="1"/>
  <c r="V12" i="15"/>
  <c r="V14" i="15" s="1"/>
  <c r="W20" i="15"/>
  <c r="W24" i="15"/>
  <c r="V75" i="15"/>
  <c r="T18" i="15"/>
  <c r="U18" i="15" l="1"/>
  <c r="V17" i="15"/>
  <c r="W12" i="15"/>
  <c r="W14" i="15" s="1"/>
  <c r="X20" i="15"/>
  <c r="W71" i="15"/>
  <c r="V15" i="15"/>
  <c r="V16" i="15"/>
  <c r="Y36" i="15"/>
  <c r="Y39" i="15"/>
  <c r="Y38" i="15"/>
  <c r="Z27" i="15"/>
  <c r="Y37" i="15"/>
  <c r="Y35" i="15"/>
  <c r="V13" i="15"/>
  <c r="X21" i="15"/>
  <c r="W72" i="15"/>
  <c r="X22" i="15"/>
  <c r="W73" i="15"/>
  <c r="Y42" i="15"/>
  <c r="Z43" i="15"/>
  <c r="X24" i="15"/>
  <c r="W17" i="15"/>
  <c r="W75" i="15"/>
  <c r="X23" i="15"/>
  <c r="W74" i="15"/>
  <c r="W15" i="15" l="1"/>
  <c r="V18" i="15"/>
  <c r="AA27" i="15"/>
  <c r="Z36" i="15"/>
  <c r="Z39" i="15"/>
  <c r="Z35" i="15"/>
  <c r="Z37" i="15"/>
  <c r="Z38" i="15"/>
  <c r="X73" i="15"/>
  <c r="Y22" i="15"/>
  <c r="Y21" i="15"/>
  <c r="X72" i="15"/>
  <c r="W13" i="15"/>
  <c r="W18" i="15" s="1"/>
  <c r="Y24" i="15"/>
  <c r="X75" i="15"/>
  <c r="Z42" i="15"/>
  <c r="AA43" i="15"/>
  <c r="W70" i="15"/>
  <c r="W16" i="15"/>
  <c r="X12" i="15"/>
  <c r="X17" i="15" s="1"/>
  <c r="X71" i="15"/>
  <c r="Y20" i="15"/>
  <c r="Y23" i="15"/>
  <c r="X74" i="15"/>
  <c r="X14" i="15" l="1"/>
  <c r="X13" i="15"/>
  <c r="Y12" i="15"/>
  <c r="Y15" i="15" s="1"/>
  <c r="Z20" i="15"/>
  <c r="Y71" i="15"/>
  <c r="X70" i="15"/>
  <c r="Z21" i="15"/>
  <c r="Y72" i="15"/>
  <c r="Y73" i="15"/>
  <c r="Z22" i="15"/>
  <c r="Z24" i="15"/>
  <c r="Y75" i="15"/>
  <c r="X15" i="15"/>
  <c r="AA42" i="15"/>
  <c r="AB43" i="15"/>
  <c r="X16" i="15"/>
  <c r="Z23" i="15"/>
  <c r="Y74" i="15"/>
  <c r="AA35" i="15"/>
  <c r="AA37" i="15"/>
  <c r="AB27" i="15"/>
  <c r="AA38" i="15"/>
  <c r="AA39" i="15"/>
  <c r="AA36" i="15"/>
  <c r="X18" i="15" l="1"/>
  <c r="Y13" i="15"/>
  <c r="AA24" i="15"/>
  <c r="Z75" i="15"/>
  <c r="Z74" i="15"/>
  <c r="AA23" i="15"/>
  <c r="AC27" i="15"/>
  <c r="AB36" i="15"/>
  <c r="AB37" i="15"/>
  <c r="AB38" i="15"/>
  <c r="AB35" i="15"/>
  <c r="AB39" i="15"/>
  <c r="Y17" i="15"/>
  <c r="Y16" i="15"/>
  <c r="Y14" i="15"/>
  <c r="AA22" i="15"/>
  <c r="Z73" i="15"/>
  <c r="AC43" i="15"/>
  <c r="AB42" i="15"/>
  <c r="AA21" i="15"/>
  <c r="Z72" i="15"/>
  <c r="Y70" i="15"/>
  <c r="Z71" i="15"/>
  <c r="Z70" i="15" s="1"/>
  <c r="AA20" i="15"/>
  <c r="Z12" i="15"/>
  <c r="Z17" i="15" s="1"/>
  <c r="Z14" i="15" l="1"/>
  <c r="Z16" i="15"/>
  <c r="Z13" i="15"/>
  <c r="Y18" i="15"/>
  <c r="AB22" i="15"/>
  <c r="AA73" i="15"/>
  <c r="AB21" i="15"/>
  <c r="AA72" i="15"/>
  <c r="AC42" i="15"/>
  <c r="AD43" i="15"/>
  <c r="AD42" i="15" s="1"/>
  <c r="AC37" i="15"/>
  <c r="AC36" i="15"/>
  <c r="AC39" i="15"/>
  <c r="AD27" i="15"/>
  <c r="AC35" i="15"/>
  <c r="AC38" i="15"/>
  <c r="AB23" i="15"/>
  <c r="AA74" i="15"/>
  <c r="Z15" i="15"/>
  <c r="AA12" i="15"/>
  <c r="AA15" i="15" s="1"/>
  <c r="AB20" i="15"/>
  <c r="AA71" i="15"/>
  <c r="AB24" i="15"/>
  <c r="AA75" i="15"/>
  <c r="Z18" i="15" l="1"/>
  <c r="AA70" i="15"/>
  <c r="AA13" i="15"/>
  <c r="AE27" i="15"/>
  <c r="AD37" i="15"/>
  <c r="AD36" i="15"/>
  <c r="AD35" i="15"/>
  <c r="AD38" i="15"/>
  <c r="AD39" i="15"/>
  <c r="AC24" i="15"/>
  <c r="AB75" i="15"/>
  <c r="AC20" i="15"/>
  <c r="AB71" i="15"/>
  <c r="AB12" i="15"/>
  <c r="AB14" i="15" s="1"/>
  <c r="AB72" i="15"/>
  <c r="AC21" i="15"/>
  <c r="AA14" i="15"/>
  <c r="AA16" i="15"/>
  <c r="AC23" i="15"/>
  <c r="AB74" i="15"/>
  <c r="AA17" i="15"/>
  <c r="AC22" i="15"/>
  <c r="AB73" i="15"/>
  <c r="AB15" i="15" l="1"/>
  <c r="AB13" i="15"/>
  <c r="AA18" i="15"/>
  <c r="AB17" i="15"/>
  <c r="AD24" i="15"/>
  <c r="AC75" i="15"/>
  <c r="AD23" i="15"/>
  <c r="AC74" i="15"/>
  <c r="AB16" i="15"/>
  <c r="AB18" i="15" s="1"/>
  <c r="AD21" i="15"/>
  <c r="AC72" i="15"/>
  <c r="AD20" i="15"/>
  <c r="AC71" i="15"/>
  <c r="AC12" i="15"/>
  <c r="AC13" i="15" s="1"/>
  <c r="AD22" i="15"/>
  <c r="AC15" i="15"/>
  <c r="AC73" i="15"/>
  <c r="AB70" i="15"/>
  <c r="AE35" i="15"/>
  <c r="AE38" i="15"/>
  <c r="AF27" i="15"/>
  <c r="AE36" i="15"/>
  <c r="AE37" i="15"/>
  <c r="AE39" i="15"/>
  <c r="AC14" i="15" l="1"/>
  <c r="AE21" i="15"/>
  <c r="AD72" i="15"/>
  <c r="AC16" i="15"/>
  <c r="AE22" i="15"/>
  <c r="AD15" i="15"/>
  <c r="AD73" i="15"/>
  <c r="AC17" i="15"/>
  <c r="AE23" i="15"/>
  <c r="AD74" i="15"/>
  <c r="AE24" i="15"/>
  <c r="AD75" i="15"/>
  <c r="AD12" i="15"/>
  <c r="AD14" i="15" s="1"/>
  <c r="AE20" i="15"/>
  <c r="AD71" i="15"/>
  <c r="AF36" i="15"/>
  <c r="AF37" i="15"/>
  <c r="AF35" i="15"/>
  <c r="AF38" i="15"/>
  <c r="AF39" i="15"/>
  <c r="AC70" i="15"/>
  <c r="AD16" i="15" l="1"/>
  <c r="AC18" i="15"/>
  <c r="AF23" i="15"/>
  <c r="AE74" i="15"/>
  <c r="AF20" i="15"/>
  <c r="AE12" i="15"/>
  <c r="AE15" i="15" s="1"/>
  <c r="AE71" i="15"/>
  <c r="AD13" i="15"/>
  <c r="AE72" i="15"/>
  <c r="AF21" i="15"/>
  <c r="AD17" i="15"/>
  <c r="AD70" i="15"/>
  <c r="AF22" i="15"/>
  <c r="AE73" i="15"/>
  <c r="AF24" i="15"/>
  <c r="AE75" i="15"/>
  <c r="AE16" i="15" l="1"/>
  <c r="AE14" i="15"/>
  <c r="AE13" i="15"/>
  <c r="AG21" i="15"/>
  <c r="AF72" i="15"/>
  <c r="AE70" i="15"/>
  <c r="AD18" i="15"/>
  <c r="AG24" i="15"/>
  <c r="AF75" i="15"/>
  <c r="AE17" i="15"/>
  <c r="AG20" i="15"/>
  <c r="AF12" i="15"/>
  <c r="AF13" i="15" s="1"/>
  <c r="AF71" i="15"/>
  <c r="AG22" i="15"/>
  <c r="AF73" i="15"/>
  <c r="AG23" i="15"/>
  <c r="AF74" i="15"/>
  <c r="AF15" i="15" l="1"/>
  <c r="AF17" i="15"/>
  <c r="AF16" i="15"/>
  <c r="AF14" i="15"/>
  <c r="AE18" i="15"/>
  <c r="AG12" i="15"/>
  <c r="AG13" i="15" s="1"/>
  <c r="AG71" i="15"/>
  <c r="AG75" i="15"/>
  <c r="AF70" i="15"/>
  <c r="AG74" i="15"/>
  <c r="AG73" i="15"/>
  <c r="AG72" i="15"/>
  <c r="AF18" i="15" l="1"/>
  <c r="AG17" i="15"/>
  <c r="AG14" i="15"/>
  <c r="AG15" i="15"/>
  <c r="AG16" i="15"/>
  <c r="AG70" i="15"/>
  <c r="AG18" i="15" l="1"/>
</calcChain>
</file>

<file path=xl/sharedStrings.xml><?xml version="1.0" encoding="utf-8"?>
<sst xmlns="http://schemas.openxmlformats.org/spreadsheetml/2006/main" count="576" uniqueCount="337">
  <si>
    <t>Légumes</t>
  </si>
  <si>
    <t>Fruits</t>
  </si>
  <si>
    <t>Œufs</t>
  </si>
  <si>
    <t>NODU avec TS</t>
  </si>
  <si>
    <t>Variables</t>
  </si>
  <si>
    <t>AMS run 1</t>
  </si>
  <si>
    <t>%AB gc</t>
  </si>
  <si>
    <t>%intégré gc</t>
  </si>
  <si>
    <t>%opti gc</t>
  </si>
  <si>
    <t>%conventionnel 2020 gc</t>
  </si>
  <si>
    <t>?</t>
  </si>
  <si>
    <t>Surplus azoté (kg/ha)</t>
  </si>
  <si>
    <t>/</t>
  </si>
  <si>
    <t>Conso N minéral (kt N)</t>
  </si>
  <si>
    <t>Surfaces avec CI</t>
  </si>
  <si>
    <t>%CIVE</t>
  </si>
  <si>
    <t>% déjections méthanisées</t>
  </si>
  <si>
    <t>AME 2023 run 2</t>
  </si>
  <si>
    <t>Scénarios</t>
  </si>
  <si>
    <t>Poulet label et AB %</t>
  </si>
  <si>
    <t>Porc label et AB %</t>
  </si>
  <si>
    <t>Réduction fermentation entérique de 14% (% d'animaux concernés)</t>
  </si>
  <si>
    <t>% herbager VL</t>
  </si>
  <si>
    <t>% mixte VL</t>
  </si>
  <si>
    <t>% maïs maj. VL</t>
  </si>
  <si>
    <t>Linéaire de haies (milliers de km)</t>
  </si>
  <si>
    <t>AMS run 2</t>
  </si>
  <si>
    <t>AMS run 1.5 (DGEC)</t>
  </si>
  <si>
    <t>Elevage</t>
  </si>
  <si>
    <t>Grandes cultures</t>
  </si>
  <si>
    <t>Cheptel porcin</t>
  </si>
  <si>
    <t>Cheptel volailles de chair</t>
  </si>
  <si>
    <t>Cheptel poules pondeuses</t>
  </si>
  <si>
    <t>Vaches allaitantes</t>
  </si>
  <si>
    <t>Vaches laitières</t>
  </si>
  <si>
    <t>stable</t>
  </si>
  <si>
    <t>Nouvelle méthode de calcul</t>
  </si>
  <si>
    <t>proche RUN 1</t>
  </si>
  <si>
    <t>Terres arables avec AF intra (kha)</t>
  </si>
  <si>
    <t>Prairies avec AF intra (kha)</t>
  </si>
  <si>
    <t>Total vaches</t>
  </si>
  <si>
    <t>Brebis lait</t>
  </si>
  <si>
    <t>Brebis viande</t>
  </si>
  <si>
    <t>Chèvres</t>
  </si>
  <si>
    <t>Volailles</t>
  </si>
  <si>
    <r>
      <t xml:space="preserve">784 </t>
    </r>
    <r>
      <rPr>
        <sz val="14"/>
        <rFont val="Calibri"/>
        <family val="2"/>
        <scheme val="minor"/>
      </rPr>
      <t>(arrêt érosion et +5000km/an)</t>
    </r>
  </si>
  <si>
    <r>
      <t xml:space="preserve">884 </t>
    </r>
    <r>
      <rPr>
        <sz val="14"/>
        <rFont val="Calibri"/>
        <family val="2"/>
        <scheme val="minor"/>
      </rPr>
      <t>(arrêt érosion et +5000km/an)</t>
    </r>
  </si>
  <si>
    <t>Evolutions des régimes SNBC</t>
  </si>
  <si>
    <t>régime observé INCA 3</t>
  </si>
  <si>
    <t>Evolution 2030/2020</t>
  </si>
  <si>
    <t>Assiette globale 2030 AMS</t>
  </si>
  <si>
    <t>Evolution 2050/2020</t>
  </si>
  <si>
    <t>Assiette globale 2050 AMS</t>
  </si>
  <si>
    <t>Assiette globale 2030 AME</t>
  </si>
  <si>
    <t>Assiette globale 2050 AME</t>
  </si>
  <si>
    <t>Céréales complètes/semi complètes</t>
  </si>
  <si>
    <t>Céréales raffinées</t>
  </si>
  <si>
    <t>Légumineuses et noix</t>
  </si>
  <si>
    <t>Viandes (hors volailles)</t>
  </si>
  <si>
    <t>Poissons et crustacés</t>
  </si>
  <si>
    <t>Produits laitiers</t>
  </si>
  <si>
    <t>Beurre et huiles</t>
  </si>
  <si>
    <t>Produits sucrés</t>
  </si>
  <si>
    <t>Vegetables</t>
  </si>
  <si>
    <t>Fresh fruits</t>
  </si>
  <si>
    <t>Dried fruits</t>
  </si>
  <si>
    <t>Processed fruits: compotes and cooked fruits</t>
  </si>
  <si>
    <t>Nuts, seeds and oleaginous fruits</t>
  </si>
  <si>
    <t>Bread and refined bakery products</t>
  </si>
  <si>
    <t>Complete and semi-complete bread and bakery products</t>
  </si>
  <si>
    <t>Other refined starches</t>
  </si>
  <si>
    <t>Other complete and semi-complete starches</t>
  </si>
  <si>
    <t>Starch-based products, sweet/fat processed</t>
  </si>
  <si>
    <t>Salt/fat processed starch products</t>
  </si>
  <si>
    <t>Potatoes and other tubers</t>
  </si>
  <si>
    <t>Legumes</t>
  </si>
  <si>
    <t>Poultry</t>
  </si>
  <si>
    <t>Beef and calves</t>
  </si>
  <si>
    <t>Pork and other meats</t>
  </si>
  <si>
    <t>Offal</t>
  </si>
  <si>
    <t>Processed meat</t>
  </si>
  <si>
    <t>Oily fish</t>
  </si>
  <si>
    <t>Other fish</t>
  </si>
  <si>
    <t>Mollusks and crustaceans</t>
  </si>
  <si>
    <t>Eggs and egg-based dishes</t>
  </si>
  <si>
    <t>Milk</t>
  </si>
  <si>
    <t>Fresh natural dairy products</t>
  </si>
  <si>
    <t>Fresh sweetened dairy products</t>
  </si>
  <si>
    <t>Sweet milky desserts</t>
  </si>
  <si>
    <t>Cheeses</t>
  </si>
  <si>
    <t>Animal fats and assimilated fats</t>
  </si>
  <si>
    <t>Butters and light butters</t>
  </si>
  <si>
    <t>Vegetable fats rich in alpha-linoleic acid</t>
  </si>
  <si>
    <t>Vegetable fats low in alpha-linoleic acid</t>
  </si>
  <si>
    <t>Sauces and fresh creams</t>
  </si>
  <si>
    <t>Sweet products or Sweet and fatty products</t>
  </si>
  <si>
    <t>Drinking waters</t>
  </si>
  <si>
    <t>Sweetened soda type drinks</t>
  </si>
  <si>
    <t>Fruit juices</t>
  </si>
  <si>
    <t>Hot drinks</t>
  </si>
  <si>
    <t>Salt</t>
  </si>
  <si>
    <t>Condiments</t>
  </si>
  <si>
    <t>Aromatic herbs, Spices except salt</t>
  </si>
  <si>
    <t>Soups</t>
  </si>
  <si>
    <t>Bouillons</t>
  </si>
  <si>
    <t>Substitutes of animal products</t>
  </si>
  <si>
    <t>Other foods</t>
  </si>
  <si>
    <t>Alcoholic drinks</t>
  </si>
  <si>
    <t>total</t>
  </si>
  <si>
    <t>Evolution des assiettes moyennes - hypothèses run2</t>
  </si>
  <si>
    <t>Répartitions entre régimes types</t>
  </si>
  <si>
    <t>régime moyen 2020 (observé INCA 3)</t>
  </si>
  <si>
    <t>régime fléxitarien (INCA 3 avec opti nutritionnelle)</t>
  </si>
  <si>
    <t>régime pescétarien (INCA 3 avec opti nutritionnelle sans viandes)</t>
  </si>
  <si>
    <t>2030 AMS</t>
  </si>
  <si>
    <t>2050 AMS</t>
  </si>
  <si>
    <t>2030 AME</t>
  </si>
  <si>
    <t>2050 AME</t>
  </si>
  <si>
    <t>Changements de régimes dans la population</t>
  </si>
  <si>
    <r>
      <rPr>
        <b/>
        <sz val="11"/>
        <color theme="1"/>
        <rFont val="Calibri"/>
        <family val="2"/>
        <scheme val="minor"/>
      </rPr>
      <t>Adultes actuels qui changent de régime</t>
    </r>
    <r>
      <rPr>
        <sz val="12"/>
        <color theme="1"/>
        <rFont val="Calibri"/>
        <family val="2"/>
        <scheme val="minor"/>
      </rPr>
      <t xml:space="preserve"> (85% de la population en 2030 et 55% de la population en 2050)</t>
    </r>
  </si>
  <si>
    <r>
      <rPr>
        <b/>
        <sz val="11"/>
        <color theme="1"/>
        <rFont val="Calibri"/>
        <family val="2"/>
        <scheme val="minor"/>
      </rPr>
      <t>Nouveaux adultes (18 ans après 2020) qui changent de régime</t>
    </r>
    <r>
      <rPr>
        <sz val="12"/>
        <color theme="1"/>
        <rFont val="Calibri"/>
        <family val="2"/>
        <scheme val="minor"/>
      </rPr>
      <t xml:space="preserve"> (15% de la population en 2030 et 45% de la population en 2050)</t>
    </r>
  </si>
  <si>
    <t>régime optimisé INCA 3 - flexitarien</t>
  </si>
  <si>
    <t>régime optimisé INCA 3 - pescetarien</t>
  </si>
  <si>
    <t>Régimes-type</t>
  </si>
  <si>
    <t>PROPOSITION RUN 2 - CULTURES INTERMEDIAIRES</t>
  </si>
  <si>
    <t>Cultures intermédiaires</t>
  </si>
  <si>
    <r>
      <t xml:space="preserve">Run 2 </t>
    </r>
    <r>
      <rPr>
        <b/>
        <sz val="11"/>
        <color theme="1"/>
        <rFont val="Calibri"/>
        <family val="2"/>
        <scheme val="minor"/>
      </rPr>
      <t>2020 : recensement général agricole</t>
    </r>
  </si>
  <si>
    <t>Run 2 AME 2030</t>
  </si>
  <si>
    <t>Run 2 AME 2050</t>
  </si>
  <si>
    <t>Run 2 AMS 2030</t>
  </si>
  <si>
    <t>Run 2 AMS 2050</t>
  </si>
  <si>
    <t>Surfaces cultures intermédiaires (total ha)</t>
  </si>
  <si>
    <t>avec CIPAN (ha)</t>
  </si>
  <si>
    <t>à vocation énergétique (ha)</t>
  </si>
  <si>
    <t>à vocation énergétique (%)</t>
  </si>
  <si>
    <t>engrais vert (ha)</t>
  </si>
  <si>
    <t>engrais vert (%)</t>
  </si>
  <si>
    <t>ktMS valorisation CIVE</t>
  </si>
  <si>
    <t>Evolution production TWh à partir de CIVE - année</t>
  </si>
  <si>
    <t>kha CIVE</t>
  </si>
  <si>
    <t>Rdt (t MS/ha)</t>
  </si>
  <si>
    <t>tMS</t>
  </si>
  <si>
    <t>Rdt énergi (Mwh/tMS)</t>
  </si>
  <si>
    <t>Mwh</t>
  </si>
  <si>
    <t>Twh</t>
  </si>
  <si>
    <t>rendements</t>
  </si>
  <si>
    <t>CIPAN 2tMS/ha</t>
  </si>
  <si>
    <t>engrais verts 4 tMS/ha</t>
  </si>
  <si>
    <t>CIVE 6tMS/ha</t>
  </si>
  <si>
    <t>Rendement moyen 2030</t>
  </si>
  <si>
    <t>Rendement moyen 2050</t>
  </si>
  <si>
    <t>tMS 2030</t>
  </si>
  <si>
    <t>tMS 2050</t>
  </si>
  <si>
    <t>Elec</t>
  </si>
  <si>
    <t>H2</t>
  </si>
  <si>
    <t>GNV</t>
  </si>
  <si>
    <t>B100</t>
  </si>
  <si>
    <t>PPR</t>
  </si>
  <si>
    <t>Total</t>
  </si>
  <si>
    <t>TWh Ef</t>
  </si>
  <si>
    <t>Conso énergie</t>
  </si>
  <si>
    <t>km/an/engin</t>
  </si>
  <si>
    <t>kWh/100km</t>
  </si>
  <si>
    <t>index 2019 - reprise AMS hypothèses poids lourds</t>
  </si>
  <si>
    <t>Gains EE</t>
  </si>
  <si>
    <t>PPR -&gt; élec</t>
  </si>
  <si>
    <t>PPR -&gt; H2</t>
  </si>
  <si>
    <t>PPR -&gt; GNV</t>
  </si>
  <si>
    <t>Mise en place d'une filière retrofit en 2025 qui atteint un rythme de croisière dès 2030 (aides)</t>
  </si>
  <si>
    <t>PPR -&gt; B100</t>
  </si>
  <si>
    <t>Flux cumulé</t>
  </si>
  <si>
    <t>Retrofit</t>
  </si>
  <si>
    <t>dont élec</t>
  </si>
  <si>
    <t>dont H2</t>
  </si>
  <si>
    <t>dont GNV</t>
  </si>
  <si>
    <t>dont B100 (biocarb)</t>
  </si>
  <si>
    <t>Hyp mise en place prime à la conversion à partir de 2025</t>
  </si>
  <si>
    <t>dont PPR - PAC</t>
  </si>
  <si>
    <t>dont PPR - fin de vie</t>
  </si>
  <si>
    <t>Flux sortant</t>
  </si>
  <si>
    <t>dont PPR</t>
  </si>
  <si>
    <t>L'élec se développe avec un peu de retard (conception, etc)</t>
  </si>
  <si>
    <t>Développement limité du bio-GNV en l'absence de soutien public</t>
  </si>
  <si>
    <t>Le B100 de développe fortement, puis baisse après 2040 au profit de l'élec (contrainte biomasse)</t>
  </si>
  <si>
    <t>fin de vente des tracteurs PPR en 2040</t>
  </si>
  <si>
    <t>On calibre pour atteindre un parc roulant de 500k en 2050 (hyp CGAER liée à la disparition d'exploitation, robotisation, mutualisation)</t>
  </si>
  <si>
    <t>Ventes</t>
  </si>
  <si>
    <t>Parc roulant</t>
  </si>
  <si>
    <t>ventes annuelles</t>
  </si>
  <si>
    <t>ans de durée de vie moyenne</t>
  </si>
  <si>
    <t>tracteurs actifs</t>
  </si>
  <si>
    <t>Ventes CGAER</t>
  </si>
  <si>
    <t>parc roulant</t>
  </si>
  <si>
    <t>CGAER</t>
  </si>
  <si>
    <t>commentaire</t>
  </si>
  <si>
    <t>run 1</t>
  </si>
  <si>
    <t>run2</t>
  </si>
  <si>
    <t>Intitulé_1</t>
  </si>
  <si>
    <t>Intitulé_2</t>
  </si>
  <si>
    <t>Unité</t>
  </si>
  <si>
    <t>valeur actuelle</t>
  </si>
  <si>
    <t>Tendanciel/AME</t>
  </si>
  <si>
    <t>AMS</t>
  </si>
  <si>
    <t>AME</t>
  </si>
  <si>
    <t>commentaire AMS</t>
  </si>
  <si>
    <t>Consommation d'énergie pour le chauffage des serres</t>
  </si>
  <si>
    <t>Serre chaude en maraîchage</t>
  </si>
  <si>
    <t>en kWh/m2</t>
  </si>
  <si>
    <t>reprise du gain unitaire d'EDF pour le passage aux PAC</t>
  </si>
  <si>
    <t>Serre chaude en horticulture</t>
  </si>
  <si>
    <t xml:space="preserve">Consommation de fioul / ha </t>
  </si>
  <si>
    <t>Cultures annuelles</t>
  </si>
  <si>
    <t>EQF/ha</t>
  </si>
  <si>
    <t>reprise du gain de conso unitaire du parc roulant PL AMS</t>
  </si>
  <si>
    <t>Prairies temporaires</t>
  </si>
  <si>
    <t>Prairies naturelles productives</t>
  </si>
  <si>
    <t>Prairies naturelles peu productives, parcours</t>
  </si>
  <si>
    <t>Cultures permanentes</t>
  </si>
  <si>
    <t xml:space="preserve">Coefficients d'énergie (electricité) pour les bâtiments d'élevage </t>
  </si>
  <si>
    <t>kWh/vache</t>
  </si>
  <si>
    <t>cohérent avec le gain unitaire d'EDF pour bâtiments d'élevage</t>
  </si>
  <si>
    <t>reprise hyp run1</t>
  </si>
  <si>
    <t xml:space="preserve">Coefficients d'énergie pour les bâtiments d'élevage </t>
  </si>
  <si>
    <t xml:space="preserve">Truie </t>
  </si>
  <si>
    <t>kWh/truie</t>
  </si>
  <si>
    <t>Porc engraissement</t>
  </si>
  <si>
    <t>kWh/porc produit</t>
  </si>
  <si>
    <t>Volailles pondeuses</t>
  </si>
  <si>
    <t>kWh/place (pondeuse)</t>
  </si>
  <si>
    <t>Volailles chair</t>
  </si>
  <si>
    <t>kWh/kg vif</t>
  </si>
  <si>
    <t xml:space="preserve">Veaux de boucherie </t>
  </si>
  <si>
    <t>kWh/veau</t>
  </si>
  <si>
    <t>Part de gaz dans les combustibles</t>
  </si>
  <si>
    <t>Part de biomasse dans les combustibles</t>
  </si>
  <si>
    <t>Consommation d'énergie sans amont</t>
  </si>
  <si>
    <t>Electricité - Mix France</t>
  </si>
  <si>
    <t>en GJ/kWh</t>
  </si>
  <si>
    <t>Consommation d'énergie avec amont</t>
  </si>
  <si>
    <t>Emissions de CO2 avec amont</t>
  </si>
  <si>
    <t>en t CO2/kWh</t>
  </si>
  <si>
    <t>Carburant (fioul, essence, gazole)</t>
  </si>
  <si>
    <t>en t CO2/litre</t>
  </si>
  <si>
    <t>Emissions de CO2 sans amont</t>
  </si>
  <si>
    <t>Gaz naturel</t>
  </si>
  <si>
    <t>en t CO2/m3</t>
  </si>
  <si>
    <t>Butane, propane, charbon</t>
  </si>
  <si>
    <t>en t CO2/kg</t>
  </si>
  <si>
    <t>Matériel</t>
  </si>
  <si>
    <t>en t CO2/GJ</t>
  </si>
  <si>
    <t>Emissions de N2O avec amont</t>
  </si>
  <si>
    <t>Solution azotée</t>
  </si>
  <si>
    <t>en t NO2/t N</t>
  </si>
  <si>
    <t>Ammonitrate 33,5</t>
  </si>
  <si>
    <t xml:space="preserve">reprise hyp run1AMS, AME : constant / 2019 </t>
  </si>
  <si>
    <t>en t CO2/t N</t>
  </si>
  <si>
    <t>Urée + perlurée</t>
  </si>
  <si>
    <t>Autres engrais azotés</t>
  </si>
  <si>
    <t>Pourquoi AMS plus fort ?</t>
  </si>
  <si>
    <t>GJ/tN</t>
  </si>
  <si>
    <t>Stockage de carbone et CI</t>
  </si>
  <si>
    <t>Surfaces TCR / CLC (Mha)</t>
  </si>
  <si>
    <t>légumineuses totales (kha)</t>
  </si>
  <si>
    <t>Observé run1</t>
  </si>
  <si>
    <t>AMS 2023 run 1bis</t>
  </si>
  <si>
    <t>Biomasse agricole</t>
  </si>
  <si>
    <t>Bois hors forêt (haies et agroforesterie)</t>
  </si>
  <si>
    <t>Résidus de culture</t>
  </si>
  <si>
    <t>Herbe et cultures fourragères</t>
  </si>
  <si>
    <t>Cultures dédiées</t>
  </si>
  <si>
    <t>Cultures lignocellulosiques</t>
  </si>
  <si>
    <t>Effluents d'élevage</t>
  </si>
  <si>
    <t>Algues</t>
  </si>
  <si>
    <t>TOTAL</t>
  </si>
  <si>
    <t>Ressources primaires totales (TWh Ep)</t>
  </si>
  <si>
    <t>AMS 2023 run 2</t>
  </si>
  <si>
    <t>x</t>
  </si>
  <si>
    <t>à calculer avec MOSUT à partir des hypothèses haies/AF</t>
  </si>
  <si>
    <t>Hausse de la part des déjections méthanisables méthanisées</t>
  </si>
  <si>
    <t>idem run1bis (INRAe)</t>
  </si>
  <si>
    <t>Revu à la hausse (SGPE)</t>
  </si>
  <si>
    <t>Constant en surface/2020</t>
  </si>
  <si>
    <t>Revu un peu à la hausse</t>
  </si>
  <si>
    <t>Idem run1bis (INRAe)</t>
  </si>
  <si>
    <t>Filières de valorisation (%)</t>
  </si>
  <si>
    <t>Observé</t>
  </si>
  <si>
    <t>Combustion</t>
  </si>
  <si>
    <t>Biocarburant</t>
  </si>
  <si>
    <t>Méthanisation</t>
  </si>
  <si>
    <t>Pyrogéification</t>
  </si>
  <si>
    <t>AMS 2023 – run1bis</t>
  </si>
  <si>
    <t>AMS 2023 – run2</t>
  </si>
  <si>
    <t>AME 2023 – run2</t>
  </si>
  <si>
    <t>Evolution des rendements / 2020 (%)</t>
  </si>
  <si>
    <t>Introduction d'une part d'H2 à partir de 2040 (premiers prototypes pas attendus avant 2030)</t>
  </si>
  <si>
    <t xml:space="preserve">Mise en place à bas bruit en l'absence d'aides importantes </t>
  </si>
  <si>
    <t>peu de rétrofit vers élec (conception du produit différente : place de la batterie, etc.) sauf pour les petites puissances</t>
  </si>
  <si>
    <t>Surfaces artificialisées (ha/an)</t>
  </si>
  <si>
    <t>Hypothèse tout sur terre agricole</t>
  </si>
  <si>
    <t>Changements d'usage des terres</t>
  </si>
  <si>
    <t>Plantations hors forêt</t>
  </si>
  <si>
    <t>Surfaces afforestées totales</t>
  </si>
  <si>
    <t>Plantations hors forêt cumulés / 2020 (kha)</t>
  </si>
  <si>
    <t>Surfaces afforestées totales cumulés / 2020 (kha)</t>
  </si>
  <si>
    <t>dont afforestation</t>
  </si>
  <si>
    <t>dont construction</t>
  </si>
  <si>
    <t>dont PV</t>
  </si>
  <si>
    <t>Progression des rendements AB/conventionnel (à partir de la moyenne 2018-2022)</t>
  </si>
  <si>
    <t>DONNEES 2018 - 2022 rendements AB - enquête terres labourables 2022</t>
  </si>
  <si>
    <t>Culture</t>
  </si>
  <si>
    <t>Moyenne 2018-2022</t>
  </si>
  <si>
    <t>Maïs grain non irrigué</t>
  </si>
  <si>
    <t>Maïs grain irrigué</t>
  </si>
  <si>
    <t>Soja</t>
  </si>
  <si>
    <t>Tournesol</t>
  </si>
  <si>
    <t>Triticale</t>
  </si>
  <si>
    <t>Orge de printemps</t>
  </si>
  <si>
    <t>Orge d'hiver</t>
  </si>
  <si>
    <t>Blé tendre</t>
  </si>
  <si>
    <t>Moyenne des écarts de rendements AB/conv</t>
  </si>
  <si>
    <t>SAU run1bis (kha)</t>
  </si>
  <si>
    <t>Surfaces artificialisées cumulées (kha/an)</t>
  </si>
  <si>
    <t>SAU run2 (kha)</t>
  </si>
  <si>
    <t>Friches identifiées dans Cartofriches (kha de stock)</t>
  </si>
  <si>
    <t>Surfaces afforestées cumulées prises sur la SAU (kha)</t>
  </si>
  <si>
    <t>AFFORESTATION</t>
  </si>
  <si>
    <t>ARTIFICIALISATION</t>
  </si>
  <si>
    <t>CULTURES LIGNO CELLULOSIQUES</t>
  </si>
  <si>
    <t>Surfaces totales (ha/an)</t>
  </si>
  <si>
    <t>Surfaces prises sur la SAU (vs sur les accrus)</t>
  </si>
  <si>
    <t>Surfaces prises sur les accrus (vs sur la SAU)</t>
  </si>
  <si>
    <t>Accrus (kha/an) - sortie calculateur</t>
  </si>
  <si>
    <t>Accrus cumulés / 2020 (kha) - sortie calculateur</t>
  </si>
  <si>
    <t>Accrus cumulés / 2020 (kha) - net des CLC</t>
  </si>
  <si>
    <t>50% des CLC se développement sur la SAU, 50% sur les accrus</t>
  </si>
  <si>
    <t>Evolution 2030 AMS /2020</t>
  </si>
  <si>
    <t>Evolution 2050 AMS 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</si>
</sst>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#,##0.0"/>
    <numFmt numFmtId="165" formatCode="0.0"/>
    <numFmt numFmtId="166" formatCode="_-* #,##0.0\ _€_-;\-* #,##0.0\ _€_-;_-* \-?\ _€_-;_-@_-"/>
    <numFmt numFmtId="167" formatCode="_-* #,##0.00_-;\-* #,##0.00_-;_-* \-??_-;_-@_-"/>
    <numFmt numFmtId="168" formatCode="_-* #,##0_-;\-* #,##0_-;_-* \-??_-;_-@_-"/>
    <numFmt numFmtId="169" formatCode="0\ %"/>
    <numFmt numFmtId="170" formatCode="0.0000"/>
    <numFmt numFmtId="171" formatCode="_-* #,##0.0000_-;\-* #,##0.0000_-;_-* \-??_-;_-@_-"/>
    <numFmt numFmtId="172" formatCode="0.0\.E+00"/>
    <numFmt numFmtId="173" formatCode="0.0E+00;\\"/>
    <numFmt numFmtId="174" formatCode="0.E+00"/>
    <numFmt numFmtId="175" formatCode="_-* #,##0.0\ _€_-;\-* #,##0.0\ _€_-;_-* &quot;-&quot;?\ _€_-;_-@_-"/>
    <numFmt numFmtId="176" formatCode="_-* #,##0_-;\-* #,##0_-;_-* &quot;-&quot;??_-;_-@_-"/>
    <numFmt numFmtId="177" formatCode="_-* #,##0.0_-;\-* #,##0.0_-;_-* &quot;-&quot;??_-;_-@_-"/>
  </numFmts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 tint="0.14999847407452621"/>
      <name val="Calibri"/>
      <family val="2"/>
    </font>
    <font>
      <sz val="11"/>
      <name val="Arial"/>
      <family val="2"/>
    </font>
    <font>
      <sz val="11"/>
      <color rgb="FF262626"/>
      <name val="Calibri"/>
      <family val="2"/>
    </font>
    <font>
      <sz val="16"/>
      <color rgb="FFF2F2F2"/>
      <name val="Calibri Light"/>
      <family val="1"/>
      <scheme val="maj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FF0000"/>
      <name val="Calibri"/>
      <family val="2"/>
    </font>
    <font>
      <sz val="16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800000"/>
      <name val="Calibri"/>
      <family val="2"/>
      <charset val="1"/>
    </font>
    <font>
      <sz val="10"/>
      <color rgb="FFC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name val="Calibri"/>
      <family val="2"/>
      <scheme val="minor"/>
    </font>
    <font>
      <sz val="11"/>
      <color rgb="FF262626"/>
      <name val="Calibri"/>
      <family val="2"/>
      <charset val="1"/>
    </font>
    <font>
      <sz val="16"/>
      <color rgb="FFF2F2F2"/>
      <name val="Calibri Light"/>
      <family val="1"/>
      <charset val="1"/>
    </font>
    <font>
      <sz val="10"/>
      <name val="Verdana"/>
      <family val="2"/>
      <charset val="1"/>
    </font>
    <font>
      <sz val="10"/>
      <name val="Arial"/>
      <family val="2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9FBA6"/>
      </patternFill>
    </fill>
    <fill>
      <patternFill patternType="solid">
        <fgColor rgb="FFFDE9D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60497A"/>
        <bgColor rgb="FF60497A"/>
      </patternFill>
    </fill>
    <fill>
      <patternFill patternType="solid">
        <fgColor rgb="FFA8DEF3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DE9D9"/>
      </patternFill>
    </fill>
    <fill>
      <patternFill patternType="solid">
        <fgColor rgb="FFDBDBDB"/>
        <bgColor rgb="FFD6DCE5"/>
      </patternFill>
    </fill>
    <fill>
      <patternFill patternType="solid">
        <fgColor rgb="FFFFFFFF"/>
        <bgColor rgb="FFF2F2F2"/>
      </patternFill>
    </fill>
    <fill>
      <patternFill patternType="solid">
        <fgColor rgb="FFFFFF99"/>
        <bgColor rgb="FFFFF2CC"/>
      </patternFill>
    </fill>
    <fill>
      <patternFill patternType="solid">
        <fgColor rgb="FFA8DEF3"/>
        <bgColor rgb="FF9DC3E6"/>
      </patternFill>
    </fill>
    <fill>
      <patternFill patternType="solid">
        <fgColor rgb="FF60497A"/>
        <bgColor rgb="FF595959"/>
      </patternFill>
    </fill>
    <fill>
      <patternFill patternType="solid">
        <fgColor rgb="FFEBF1DE"/>
        <bgColor rgb="FFF2F2F2"/>
      </patternFill>
    </fill>
    <fill>
      <patternFill patternType="solid">
        <fgColor rgb="FF548235"/>
        <bgColor rgb="FF339966"/>
      </patternFill>
    </fill>
    <fill>
      <patternFill patternType="solid">
        <fgColor rgb="FFFFFFFF"/>
        <bgColor rgb="FFFFFFCC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3" fontId="3" fillId="3" borderId="0">
      <alignment horizontal="left" vertical="center"/>
      <protection locked="0"/>
    </xf>
    <xf numFmtId="3" fontId="3" fillId="4" borderId="0">
      <alignment horizontal="center" vertical="center"/>
      <protection locked="0"/>
    </xf>
    <xf numFmtId="3" fontId="3" fillId="2" borderId="0">
      <alignment horizontal="left" vertical="center"/>
      <protection locked="0"/>
    </xf>
    <xf numFmtId="3" fontId="3" fillId="5" borderId="0">
      <alignment horizontal="center" vertical="center"/>
      <protection locked="0"/>
    </xf>
    <xf numFmtId="0" fontId="2" fillId="0" borderId="0"/>
    <xf numFmtId="0" fontId="4" fillId="0" borderId="0"/>
    <xf numFmtId="3" fontId="5" fillId="6" borderId="0">
      <alignment horizontal="center" vertical="center"/>
      <protection locked="0"/>
    </xf>
    <xf numFmtId="164" fontId="5" fillId="6" borderId="0">
      <alignment horizontal="center" vertical="center"/>
      <protection locked="0"/>
    </xf>
    <xf numFmtId="3" fontId="5" fillId="7" borderId="0">
      <alignment horizontal="left" vertical="center"/>
      <protection locked="0"/>
    </xf>
    <xf numFmtId="3" fontId="6" fillId="8" borderId="0">
      <alignment vertical="center"/>
    </xf>
    <xf numFmtId="3" fontId="5" fillId="9" borderId="0">
      <alignment horizontal="center" vertical="center"/>
      <protection locked="0"/>
    </xf>
    <xf numFmtId="3" fontId="5" fillId="10" borderId="0">
      <alignment horizontal="left" vertical="center"/>
      <protection locked="0"/>
    </xf>
    <xf numFmtId="0" fontId="25" fillId="0" borderId="0"/>
    <xf numFmtId="167" fontId="25" fillId="0" borderId="0" applyBorder="0" applyProtection="0"/>
    <xf numFmtId="169" fontId="25" fillId="0" borderId="0" applyBorder="0" applyProtection="0"/>
    <xf numFmtId="0" fontId="34" fillId="0" borderId="0"/>
    <xf numFmtId="167" fontId="34" fillId="0" borderId="0" applyBorder="0" applyProtection="0"/>
    <xf numFmtId="169" fontId="34" fillId="0" borderId="0" applyBorder="0" applyProtection="0"/>
    <xf numFmtId="3" fontId="36" fillId="20" borderId="0">
      <alignment horizontal="center" vertical="center"/>
      <protection locked="0"/>
    </xf>
    <xf numFmtId="3" fontId="37" fillId="21" borderId="0">
      <alignment vertical="center"/>
    </xf>
    <xf numFmtId="3" fontId="36" fillId="22" borderId="0">
      <alignment horizontal="left" vertical="center"/>
      <protection locked="0"/>
    </xf>
    <xf numFmtId="0" fontId="34" fillId="0" borderId="0"/>
    <xf numFmtId="0" fontId="38" fillId="0" borderId="0"/>
    <xf numFmtId="0" fontId="3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9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1" fontId="12" fillId="0" borderId="6" xfId="0" applyNumberFormat="1" applyFont="1" applyBorder="1" applyAlignment="1">
      <alignment horizontal="center"/>
    </xf>
    <xf numFmtId="9" fontId="12" fillId="0" borderId="6" xfId="1" applyFont="1" applyBorder="1" applyAlignment="1">
      <alignment horizontal="center"/>
    </xf>
    <xf numFmtId="1" fontId="8" fillId="0" borderId="0" xfId="1" applyNumberFormat="1" applyFont="1" applyBorder="1"/>
    <xf numFmtId="1" fontId="8" fillId="0" borderId="0" xfId="1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9" fontId="8" fillId="0" borderId="0" xfId="1" applyFont="1" applyBorder="1" applyAlignment="1">
      <alignment vertical="center"/>
    </xf>
    <xf numFmtId="9" fontId="7" fillId="0" borderId="2" xfId="1" applyFont="1" applyFill="1" applyBorder="1"/>
    <xf numFmtId="9" fontId="7" fillId="0" borderId="11" xfId="1" applyFont="1" applyFill="1" applyBorder="1"/>
    <xf numFmtId="0" fontId="10" fillId="11" borderId="1" xfId="0" applyFont="1" applyFill="1" applyBorder="1" applyAlignment="1">
      <alignment vertical="center"/>
    </xf>
    <xf numFmtId="0" fontId="14" fillId="11" borderId="1" xfId="0" applyFont="1" applyFill="1" applyBorder="1" applyAlignment="1"/>
    <xf numFmtId="0" fontId="10" fillId="11" borderId="1" xfId="0" applyFont="1" applyFill="1" applyBorder="1" applyAlignment="1">
      <alignment vertical="center" wrapText="1"/>
    </xf>
    <xf numFmtId="9" fontId="12" fillId="0" borderId="5" xfId="1" applyFont="1" applyBorder="1" applyAlignment="1">
      <alignment horizontal="center"/>
    </xf>
    <xf numFmtId="9" fontId="13" fillId="0" borderId="5" xfId="1" applyFont="1" applyBorder="1" applyAlignment="1">
      <alignment horizontal="center"/>
    </xf>
    <xf numFmtId="9" fontId="13" fillId="0" borderId="6" xfId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9" fontId="11" fillId="0" borderId="5" xfId="0" applyNumberFormat="1" applyFont="1" applyBorder="1" applyAlignment="1">
      <alignment horizontal="center"/>
    </xf>
    <xf numFmtId="9" fontId="12" fillId="0" borderId="6" xfId="0" applyNumberFormat="1" applyFont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3" fontId="15" fillId="0" borderId="5" xfId="0" applyNumberFormat="1" applyFont="1" applyFill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center" vertical="center"/>
    </xf>
    <xf numFmtId="9" fontId="12" fillId="0" borderId="5" xfId="0" applyNumberFormat="1" applyFont="1" applyFill="1" applyBorder="1" applyAlignment="1">
      <alignment horizontal="center"/>
    </xf>
    <xf numFmtId="9" fontId="12" fillId="0" borderId="6" xfId="1" applyFont="1" applyFill="1" applyBorder="1" applyAlignment="1">
      <alignment horizontal="center"/>
    </xf>
    <xf numFmtId="9" fontId="12" fillId="0" borderId="5" xfId="0" applyNumberFormat="1" applyFont="1" applyFill="1" applyBorder="1" applyAlignment="1">
      <alignment horizontal="center" vertical="center" wrapText="1"/>
    </xf>
    <xf numFmtId="9" fontId="12" fillId="0" borderId="6" xfId="0" applyNumberFormat="1" applyFont="1" applyFill="1" applyBorder="1" applyAlignment="1">
      <alignment horizontal="center" vertical="center" wrapText="1"/>
    </xf>
    <xf numFmtId="9" fontId="13" fillId="0" borderId="5" xfId="0" applyNumberFormat="1" applyFont="1" applyFill="1" applyBorder="1" applyAlignment="1">
      <alignment horizontal="center" vertical="center" wrapText="1"/>
    </xf>
    <xf numFmtId="9" fontId="13" fillId="0" borderId="6" xfId="0" applyNumberFormat="1" applyFont="1" applyFill="1" applyBorder="1" applyAlignment="1">
      <alignment horizontal="center" vertical="center" wrapText="1"/>
    </xf>
    <xf numFmtId="9" fontId="13" fillId="0" borderId="5" xfId="1" applyFont="1" applyFill="1" applyBorder="1" applyAlignment="1">
      <alignment horizontal="center" vertical="center"/>
    </xf>
    <xf numFmtId="9" fontId="12" fillId="0" borderId="6" xfId="1" applyFont="1" applyFill="1" applyBorder="1" applyAlignment="1">
      <alignment horizontal="center" vertical="center"/>
    </xf>
    <xf numFmtId="9" fontId="12" fillId="0" borderId="5" xfId="1" applyFont="1" applyFill="1" applyBorder="1" applyAlignment="1">
      <alignment horizontal="center" vertical="center"/>
    </xf>
    <xf numFmtId="9" fontId="13" fillId="0" borderId="6" xfId="1" applyFont="1" applyFill="1" applyBorder="1" applyAlignment="1">
      <alignment horizontal="center" vertical="center"/>
    </xf>
    <xf numFmtId="9" fontId="13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0" fontId="11" fillId="0" borderId="6" xfId="1" applyNumberFormat="1" applyFont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1" fontId="13" fillId="0" borderId="6" xfId="0" applyNumberFormat="1" applyFont="1" applyFill="1" applyBorder="1" applyAlignment="1">
      <alignment horizontal="center"/>
    </xf>
    <xf numFmtId="9" fontId="13" fillId="0" borderId="5" xfId="1" applyFont="1" applyFill="1" applyBorder="1" applyAlignment="1">
      <alignment horizontal="center"/>
    </xf>
    <xf numFmtId="9" fontId="13" fillId="0" borderId="6" xfId="1" applyFont="1" applyFill="1" applyBorder="1" applyAlignment="1">
      <alignment horizontal="center"/>
    </xf>
    <xf numFmtId="9" fontId="13" fillId="0" borderId="6" xfId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11" borderId="10" xfId="0" applyFont="1" applyFill="1" applyBorder="1" applyAlignment="1">
      <alignment vertical="center"/>
    </xf>
    <xf numFmtId="9" fontId="13" fillId="0" borderId="10" xfId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0" fontId="13" fillId="0" borderId="10" xfId="1" applyNumberFormat="1" applyFont="1" applyBorder="1" applyAlignment="1">
      <alignment horizontal="center"/>
    </xf>
    <xf numFmtId="0" fontId="13" fillId="0" borderId="10" xfId="0" applyNumberFormat="1" applyFont="1" applyBorder="1" applyAlignment="1">
      <alignment horizontal="center"/>
    </xf>
    <xf numFmtId="0" fontId="14" fillId="11" borderId="10" xfId="0" applyFont="1" applyFill="1" applyBorder="1" applyAlignment="1"/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9" fontId="13" fillId="0" borderId="10" xfId="1" applyFont="1" applyFill="1" applyBorder="1" applyAlignment="1">
      <alignment horizontal="center"/>
    </xf>
    <xf numFmtId="0" fontId="10" fillId="11" borderId="15" xfId="0" applyFont="1" applyFill="1" applyBorder="1" applyAlignment="1">
      <alignment vertical="center" wrapText="1"/>
    </xf>
    <xf numFmtId="9" fontId="13" fillId="0" borderId="10" xfId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" fontId="16" fillId="0" borderId="10" xfId="0" applyNumberFormat="1" applyFont="1" applyFill="1" applyBorder="1" applyAlignment="1">
      <alignment horizontal="center" vertical="center" wrapText="1"/>
    </xf>
    <xf numFmtId="3" fontId="13" fillId="0" borderId="10" xfId="0" applyNumberFormat="1" applyFont="1" applyBorder="1" applyAlignment="1">
      <alignment horizontal="center"/>
    </xf>
    <xf numFmtId="3" fontId="13" fillId="0" borderId="10" xfId="0" applyNumberFormat="1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3" fillId="0" borderId="10" xfId="1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 wrapText="1"/>
    </xf>
    <xf numFmtId="1" fontId="9" fillId="0" borderId="12" xfId="1" applyNumberFormat="1" applyFont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9" fontId="13" fillId="12" borderId="5" xfId="1" applyFont="1" applyFill="1" applyBorder="1" applyAlignment="1">
      <alignment horizontal="center"/>
    </xf>
    <xf numFmtId="9" fontId="13" fillId="12" borderId="6" xfId="1" applyFont="1" applyFill="1" applyBorder="1" applyAlignment="1">
      <alignment horizontal="center"/>
    </xf>
    <xf numFmtId="1" fontId="13" fillId="12" borderId="5" xfId="0" applyNumberFormat="1" applyFont="1" applyFill="1" applyBorder="1" applyAlignment="1">
      <alignment horizontal="center"/>
    </xf>
    <xf numFmtId="1" fontId="13" fillId="12" borderId="6" xfId="0" applyNumberFormat="1" applyFont="1" applyFill="1" applyBorder="1" applyAlignment="1">
      <alignment horizontal="center"/>
    </xf>
    <xf numFmtId="9" fontId="13" fillId="12" borderId="5" xfId="0" applyNumberFormat="1" applyFont="1" applyFill="1" applyBorder="1" applyAlignment="1">
      <alignment horizontal="center"/>
    </xf>
    <xf numFmtId="9" fontId="11" fillId="12" borderId="6" xfId="0" applyNumberFormat="1" applyFont="1" applyFill="1" applyBorder="1" applyAlignment="1">
      <alignment horizontal="center"/>
    </xf>
    <xf numFmtId="0" fontId="13" fillId="12" borderId="5" xfId="1" applyNumberFormat="1" applyFont="1" applyFill="1" applyBorder="1" applyAlignment="1">
      <alignment horizontal="center"/>
    </xf>
    <xf numFmtId="0" fontId="7" fillId="12" borderId="6" xfId="1" applyNumberFormat="1" applyFont="1" applyFill="1" applyBorder="1" applyAlignment="1">
      <alignment horizontal="center"/>
    </xf>
    <xf numFmtId="1" fontId="13" fillId="12" borderId="5" xfId="1" quotePrefix="1" applyNumberFormat="1" applyFont="1" applyFill="1" applyBorder="1" applyAlignment="1">
      <alignment horizontal="center" vertical="center"/>
    </xf>
    <xf numFmtId="1" fontId="13" fillId="12" borderId="6" xfId="1" applyNumberFormat="1" applyFont="1" applyFill="1" applyBorder="1" applyAlignment="1">
      <alignment horizontal="center" vertical="center"/>
    </xf>
    <xf numFmtId="1" fontId="13" fillId="12" borderId="5" xfId="1" applyNumberFormat="1" applyFont="1" applyFill="1" applyBorder="1" applyAlignment="1">
      <alignment horizontal="center" vertical="center"/>
    </xf>
    <xf numFmtId="1" fontId="13" fillId="12" borderId="6" xfId="1" quotePrefix="1" applyNumberFormat="1" applyFont="1" applyFill="1" applyBorder="1" applyAlignment="1">
      <alignment horizontal="center" vertical="center"/>
    </xf>
    <xf numFmtId="1" fontId="13" fillId="12" borderId="5" xfId="1" applyNumberFormat="1" applyFont="1" applyFill="1" applyBorder="1" applyAlignment="1">
      <alignment horizontal="center"/>
    </xf>
    <xf numFmtId="1" fontId="13" fillId="12" borderId="6" xfId="1" quotePrefix="1" applyNumberFormat="1" applyFont="1" applyFill="1" applyBorder="1" applyAlignment="1">
      <alignment horizontal="center"/>
    </xf>
    <xf numFmtId="1" fontId="13" fillId="12" borderId="5" xfId="1" quotePrefix="1" applyNumberFormat="1" applyFont="1" applyFill="1" applyBorder="1" applyAlignment="1">
      <alignment horizontal="center" vertical="center" wrapText="1"/>
    </xf>
    <xf numFmtId="1" fontId="13" fillId="12" borderId="6" xfId="1" quotePrefix="1" applyNumberFormat="1" applyFont="1" applyFill="1" applyBorder="1" applyAlignment="1">
      <alignment horizontal="center" vertical="center" wrapText="1"/>
    </xf>
    <xf numFmtId="9" fontId="13" fillId="12" borderId="5" xfId="0" applyNumberFormat="1" applyFont="1" applyFill="1" applyBorder="1" applyAlignment="1">
      <alignment horizontal="center" vertical="center" wrapText="1"/>
    </xf>
    <xf numFmtId="9" fontId="13" fillId="12" borderId="6" xfId="0" applyNumberFormat="1" applyFont="1" applyFill="1" applyBorder="1" applyAlignment="1">
      <alignment horizontal="center" vertical="center" wrapText="1"/>
    </xf>
    <xf numFmtId="9" fontId="13" fillId="12" borderId="5" xfId="1" applyFont="1" applyFill="1" applyBorder="1" applyAlignment="1">
      <alignment horizontal="center" vertical="center"/>
    </xf>
    <xf numFmtId="9" fontId="13" fillId="12" borderId="6" xfId="1" applyFont="1" applyFill="1" applyBorder="1" applyAlignment="1">
      <alignment horizontal="center" vertical="center"/>
    </xf>
    <xf numFmtId="9" fontId="8" fillId="12" borderId="0" xfId="1" applyFont="1" applyFill="1" applyBorder="1"/>
    <xf numFmtId="0" fontId="0" fillId="12" borderId="0" xfId="0" applyFill="1"/>
    <xf numFmtId="0" fontId="18" fillId="0" borderId="16" xfId="0" applyFont="1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12" borderId="16" xfId="0" applyFill="1" applyBorder="1" applyAlignment="1">
      <alignment vertical="center" wrapText="1"/>
    </xf>
    <xf numFmtId="0" fontId="18" fillId="0" borderId="16" xfId="0" applyFont="1" applyBorder="1"/>
    <xf numFmtId="1" fontId="0" fillId="0" borderId="16" xfId="0" applyNumberFormat="1" applyBorder="1"/>
    <xf numFmtId="9" fontId="0" fillId="12" borderId="16" xfId="1" applyFont="1" applyFill="1" applyBorder="1"/>
    <xf numFmtId="1" fontId="0" fillId="0" borderId="2" xfId="0" applyNumberFormat="1" applyFill="1" applyBorder="1"/>
    <xf numFmtId="0" fontId="19" fillId="0" borderId="16" xfId="0" applyFont="1" applyBorder="1" applyAlignment="1">
      <alignment vertical="center" wrapText="1"/>
    </xf>
    <xf numFmtId="9" fontId="20" fillId="0" borderId="17" xfId="1" applyFont="1" applyBorder="1" applyAlignment="1">
      <alignment vertical="center" wrapText="1"/>
    </xf>
    <xf numFmtId="0" fontId="0" fillId="0" borderId="16" xfId="0" applyBorder="1"/>
    <xf numFmtId="20" fontId="0" fillId="0" borderId="16" xfId="0" applyNumberFormat="1" applyBorder="1"/>
    <xf numFmtId="0" fontId="0" fillId="0" borderId="16" xfId="0" applyNumberFormat="1" applyBorder="1"/>
    <xf numFmtId="1" fontId="0" fillId="0" borderId="0" xfId="0" applyNumberFormat="1"/>
    <xf numFmtId="0" fontId="18" fillId="0" borderId="0" xfId="0" applyFont="1" applyAlignment="1">
      <alignment vertical="center" wrapText="1"/>
    </xf>
    <xf numFmtId="9" fontId="21" fillId="0" borderId="17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1" fillId="0" borderId="16" xfId="1" applyBorder="1" applyAlignment="1">
      <alignment horizontal="center" vertical="center"/>
    </xf>
    <xf numFmtId="9" fontId="1" fillId="0" borderId="16" xfId="1" applyNumberForma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9" fontId="0" fillId="0" borderId="16" xfId="1" applyFont="1" applyBorder="1" applyAlignment="1">
      <alignment horizontal="center" vertical="center"/>
    </xf>
    <xf numFmtId="9" fontId="0" fillId="0" borderId="16" xfId="0" applyNumberFormat="1" applyBorder="1" applyAlignment="1">
      <alignment horizontal="center"/>
    </xf>
    <xf numFmtId="0" fontId="18" fillId="0" borderId="16" xfId="0" applyFont="1" applyBorder="1" applyAlignment="1">
      <alignment vertical="center"/>
    </xf>
    <xf numFmtId="9" fontId="21" fillId="0" borderId="16" xfId="1" applyFont="1" applyBorder="1" applyAlignment="1">
      <alignment vertical="center" wrapText="1"/>
    </xf>
    <xf numFmtId="1" fontId="17" fillId="0" borderId="16" xfId="0" applyNumberFormat="1" applyFont="1" applyBorder="1"/>
    <xf numFmtId="0" fontId="17" fillId="0" borderId="16" xfId="0" applyFont="1" applyBorder="1"/>
    <xf numFmtId="0" fontId="17" fillId="0" borderId="16" xfId="0" applyNumberFormat="1" applyFont="1" applyBorder="1"/>
    <xf numFmtId="1" fontId="0" fillId="0" borderId="17" xfId="0" applyNumberFormat="1" applyBorder="1"/>
    <xf numFmtId="1" fontId="0" fillId="0" borderId="18" xfId="0" applyNumberFormat="1" applyBorder="1"/>
    <xf numFmtId="3" fontId="3" fillId="2" borderId="16" xfId="4" applyBorder="1" applyAlignment="1">
      <alignment horizontal="left" vertical="center"/>
      <protection locked="0"/>
    </xf>
    <xf numFmtId="3" fontId="23" fillId="13" borderId="16" xfId="0" applyNumberFormat="1" applyFont="1" applyFill="1" applyBorder="1" applyAlignment="1">
      <alignment horizontal="right" vertical="center"/>
    </xf>
    <xf numFmtId="1" fontId="23" fillId="13" borderId="16" xfId="1" applyNumberFormat="1" applyFont="1" applyFill="1" applyBorder="1" applyAlignment="1">
      <alignment horizontal="right" vertical="center"/>
    </xf>
    <xf numFmtId="9" fontId="23" fillId="13" borderId="16" xfId="1" applyFont="1" applyFill="1" applyBorder="1" applyAlignment="1">
      <alignment horizontal="right" vertical="center"/>
    </xf>
    <xf numFmtId="3" fontId="24" fillId="13" borderId="16" xfId="0" applyNumberFormat="1" applyFont="1" applyFill="1" applyBorder="1" applyAlignment="1">
      <alignment horizontal="right" vertical="center"/>
    </xf>
    <xf numFmtId="1" fontId="0" fillId="12" borderId="16" xfId="0" applyNumberFormat="1" applyFill="1" applyBorder="1"/>
    <xf numFmtId="3" fontId="3" fillId="0" borderId="0" xfId="4" applyFill="1" applyBorder="1" applyAlignment="1">
      <alignment horizontal="left" vertical="center"/>
      <protection locked="0"/>
    </xf>
    <xf numFmtId="1" fontId="0" fillId="0" borderId="0" xfId="0" applyNumberFormat="1" applyFill="1" applyBorder="1"/>
    <xf numFmtId="0" fontId="0" fillId="14" borderId="16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3" fontId="18" fillId="0" borderId="16" xfId="0" applyNumberFormat="1" applyFont="1" applyBorder="1" applyAlignment="1">
      <alignment horizontal="center"/>
    </xf>
    <xf numFmtId="165" fontId="18" fillId="0" borderId="16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0" fontId="0" fillId="14" borderId="0" xfId="0" applyFill="1"/>
    <xf numFmtId="0" fontId="0" fillId="0" borderId="16" xfId="0" quotePrefix="1" applyBorder="1"/>
    <xf numFmtId="2" fontId="0" fillId="0" borderId="16" xfId="0" applyNumberFormat="1" applyBorder="1"/>
    <xf numFmtId="3" fontId="3" fillId="2" borderId="16" xfId="4" applyBorder="1" applyAlignment="1">
      <alignment horizontal="left" vertical="center" wrapText="1"/>
      <protection locked="0"/>
    </xf>
    <xf numFmtId="0" fontId="25" fillId="0" borderId="0" xfId="14"/>
    <xf numFmtId="166" fontId="25" fillId="0" borderId="0" xfId="14" applyNumberFormat="1"/>
    <xf numFmtId="165" fontId="25" fillId="0" borderId="0" xfId="14" applyNumberFormat="1"/>
    <xf numFmtId="2" fontId="25" fillId="0" borderId="0" xfId="14" applyNumberFormat="1"/>
    <xf numFmtId="168" fontId="0" fillId="16" borderId="0" xfId="15" applyNumberFormat="1" applyFont="1" applyFill="1" applyBorder="1" applyAlignment="1" applyProtection="1"/>
    <xf numFmtId="168" fontId="25" fillId="0" borderId="0" xfId="14" applyNumberFormat="1"/>
    <xf numFmtId="168" fontId="0" fillId="0" borderId="0" xfId="15" applyNumberFormat="1" applyFont="1" applyBorder="1" applyAlignment="1" applyProtection="1"/>
    <xf numFmtId="169" fontId="27" fillId="0" borderId="0" xfId="14" applyNumberFormat="1" applyFont="1"/>
    <xf numFmtId="169" fontId="25" fillId="16" borderId="0" xfId="14" applyNumberFormat="1" applyFill="1"/>
    <xf numFmtId="169" fontId="25" fillId="0" borderId="0" xfId="14" applyNumberFormat="1"/>
    <xf numFmtId="9" fontId="25" fillId="16" borderId="0" xfId="14" applyNumberFormat="1" applyFill="1"/>
    <xf numFmtId="0" fontId="25" fillId="16" borderId="0" xfId="14" applyFill="1"/>
    <xf numFmtId="1" fontId="25" fillId="0" borderId="0" xfId="14" applyNumberFormat="1"/>
    <xf numFmtId="169" fontId="0" fillId="0" borderId="0" xfId="16" applyFont="1" applyBorder="1" applyAlignment="1" applyProtection="1"/>
    <xf numFmtId="0" fontId="28" fillId="0" borderId="0" xfId="14" applyFont="1"/>
    <xf numFmtId="169" fontId="28" fillId="0" borderId="0" xfId="16" applyFont="1" applyBorder="1" applyAlignment="1" applyProtection="1"/>
    <xf numFmtId="3" fontId="25" fillId="0" borderId="0" xfId="14" applyNumberFormat="1"/>
    <xf numFmtId="0" fontId="26" fillId="0" borderId="0" xfId="14" applyFont="1"/>
    <xf numFmtId="0" fontId="29" fillId="0" borderId="0" xfId="14" applyFont="1" applyAlignment="1">
      <alignment vertical="center"/>
    </xf>
    <xf numFmtId="0" fontId="29" fillId="0" borderId="0" xfId="14" applyFont="1" applyAlignment="1">
      <alignment horizontal="center" vertical="center"/>
    </xf>
    <xf numFmtId="0" fontId="29" fillId="0" borderId="0" xfId="14" applyFont="1" applyAlignment="1">
      <alignment horizontal="center" vertical="center" wrapText="1"/>
    </xf>
    <xf numFmtId="0" fontId="29" fillId="0" borderId="16" xfId="14" applyFont="1" applyBorder="1" applyAlignment="1">
      <alignment horizontal="center" vertical="center" wrapText="1"/>
    </xf>
    <xf numFmtId="0" fontId="29" fillId="17" borderId="16" xfId="14" applyFont="1" applyFill="1" applyBorder="1" applyAlignment="1">
      <alignment horizontal="center" vertical="center" wrapText="1"/>
    </xf>
    <xf numFmtId="2" fontId="29" fillId="17" borderId="16" xfId="14" applyNumberFormat="1" applyFont="1" applyFill="1" applyBorder="1" applyAlignment="1">
      <alignment horizontal="center" vertical="center" wrapText="1"/>
    </xf>
    <xf numFmtId="0" fontId="29" fillId="0" borderId="16" xfId="14" applyFont="1" applyBorder="1" applyAlignment="1">
      <alignment vertical="center"/>
    </xf>
    <xf numFmtId="0" fontId="29" fillId="18" borderId="16" xfId="14" applyFont="1" applyFill="1" applyBorder="1" applyAlignment="1">
      <alignment horizontal="center" vertical="center"/>
    </xf>
    <xf numFmtId="1" fontId="30" fillId="19" borderId="16" xfId="14" applyNumberFormat="1" applyFont="1" applyFill="1" applyBorder="1" applyAlignment="1">
      <alignment horizontal="center" vertical="center" wrapText="1"/>
    </xf>
    <xf numFmtId="0" fontId="30" fillId="19" borderId="16" xfId="14" applyFont="1" applyFill="1" applyBorder="1" applyAlignment="1">
      <alignment horizontal="center" vertical="center" wrapText="1"/>
    </xf>
    <xf numFmtId="165" fontId="30" fillId="19" borderId="16" xfId="14" applyNumberFormat="1" applyFont="1" applyFill="1" applyBorder="1" applyAlignment="1">
      <alignment horizontal="center" vertical="center" wrapText="1"/>
    </xf>
    <xf numFmtId="0" fontId="29" fillId="18" borderId="16" xfId="14" applyFont="1" applyFill="1" applyBorder="1" applyAlignment="1">
      <alignment vertical="center"/>
    </xf>
    <xf numFmtId="2" fontId="30" fillId="19" borderId="16" xfId="14" applyNumberFormat="1" applyFont="1" applyFill="1" applyBorder="1" applyAlignment="1">
      <alignment horizontal="center" vertical="center" wrapText="1"/>
    </xf>
    <xf numFmtId="169" fontId="30" fillId="19" borderId="16" xfId="16" applyFont="1" applyFill="1" applyBorder="1" applyAlignment="1" applyProtection="1">
      <alignment horizontal="center" vertical="center" wrapText="1"/>
    </xf>
    <xf numFmtId="170" fontId="30" fillId="19" borderId="16" xfId="14" applyNumberFormat="1" applyFont="1" applyFill="1" applyBorder="1" applyAlignment="1">
      <alignment horizontal="center" vertical="center" wrapText="1"/>
    </xf>
    <xf numFmtId="171" fontId="30" fillId="19" borderId="16" xfId="15" applyNumberFormat="1" applyFont="1" applyFill="1" applyBorder="1" applyAlignment="1" applyProtection="1">
      <alignment horizontal="center" vertical="center" wrapText="1"/>
    </xf>
    <xf numFmtId="172" fontId="30" fillId="19" borderId="16" xfId="14" applyNumberFormat="1" applyFont="1" applyFill="1" applyBorder="1" applyAlignment="1">
      <alignment horizontal="center" vertical="center" wrapText="1"/>
    </xf>
    <xf numFmtId="173" fontId="30" fillId="19" borderId="16" xfId="14" applyNumberFormat="1" applyFont="1" applyFill="1" applyBorder="1" applyAlignment="1">
      <alignment horizontal="center" vertical="center" wrapText="1"/>
    </xf>
    <xf numFmtId="174" fontId="30" fillId="19" borderId="16" xfId="14" applyNumberFormat="1" applyFont="1" applyFill="1" applyBorder="1" applyAlignment="1">
      <alignment horizontal="center" vertical="center" wrapText="1"/>
    </xf>
    <xf numFmtId="174" fontId="31" fillId="19" borderId="16" xfId="14" applyNumberFormat="1" applyFont="1" applyFill="1" applyBorder="1" applyAlignment="1">
      <alignment horizontal="center" vertical="center" wrapText="1"/>
    </xf>
    <xf numFmtId="0" fontId="29" fillId="18" borderId="16" xfId="14" applyFont="1" applyFill="1" applyBorder="1" applyAlignment="1">
      <alignment vertical="center" shrinkToFit="1"/>
    </xf>
    <xf numFmtId="4" fontId="30" fillId="19" borderId="16" xfId="14" applyNumberFormat="1" applyFont="1" applyFill="1" applyBorder="1" applyAlignment="1">
      <alignment horizontal="center" vertical="center" wrapText="1"/>
    </xf>
    <xf numFmtId="4" fontId="31" fillId="19" borderId="16" xfId="14" applyNumberFormat="1" applyFont="1" applyFill="1" applyBorder="1" applyAlignment="1">
      <alignment horizontal="center" vertical="center" wrapText="1"/>
    </xf>
    <xf numFmtId="3" fontId="30" fillId="19" borderId="16" xfId="14" applyNumberFormat="1" applyFont="1" applyFill="1" applyBorder="1" applyAlignment="1">
      <alignment horizontal="center" vertical="center" wrapText="1"/>
    </xf>
    <xf numFmtId="3" fontId="31" fillId="19" borderId="16" xfId="14" applyNumberFormat="1" applyFont="1" applyFill="1" applyBorder="1" applyAlignment="1">
      <alignment horizontal="center" vertical="center" wrapText="1"/>
    </xf>
    <xf numFmtId="0" fontId="29" fillId="0" borderId="0" xfId="14" applyFont="1" applyAlignment="1">
      <alignment vertical="center" wrapText="1"/>
    </xf>
    <xf numFmtId="0" fontId="29" fillId="18" borderId="0" xfId="14" applyFont="1" applyFill="1" applyAlignment="1">
      <alignment vertical="center" wrapText="1"/>
    </xf>
    <xf numFmtId="2" fontId="29" fillId="0" borderId="0" xfId="14" applyNumberFormat="1" applyFont="1" applyAlignment="1">
      <alignment horizontal="center" vertical="center" wrapText="1"/>
    </xf>
    <xf numFmtId="1" fontId="9" fillId="0" borderId="20" xfId="1" applyNumberFormat="1" applyFont="1" applyBorder="1" applyAlignment="1">
      <alignment horizontal="center" vertical="center" wrapText="1"/>
    </xf>
    <xf numFmtId="165" fontId="9" fillId="12" borderId="7" xfId="1" applyNumberFormat="1" applyFont="1" applyFill="1" applyBorder="1" applyAlignment="1">
      <alignment horizontal="center" vertical="center" wrapText="1"/>
    </xf>
    <xf numFmtId="165" fontId="9" fillId="12" borderId="20" xfId="1" applyNumberFormat="1" applyFont="1" applyFill="1" applyBorder="1" applyAlignment="1">
      <alignment horizontal="center" vertical="center" wrapText="1"/>
    </xf>
    <xf numFmtId="165" fontId="9" fillId="0" borderId="7" xfId="1" applyNumberFormat="1" applyFont="1" applyBorder="1" applyAlignment="1">
      <alignment horizontal="center" vertical="center" wrapText="1"/>
    </xf>
    <xf numFmtId="165" fontId="9" fillId="0" borderId="20" xfId="1" applyNumberFormat="1" applyFont="1" applyBorder="1" applyAlignment="1">
      <alignment horizontal="center" vertical="center" wrapText="1"/>
    </xf>
    <xf numFmtId="0" fontId="32" fillId="0" borderId="16" xfId="0" applyFont="1" applyBorder="1"/>
    <xf numFmtId="165" fontId="0" fillId="0" borderId="16" xfId="0" applyNumberFormat="1" applyBorder="1"/>
    <xf numFmtId="0" fontId="26" fillId="0" borderId="16" xfId="0" applyFont="1" applyBorder="1" applyAlignment="1">
      <alignment horizontal="center"/>
    </xf>
    <xf numFmtId="165" fontId="0" fillId="0" borderId="0" xfId="0" applyNumberFormat="1"/>
    <xf numFmtId="0" fontId="26" fillId="0" borderId="0" xfId="0" applyFont="1"/>
    <xf numFmtId="0" fontId="0" fillId="0" borderId="1" xfId="0" applyBorder="1"/>
    <xf numFmtId="0" fontId="32" fillId="0" borderId="5" xfId="0" applyFon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21" xfId="0" applyNumberFormat="1" applyBorder="1"/>
    <xf numFmtId="165" fontId="0" fillId="0" borderId="9" xfId="0" applyNumberFormat="1" applyBorder="1"/>
    <xf numFmtId="0" fontId="32" fillId="0" borderId="22" xfId="0" applyFont="1" applyBorder="1"/>
    <xf numFmtId="0" fontId="32" fillId="0" borderId="18" xfId="0" applyFont="1" applyBorder="1"/>
    <xf numFmtId="0" fontId="32" fillId="0" borderId="23" xfId="0" applyFont="1" applyBorder="1"/>
    <xf numFmtId="0" fontId="32" fillId="0" borderId="27" xfId="0" applyFont="1" applyBorder="1"/>
    <xf numFmtId="165" fontId="0" fillId="0" borderId="7" xfId="0" applyNumberFormat="1" applyBorder="1"/>
    <xf numFmtId="165" fontId="0" fillId="0" borderId="30" xfId="0" applyNumberFormat="1" applyBorder="1"/>
    <xf numFmtId="165" fontId="0" fillId="0" borderId="0" xfId="0" applyNumberFormat="1" applyFill="1" applyBorder="1"/>
    <xf numFmtId="165" fontId="34" fillId="0" borderId="16" xfId="0" applyNumberFormat="1" applyFont="1" applyBorder="1"/>
    <xf numFmtId="165" fontId="35" fillId="0" borderId="16" xfId="0" applyNumberFormat="1" applyFont="1" applyBorder="1"/>
    <xf numFmtId="165" fontId="34" fillId="0" borderId="6" xfId="0" applyNumberFormat="1" applyFont="1" applyBorder="1"/>
    <xf numFmtId="165" fontId="35" fillId="0" borderId="6" xfId="0" applyNumberFormat="1" applyFont="1" applyBorder="1"/>
    <xf numFmtId="0" fontId="34" fillId="0" borderId="0" xfId="17"/>
    <xf numFmtId="0" fontId="26" fillId="0" borderId="0" xfId="17" applyFont="1"/>
    <xf numFmtId="0" fontId="34" fillId="0" borderId="16" xfId="17" applyBorder="1"/>
    <xf numFmtId="0" fontId="26" fillId="0" borderId="16" xfId="17" applyFont="1" applyBorder="1" applyAlignment="1">
      <alignment horizontal="center"/>
    </xf>
    <xf numFmtId="0" fontId="26" fillId="0" borderId="16" xfId="17" applyFont="1" applyBorder="1"/>
    <xf numFmtId="9" fontId="33" fillId="0" borderId="16" xfId="19" applyNumberFormat="1" applyFont="1" applyBorder="1" applyAlignment="1" applyProtection="1"/>
    <xf numFmtId="169" fontId="0" fillId="0" borderId="16" xfId="0" applyNumberFormat="1" applyBorder="1"/>
    <xf numFmtId="0" fontId="26" fillId="0" borderId="16" xfId="0" applyFont="1" applyBorder="1"/>
    <xf numFmtId="9" fontId="33" fillId="0" borderId="16" xfId="0" applyNumberFormat="1" applyFont="1" applyBorder="1"/>
    <xf numFmtId="9" fontId="0" fillId="0" borderId="16" xfId="0" applyNumberFormat="1" applyBorder="1"/>
    <xf numFmtId="0" fontId="32" fillId="12" borderId="22" xfId="0" applyFont="1" applyFill="1" applyBorder="1"/>
    <xf numFmtId="0" fontId="32" fillId="12" borderId="18" xfId="0" applyFont="1" applyFill="1" applyBorder="1"/>
    <xf numFmtId="0" fontId="32" fillId="12" borderId="23" xfId="0" applyFont="1" applyFill="1" applyBorder="1"/>
    <xf numFmtId="165" fontId="0" fillId="12" borderId="5" xfId="0" applyNumberFormat="1" applyFill="1" applyBorder="1"/>
    <xf numFmtId="165" fontId="0" fillId="12" borderId="16" xfId="0" applyNumberFormat="1" applyFill="1" applyBorder="1"/>
    <xf numFmtId="165" fontId="0" fillId="12" borderId="6" xfId="0" applyNumberFormat="1" applyFill="1" applyBorder="1"/>
    <xf numFmtId="165" fontId="35" fillId="12" borderId="5" xfId="0" applyNumberFormat="1" applyFont="1" applyFill="1" applyBorder="1"/>
    <xf numFmtId="165" fontId="34" fillId="12" borderId="16" xfId="0" applyNumberFormat="1" applyFont="1" applyFill="1" applyBorder="1"/>
    <xf numFmtId="165" fontId="35" fillId="12" borderId="16" xfId="0" applyNumberFormat="1" applyFont="1" applyFill="1" applyBorder="1"/>
    <xf numFmtId="165" fontId="34" fillId="12" borderId="6" xfId="0" applyNumberFormat="1" applyFont="1" applyFill="1" applyBorder="1"/>
    <xf numFmtId="165" fontId="35" fillId="12" borderId="6" xfId="0" applyNumberFormat="1" applyFont="1" applyFill="1" applyBorder="1"/>
    <xf numFmtId="165" fontId="0" fillId="12" borderId="8" xfId="0" applyNumberFormat="1" applyFill="1" applyBorder="1"/>
    <xf numFmtId="165" fontId="0" fillId="12" borderId="21" xfId="0" applyNumberFormat="1" applyFill="1" applyBorder="1"/>
    <xf numFmtId="165" fontId="0" fillId="12" borderId="9" xfId="0" applyNumberFormat="1" applyFill="1" applyBorder="1"/>
    <xf numFmtId="0" fontId="26" fillId="12" borderId="16" xfId="0" applyFont="1" applyFill="1" applyBorder="1"/>
    <xf numFmtId="9" fontId="0" fillId="12" borderId="16" xfId="0" applyNumberFormat="1" applyFill="1" applyBorder="1"/>
    <xf numFmtId="9" fontId="33" fillId="12" borderId="16" xfId="19" applyNumberFormat="1" applyFont="1" applyFill="1" applyBorder="1" applyAlignment="1" applyProtection="1"/>
    <xf numFmtId="9" fontId="33" fillId="12" borderId="16" xfId="0" applyNumberFormat="1" applyFont="1" applyFill="1" applyBorder="1"/>
    <xf numFmtId="0" fontId="0" fillId="12" borderId="16" xfId="0" applyFill="1" applyBorder="1"/>
    <xf numFmtId="169" fontId="0" fillId="0" borderId="16" xfId="19" applyFont="1" applyBorder="1" applyAlignment="1" applyProtection="1"/>
    <xf numFmtId="0" fontId="13" fillId="0" borderId="7" xfId="0" applyNumberFormat="1" applyFont="1" applyBorder="1" applyAlignment="1">
      <alignment horizontal="center"/>
    </xf>
    <xf numFmtId="0" fontId="13" fillId="0" borderId="12" xfId="0" applyNumberFormat="1" applyFont="1" applyBorder="1" applyAlignment="1">
      <alignment horizontal="center"/>
    </xf>
    <xf numFmtId="0" fontId="11" fillId="0" borderId="7" xfId="1" applyNumberFormat="1" applyFont="1" applyBorder="1" applyAlignment="1">
      <alignment horizontal="center"/>
    </xf>
    <xf numFmtId="0" fontId="11" fillId="0" borderId="12" xfId="1" applyNumberFormat="1" applyFont="1" applyBorder="1" applyAlignment="1">
      <alignment horizontal="center"/>
    </xf>
    <xf numFmtId="9" fontId="13" fillId="0" borderId="10" xfId="0" applyNumberFormat="1" applyFont="1" applyBorder="1" applyAlignment="1">
      <alignment horizontal="center"/>
    </xf>
    <xf numFmtId="9" fontId="13" fillId="12" borderId="5" xfId="1" applyNumberFormat="1" applyFont="1" applyFill="1" applyBorder="1" applyAlignment="1">
      <alignment horizontal="center"/>
    </xf>
    <xf numFmtId="0" fontId="25" fillId="0" borderId="16" xfId="14" applyBorder="1"/>
    <xf numFmtId="0" fontId="25" fillId="12" borderId="16" xfId="14" applyFill="1" applyBorder="1"/>
    <xf numFmtId="1" fontId="25" fillId="0" borderId="16" xfId="14" applyNumberFormat="1" applyBorder="1"/>
    <xf numFmtId="165" fontId="25" fillId="12" borderId="16" xfId="14" applyNumberFormat="1" applyFill="1" applyBorder="1"/>
    <xf numFmtId="173" fontId="25" fillId="0" borderId="16" xfId="14" applyNumberFormat="1" applyBorder="1"/>
    <xf numFmtId="173" fontId="25" fillId="12" borderId="16" xfId="14" applyNumberFormat="1" applyFill="1" applyBorder="1"/>
    <xf numFmtId="172" fontId="25" fillId="0" borderId="16" xfId="14" applyNumberFormat="1" applyBorder="1"/>
    <xf numFmtId="164" fontId="25" fillId="0" borderId="16" xfId="14" applyNumberFormat="1" applyBorder="1"/>
    <xf numFmtId="4" fontId="25" fillId="12" borderId="16" xfId="14" applyNumberFormat="1" applyFill="1" applyBorder="1"/>
    <xf numFmtId="3" fontId="25" fillId="0" borderId="16" xfId="14" applyNumberFormat="1" applyBorder="1"/>
    <xf numFmtId="3" fontId="25" fillId="12" borderId="16" xfId="14" applyNumberFormat="1" applyFill="1" applyBorder="1"/>
    <xf numFmtId="9" fontId="0" fillId="0" borderId="0" xfId="0" applyNumberFormat="1"/>
    <xf numFmtId="9" fontId="0" fillId="0" borderId="16" xfId="1" applyFont="1" applyBorder="1"/>
    <xf numFmtId="177" fontId="0" fillId="0" borderId="0" xfId="26" applyNumberFormat="1" applyFont="1"/>
    <xf numFmtId="0" fontId="0" fillId="12" borderId="16" xfId="0" applyFill="1" applyBorder="1" applyAlignment="1">
      <alignment horizontal="center" vertical="center"/>
    </xf>
    <xf numFmtId="9" fontId="1" fillId="12" borderId="16" xfId="1" applyFill="1" applyBorder="1" applyAlignment="1">
      <alignment horizontal="center" vertical="center"/>
    </xf>
    <xf numFmtId="9" fontId="0" fillId="12" borderId="16" xfId="0" applyNumberFormat="1" applyFill="1" applyBorder="1" applyAlignment="1">
      <alignment horizontal="center" vertical="center"/>
    </xf>
    <xf numFmtId="0" fontId="19" fillId="12" borderId="16" xfId="0" applyFont="1" applyFill="1" applyBorder="1" applyAlignment="1">
      <alignment vertical="center" wrapText="1"/>
    </xf>
    <xf numFmtId="177" fontId="0" fillId="0" borderId="39" xfId="26" applyNumberFormat="1" applyFont="1" applyBorder="1"/>
    <xf numFmtId="175" fontId="0" fillId="0" borderId="40" xfId="0" applyNumberFormat="1" applyBorder="1"/>
    <xf numFmtId="9" fontId="41" fillId="24" borderId="16" xfId="1" applyFont="1" applyFill="1" applyBorder="1" applyAlignment="1" applyProtection="1">
      <alignment horizontal="center"/>
    </xf>
    <xf numFmtId="0" fontId="0" fillId="0" borderId="34" xfId="0" applyBorder="1"/>
    <xf numFmtId="0" fontId="0" fillId="0" borderId="40" xfId="0" applyBorder="1"/>
    <xf numFmtId="177" fontId="0" fillId="0" borderId="37" xfId="26" applyNumberFormat="1" applyFont="1" applyBorder="1"/>
    <xf numFmtId="176" fontId="0" fillId="0" borderId="34" xfId="26" applyNumberFormat="1" applyFont="1" applyBorder="1"/>
    <xf numFmtId="9" fontId="0" fillId="0" borderId="16" xfId="1" applyFont="1" applyFill="1" applyBorder="1" applyAlignment="1" applyProtection="1">
      <alignment horizontal="center"/>
    </xf>
    <xf numFmtId="0" fontId="0" fillId="0" borderId="39" xfId="0" applyBorder="1"/>
    <xf numFmtId="0" fontId="0" fillId="0" borderId="0" xfId="0" applyBorder="1"/>
    <xf numFmtId="0" fontId="0" fillId="0" borderId="36" xfId="0" applyBorder="1"/>
    <xf numFmtId="175" fontId="0" fillId="0" borderId="39" xfId="0" applyNumberFormat="1" applyBorder="1"/>
    <xf numFmtId="0" fontId="43" fillId="11" borderId="16" xfId="0" applyFont="1" applyFill="1" applyBorder="1" applyAlignment="1">
      <alignment vertical="center" wrapText="1"/>
    </xf>
    <xf numFmtId="9" fontId="0" fillId="24" borderId="16" xfId="1" applyFont="1" applyFill="1" applyBorder="1" applyAlignment="1" applyProtection="1">
      <alignment horizontal="center"/>
    </xf>
    <xf numFmtId="0" fontId="0" fillId="0" borderId="33" xfId="0" applyBorder="1"/>
    <xf numFmtId="177" fontId="0" fillId="0" borderId="0" xfId="26" applyNumberFormat="1" applyFont="1" applyBorder="1"/>
    <xf numFmtId="0" fontId="0" fillId="0" borderId="37" xfId="0" applyBorder="1"/>
    <xf numFmtId="0" fontId="0" fillId="0" borderId="35" xfId="0" applyBorder="1"/>
    <xf numFmtId="9" fontId="12" fillId="0" borderId="5" xfId="1" applyFont="1" applyBorder="1" applyAlignment="1">
      <alignment horizontal="center"/>
    </xf>
    <xf numFmtId="9" fontId="13" fillId="0" borderId="6" xfId="1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3" fillId="0" borderId="7" xfId="0" applyNumberFormat="1" applyFont="1" applyBorder="1" applyAlignment="1">
      <alignment horizontal="center"/>
    </xf>
    <xf numFmtId="0" fontId="13" fillId="0" borderId="12" xfId="0" applyNumberFormat="1" applyFont="1" applyBorder="1" applyAlignment="1">
      <alignment horizontal="center"/>
    </xf>
    <xf numFmtId="0" fontId="11" fillId="0" borderId="7" xfId="1" applyNumberFormat="1" applyFont="1" applyBorder="1" applyAlignment="1">
      <alignment horizontal="center"/>
    </xf>
    <xf numFmtId="0" fontId="11" fillId="0" borderId="12" xfId="1" applyNumberFormat="1" applyFont="1" applyBorder="1" applyAlignment="1">
      <alignment horizontal="center"/>
    </xf>
    <xf numFmtId="9" fontId="13" fillId="0" borderId="10" xfId="0" applyNumberFormat="1" applyFont="1" applyBorder="1" applyAlignment="1">
      <alignment horizontal="center"/>
    </xf>
    <xf numFmtId="9" fontId="13" fillId="12" borderId="5" xfId="1" applyNumberFormat="1" applyFont="1" applyFill="1" applyBorder="1" applyAlignment="1">
      <alignment horizontal="center"/>
    </xf>
    <xf numFmtId="9" fontId="13" fillId="12" borderId="20" xfId="1" applyNumberFormat="1" applyFont="1" applyFill="1" applyBorder="1" applyAlignment="1">
      <alignment horizontal="center" wrapText="1"/>
    </xf>
    <xf numFmtId="0" fontId="0" fillId="0" borderId="38" xfId="0" applyBorder="1"/>
    <xf numFmtId="0" fontId="0" fillId="0" borderId="0" xfId="0"/>
    <xf numFmtId="1" fontId="0" fillId="0" borderId="16" xfId="0" applyNumberFormat="1" applyBorder="1"/>
    <xf numFmtId="0" fontId="0" fillId="0" borderId="16" xfId="0" applyBorder="1"/>
    <xf numFmtId="9" fontId="0" fillId="0" borderId="16" xfId="0" applyNumberFormat="1" applyBorder="1" applyAlignment="1">
      <alignment horizontal="center"/>
    </xf>
    <xf numFmtId="0" fontId="0" fillId="12" borderId="16" xfId="0" applyFill="1" applyBorder="1"/>
    <xf numFmtId="9" fontId="0" fillId="0" borderId="0" xfId="0" applyNumberFormat="1"/>
    <xf numFmtId="0" fontId="40" fillId="23" borderId="1" xfId="0" applyFont="1" applyFill="1" applyBorder="1" applyAlignment="1">
      <alignment horizontal="left" vertical="center" wrapText="1"/>
    </xf>
    <xf numFmtId="0" fontId="40" fillId="23" borderId="1" xfId="0" applyFont="1" applyFill="1" applyBorder="1" applyAlignment="1">
      <alignment horizontal="center" vertical="center" wrapText="1"/>
    </xf>
    <xf numFmtId="0" fontId="40" fillId="23" borderId="16" xfId="0" applyFont="1" applyFill="1" applyBorder="1"/>
    <xf numFmtId="0" fontId="40" fillId="23" borderId="16" xfId="0" applyFont="1" applyFill="1" applyBorder="1" applyAlignment="1">
      <alignment horizontal="center" vertical="center" wrapText="1"/>
    </xf>
    <xf numFmtId="0" fontId="0" fillId="0" borderId="31" xfId="0" applyFont="1" applyBorder="1"/>
    <xf numFmtId="9" fontId="0" fillId="24" borderId="2" xfId="1" applyFont="1" applyFill="1" applyBorder="1" applyAlignment="1" applyProtection="1">
      <alignment horizontal="center"/>
    </xf>
    <xf numFmtId="0" fontId="0" fillId="0" borderId="32" xfId="0" applyFont="1" applyBorder="1"/>
    <xf numFmtId="9" fontId="0" fillId="24" borderId="18" xfId="1" applyFont="1" applyFill="1" applyBorder="1" applyAlignment="1" applyProtection="1">
      <alignment horizontal="center"/>
    </xf>
    <xf numFmtId="9" fontId="42" fillId="24" borderId="18" xfId="1" applyFont="1" applyFill="1" applyBorder="1" applyAlignment="1" applyProtection="1">
      <alignment horizontal="center"/>
    </xf>
    <xf numFmtId="0" fontId="0" fillId="0" borderId="16" xfId="0" applyFont="1" applyFill="1" applyBorder="1"/>
    <xf numFmtId="177" fontId="0" fillId="12" borderId="16" xfId="26" applyNumberFormat="1" applyFont="1" applyFill="1" applyBorder="1"/>
    <xf numFmtId="1" fontId="0" fillId="12" borderId="16" xfId="26" applyNumberFormat="1" applyFont="1" applyFill="1" applyBorder="1"/>
    <xf numFmtId="177" fontId="0" fillId="0" borderId="16" xfId="26" applyNumberFormat="1" applyFont="1" applyBorder="1"/>
    <xf numFmtId="1" fontId="0" fillId="0" borderId="16" xfId="26" applyNumberFormat="1" applyFont="1" applyBorder="1"/>
    <xf numFmtId="1" fontId="0" fillId="0" borderId="1" xfId="0" applyNumberFormat="1" applyBorder="1"/>
    <xf numFmtId="0" fontId="10" fillId="11" borderId="7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3" fillId="0" borderId="5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4" fillId="12" borderId="12" xfId="0" applyFont="1" applyFill="1" applyBorder="1" applyAlignment="1">
      <alignment horizontal="center"/>
    </xf>
    <xf numFmtId="1" fontId="9" fillId="0" borderId="7" xfId="1" applyNumberFormat="1" applyFont="1" applyBorder="1" applyAlignment="1">
      <alignment horizontal="center" vertical="center" wrapText="1"/>
    </xf>
    <xf numFmtId="1" fontId="9" fillId="0" borderId="12" xfId="1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12" borderId="3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6" fillId="15" borderId="0" xfId="14" applyFont="1" applyFill="1" applyBorder="1" applyAlignment="1">
      <alignment horizontal="center"/>
    </xf>
    <xf numFmtId="0" fontId="29" fillId="0" borderId="19" xfId="14" applyFont="1" applyBorder="1" applyAlignment="1">
      <alignment horizontal="center" vertical="center" wrapText="1"/>
    </xf>
    <xf numFmtId="0" fontId="25" fillId="0" borderId="16" xfId="14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32" fillId="12" borderId="24" xfId="0" applyFont="1" applyFill="1" applyBorder="1" applyAlignment="1">
      <alignment horizontal="center"/>
    </xf>
    <xf numFmtId="0" fontId="32" fillId="12" borderId="25" xfId="0" applyFont="1" applyFill="1" applyBorder="1" applyAlignment="1">
      <alignment horizontal="center"/>
    </xf>
    <xf numFmtId="0" fontId="32" fillId="12" borderId="26" xfId="0" applyFont="1" applyFill="1" applyBorder="1" applyAlignment="1">
      <alignment horizontal="center"/>
    </xf>
    <xf numFmtId="0" fontId="34" fillId="0" borderId="16" xfId="17" applyFont="1" applyBorder="1" applyAlignment="1">
      <alignment horizontal="center"/>
    </xf>
    <xf numFmtId="0" fontId="26" fillId="0" borderId="16" xfId="17" applyFont="1" applyBorder="1" applyAlignment="1">
      <alignment horizontal="center"/>
    </xf>
    <xf numFmtId="0" fontId="26" fillId="0" borderId="16" xfId="17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/>
    </xf>
    <xf numFmtId="0" fontId="26" fillId="12" borderId="16" xfId="0" applyFont="1" applyFill="1" applyBorder="1" applyAlignment="1">
      <alignment horizontal="center"/>
    </xf>
  </cellXfs>
  <cellStyles count="28">
    <cellStyle name="CalcDeciCtr" xfId="9"/>
    <cellStyle name="CalcNbCtr" xfId="8"/>
    <cellStyle name="DonModNbCtre" xfId="5"/>
    <cellStyle name="ImportNbCtr" xfId="12"/>
    <cellStyle name="ImportNbCtr 2" xfId="20"/>
    <cellStyle name="IndexNbCtr" xfId="3"/>
    <cellStyle name="LigneTitre" xfId="11"/>
    <cellStyle name="LigneTitre 2" xfId="21"/>
    <cellStyle name="ListeH" xfId="10"/>
    <cellStyle name="ListeV" xfId="4"/>
    <cellStyle name="ListeV 2" xfId="22"/>
    <cellStyle name="Milliers" xfId="26" builtinId="3"/>
    <cellStyle name="Milliers 2" xfId="15"/>
    <cellStyle name="Milliers 3" xfId="18"/>
    <cellStyle name="Milliers 4" xfId="27"/>
    <cellStyle name="Normal" xfId="0" builtinId="0"/>
    <cellStyle name="Normal 2" xfId="7"/>
    <cellStyle name="Normal 2 2" xfId="6"/>
    <cellStyle name="Normal 2 2 2" xfId="24"/>
    <cellStyle name="Normal 2 3" xfId="23"/>
    <cellStyle name="Normal 3" xfId="14"/>
    <cellStyle name="Normal 3 2" xfId="25"/>
    <cellStyle name="Normal 4" xfId="17"/>
    <cellStyle name="Pourcentage" xfId="1" builtinId="5"/>
    <cellStyle name="Pourcentage 2" xfId="16"/>
    <cellStyle name="Pourcentage 3" xfId="19"/>
    <cellStyle name="TitreV" xfId="2"/>
    <cellStyle name="Vide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plotArea>
      <cx:plotAreaRegion>
        <cx:series layoutId="treemap" uniqueId="{BBDFC78C-6E1D-4408-A130-FFAB9ADC56CA}">
          <cx:tx>
            <cx:txData>
              <cx:f>_xlchart.v1.5</cx:f>
              <cx:v>#REF!</cx:v>
            </cx:txData>
          </cx:tx>
          <cx:dataLabels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fr-FR" sz="1600" b="1" i="0" u="none" strike="noStrike" kern="1200" spc="0" baseline="0">
                    <a:solidFill>
                      <a:sysClr val="windowText" lastClr="000000"/>
                    </a:solidFill>
                    <a:latin typeface="Calibri" panose="020F0502020204030204"/>
                  </a:defRPr>
                </a:pPr>
                <a:endParaRPr lang="fr-FR" sz="1600" b="1">
                  <a:solidFill>
                    <a:sysClr val="windowText" lastClr="000000"/>
                  </a:solidFill>
                </a:endParaRPr>
              </a:p>
            </cx:txPr>
            <cx:visibility seriesName="0" categoryName="1" value="0"/>
            <cx:separator> </cx:separator>
          </cx:dataLabels>
          <cx:dataId val="0"/>
          <cx:layoutPr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B099952A-1973-41CE-A015-7C84E06EC5B8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endParaRPr lang="fr-FR" sz="1600" b="1">
                  <a:solidFill>
                    <a:sysClr val="windowText" lastClr="000000"/>
                  </a:solidFill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68FE1799-9ED9-43FB-BECC-21FD63D96029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endParaRPr lang="fr-FR" sz="1600" b="1">
                  <a:solidFill>
                    <a:sysClr val="windowText" lastClr="000000"/>
                  </a:solidFill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40823</xdr:colOff>
      <xdr:row>17</xdr:row>
      <xdr:rowOff>152402</xdr:rowOff>
    </xdr:from>
    <xdr:to>
      <xdr:col>5</xdr:col>
      <xdr:colOff>583073</xdr:colOff>
      <xdr:row>36</xdr:row>
      <xdr:rowOff>132902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680357</xdr:colOff>
      <xdr:row>17</xdr:row>
      <xdr:rowOff>166009</xdr:rowOff>
    </xdr:from>
    <xdr:to>
      <xdr:col>12</xdr:col>
      <xdr:colOff>746357</xdr:colOff>
      <xdr:row>36</xdr:row>
      <xdr:rowOff>146509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81641</xdr:colOff>
      <xdr:row>17</xdr:row>
      <xdr:rowOff>179615</xdr:rowOff>
    </xdr:from>
    <xdr:to>
      <xdr:col>20</xdr:col>
      <xdr:colOff>147641</xdr:colOff>
      <xdr:row>36</xdr:row>
      <xdr:rowOff>160115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1360714</xdr:colOff>
      <xdr:row>15</xdr:row>
      <xdr:rowOff>163287</xdr:rowOff>
    </xdr:from>
    <xdr:to>
      <xdr:col>3</xdr:col>
      <xdr:colOff>571500</xdr:colOff>
      <xdr:row>17</xdr:row>
      <xdr:rowOff>108857</xdr:rowOff>
    </xdr:to>
    <xdr:sp macro="" textlink="">
      <xdr:nvSpPr>
        <xdr:cNvPr id="5" name="Rectangle 4"/>
        <xdr:cNvSpPr/>
      </xdr:nvSpPr>
      <xdr:spPr>
        <a:xfrm>
          <a:off x="1360714" y="2914107"/>
          <a:ext cx="2655026" cy="3113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ASSIETTE</a:t>
          </a:r>
          <a:r>
            <a:rPr lang="fr-FR" sz="1600" b="1" baseline="0"/>
            <a:t> MOYENNE 2020</a:t>
          </a:r>
          <a:endParaRPr lang="fr-FR" sz="1600" b="1"/>
        </a:p>
      </xdr:txBody>
    </xdr:sp>
    <xdr:clientData/>
  </xdr:twoCellAnchor>
  <xdr:twoCellAnchor>
    <xdr:from>
      <xdr:col>7</xdr:col>
      <xdr:colOff>547006</xdr:colOff>
      <xdr:row>15</xdr:row>
      <xdr:rowOff>111579</xdr:rowOff>
    </xdr:from>
    <xdr:to>
      <xdr:col>11</xdr:col>
      <xdr:colOff>326571</xdr:colOff>
      <xdr:row>17</xdr:row>
      <xdr:rowOff>68034</xdr:rowOff>
    </xdr:to>
    <xdr:sp macro="" textlink="">
      <xdr:nvSpPr>
        <xdr:cNvPr id="6" name="Rectangle 5"/>
        <xdr:cNvSpPr/>
      </xdr:nvSpPr>
      <xdr:spPr>
        <a:xfrm>
          <a:off x="7161166" y="2862399"/>
          <a:ext cx="2941865" cy="32221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ASSIETTE</a:t>
          </a:r>
          <a:r>
            <a:rPr lang="fr-FR" sz="1600" b="1" baseline="0"/>
            <a:t> MOYENNE 2030 AMS</a:t>
          </a:r>
          <a:endParaRPr lang="fr-FR" sz="1600" b="1"/>
        </a:p>
      </xdr:txBody>
    </xdr:sp>
    <xdr:clientData/>
  </xdr:twoCellAnchor>
  <xdr:twoCellAnchor>
    <xdr:from>
      <xdr:col>14</xdr:col>
      <xdr:colOff>631371</xdr:colOff>
      <xdr:row>15</xdr:row>
      <xdr:rowOff>114300</xdr:rowOff>
    </xdr:from>
    <xdr:to>
      <xdr:col>18</xdr:col>
      <xdr:colOff>410936</xdr:colOff>
      <xdr:row>17</xdr:row>
      <xdr:rowOff>70755</xdr:rowOff>
    </xdr:to>
    <xdr:sp macro="" textlink="">
      <xdr:nvSpPr>
        <xdr:cNvPr id="7" name="Rectangle 6"/>
        <xdr:cNvSpPr/>
      </xdr:nvSpPr>
      <xdr:spPr>
        <a:xfrm>
          <a:off x="12785271" y="2865120"/>
          <a:ext cx="2949485" cy="32221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ASSIETTE</a:t>
          </a:r>
          <a:r>
            <a:rPr lang="fr-FR" sz="1600" b="1" baseline="0"/>
            <a:t> MOYENNE 2050 AMS</a:t>
          </a:r>
          <a:endParaRPr lang="fr-FR" sz="16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wenael.podesta\AppData\Local\Temp\SNBC_RUN2_alim_juillet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00%20-%20Docs%20essentiels%20RUN1%20bis/004_Agriculture/20221202_HypAgriEner_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othèses SNB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 MOSUT"/>
      <sheetName val="Tracteurs AMS"/>
      <sheetName val="Tracteurs AME"/>
      <sheetName val="Autres conso ag"/>
      <sheetName val="valo biomas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"/>
  <sheetViews>
    <sheetView workbookViewId="0">
      <selection activeCell="E31" sqref="E31"/>
    </sheetView>
  </sheetViews>
  <sheetFormatPr baseColWidth="10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38"/>
  <sheetViews>
    <sheetView topLeftCell="A7" zoomScale="70" zoomScaleNormal="70" workbookViewId="0">
      <selection activeCell="G22" sqref="G22:H24"/>
    </sheetView>
  </sheetViews>
  <sheetFormatPr baseColWidth="10" defaultRowHeight="15.6" x14ac:dyDescent="0.3"/>
  <cols>
    <col min="1" max="1" width="41.296875" customWidth="1"/>
    <col min="2" max="2" width="13.3984375" customWidth="1"/>
    <col min="7" max="7" width="15.59765625" style="98" customWidth="1"/>
    <col min="8" max="8" width="15.19921875" style="98" customWidth="1"/>
    <col min="9" max="9" width="12.09765625" customWidth="1"/>
    <col min="10" max="10" width="11.8984375" customWidth="1"/>
    <col min="14" max="14" width="43.69921875" customWidth="1"/>
    <col min="21" max="21" width="25.19921875" customWidth="1"/>
  </cols>
  <sheetData>
    <row r="1" spans="1:20" ht="21" x14ac:dyDescent="0.4">
      <c r="A1" s="50" t="s">
        <v>18</v>
      </c>
      <c r="B1" s="341">
        <v>2020</v>
      </c>
      <c r="C1" s="329" t="s">
        <v>17</v>
      </c>
      <c r="D1" s="330"/>
      <c r="E1" s="329" t="s">
        <v>5</v>
      </c>
      <c r="F1" s="330"/>
      <c r="G1" s="343" t="s">
        <v>26</v>
      </c>
      <c r="H1" s="344"/>
      <c r="I1" s="329" t="s">
        <v>27</v>
      </c>
      <c r="J1" s="330"/>
    </row>
    <row r="2" spans="1:20" s="2" customFormat="1" ht="21" x14ac:dyDescent="0.3">
      <c r="A2" s="65" t="s">
        <v>4</v>
      </c>
      <c r="B2" s="342"/>
      <c r="C2" s="34">
        <v>2030</v>
      </c>
      <c r="D2" s="35">
        <v>2050</v>
      </c>
      <c r="E2" s="34">
        <v>2030</v>
      </c>
      <c r="F2" s="35">
        <v>2050</v>
      </c>
      <c r="G2" s="75">
        <v>2030</v>
      </c>
      <c r="H2" s="76">
        <v>2050</v>
      </c>
      <c r="I2" s="34">
        <v>2030</v>
      </c>
      <c r="J2" s="35">
        <v>2050</v>
      </c>
    </row>
    <row r="3" spans="1:20" s="2" customFormat="1" ht="21" x14ac:dyDescent="0.3">
      <c r="A3" s="11" t="s">
        <v>29</v>
      </c>
      <c r="B3" s="54"/>
      <c r="C3" s="333"/>
      <c r="D3" s="334"/>
      <c r="E3" s="333"/>
      <c r="F3" s="334"/>
      <c r="G3" s="345"/>
      <c r="H3" s="346"/>
      <c r="I3" s="333"/>
      <c r="J3" s="334"/>
    </row>
    <row r="4" spans="1:20" ht="21" x14ac:dyDescent="0.4">
      <c r="A4" s="51" t="s">
        <v>6</v>
      </c>
      <c r="B4" s="55">
        <v>0.06</v>
      </c>
      <c r="C4" s="15">
        <v>0.09</v>
      </c>
      <c r="D4" s="16">
        <v>0.14000000000000001</v>
      </c>
      <c r="E4" s="15">
        <v>0.21</v>
      </c>
      <c r="F4" s="16">
        <v>0.25</v>
      </c>
      <c r="G4" s="77">
        <v>0.21</v>
      </c>
      <c r="H4" s="78">
        <v>0.25</v>
      </c>
      <c r="I4" s="14">
        <v>0.25</v>
      </c>
      <c r="J4" s="4">
        <v>0.33</v>
      </c>
    </row>
    <row r="5" spans="1:20" ht="21" x14ac:dyDescent="0.4">
      <c r="A5" s="51" t="s">
        <v>7</v>
      </c>
      <c r="B5" s="55">
        <v>0.02</v>
      </c>
      <c r="C5" s="15">
        <v>0.04</v>
      </c>
      <c r="D5" s="16">
        <v>0.1</v>
      </c>
      <c r="E5" s="15">
        <v>0.08</v>
      </c>
      <c r="F5" s="16">
        <v>0.25</v>
      </c>
      <c r="G5" s="77">
        <v>0.15</v>
      </c>
      <c r="H5" s="78">
        <v>0.25</v>
      </c>
      <c r="I5" s="15">
        <v>0.15</v>
      </c>
      <c r="J5" s="4">
        <v>0.33</v>
      </c>
      <c r="N5" s="2"/>
    </row>
    <row r="6" spans="1:20" ht="21" x14ac:dyDescent="0.4">
      <c r="A6" s="51" t="s">
        <v>8</v>
      </c>
      <c r="B6" s="55">
        <v>0.05</v>
      </c>
      <c r="C6" s="15">
        <v>7.0000000000000007E-2</v>
      </c>
      <c r="D6" s="16">
        <v>0.1</v>
      </c>
      <c r="E6" s="15">
        <v>0.12</v>
      </c>
      <c r="F6" s="16">
        <v>0.25</v>
      </c>
      <c r="G6" s="77">
        <v>0.15</v>
      </c>
      <c r="H6" s="78">
        <v>0.25</v>
      </c>
      <c r="I6" s="15" t="s">
        <v>10</v>
      </c>
      <c r="J6" s="16" t="s">
        <v>10</v>
      </c>
    </row>
    <row r="7" spans="1:20" ht="21" x14ac:dyDescent="0.4">
      <c r="A7" s="51" t="s">
        <v>9</v>
      </c>
      <c r="B7" s="55">
        <f t="shared" ref="B7:H7" si="0">1-B6-B5-B4</f>
        <v>0.86999999999999988</v>
      </c>
      <c r="C7" s="15">
        <f t="shared" si="0"/>
        <v>0.79999999999999993</v>
      </c>
      <c r="D7" s="16">
        <f t="shared" si="0"/>
        <v>0.66</v>
      </c>
      <c r="E7" s="15">
        <f t="shared" si="0"/>
        <v>0.59000000000000008</v>
      </c>
      <c r="F7" s="16">
        <f t="shared" si="0"/>
        <v>0.25</v>
      </c>
      <c r="G7" s="77">
        <f t="shared" si="0"/>
        <v>0.49</v>
      </c>
      <c r="H7" s="78">
        <f t="shared" si="0"/>
        <v>0.25</v>
      </c>
      <c r="I7" s="15" t="s">
        <v>10</v>
      </c>
      <c r="J7" s="16" t="s">
        <v>10</v>
      </c>
    </row>
    <row r="8" spans="1:20" ht="21" x14ac:dyDescent="0.4">
      <c r="A8" s="51" t="s">
        <v>262</v>
      </c>
      <c r="B8" s="56">
        <v>1007</v>
      </c>
      <c r="C8" s="36">
        <v>1100</v>
      </c>
      <c r="D8" s="20">
        <v>1200</v>
      </c>
      <c r="E8" s="36">
        <v>1882.1138314816192</v>
      </c>
      <c r="F8" s="20">
        <v>2376.160442589271</v>
      </c>
      <c r="G8" s="79">
        <v>2000</v>
      </c>
      <c r="H8" s="80">
        <v>2500</v>
      </c>
      <c r="I8" s="17">
        <v>1767.9571844252673</v>
      </c>
      <c r="J8" s="3">
        <v>2235.3893490163482</v>
      </c>
    </row>
    <row r="9" spans="1:20" ht="36" customHeight="1" x14ac:dyDescent="0.4">
      <c r="A9" s="51" t="s">
        <v>11</v>
      </c>
      <c r="B9" s="57">
        <v>42</v>
      </c>
      <c r="C9" s="15">
        <v>-3.5000000000000003E-2</v>
      </c>
      <c r="D9" s="16">
        <v>-0.1</v>
      </c>
      <c r="E9" s="18">
        <v>-0.2</v>
      </c>
      <c r="F9" s="37">
        <v>-0.5</v>
      </c>
      <c r="G9" s="81">
        <v>-0.2</v>
      </c>
      <c r="H9" s="82">
        <v>-0.5</v>
      </c>
      <c r="I9" s="18">
        <v>-0.22</v>
      </c>
      <c r="J9" s="19">
        <v>-0.35</v>
      </c>
      <c r="N9" s="287" t="s">
        <v>308</v>
      </c>
      <c r="O9" s="304"/>
      <c r="P9" s="304"/>
      <c r="Q9" s="304"/>
      <c r="R9" s="304"/>
      <c r="S9" s="304"/>
      <c r="T9" s="304"/>
    </row>
    <row r="10" spans="1:20" ht="21" x14ac:dyDescent="0.4">
      <c r="A10" s="51" t="s">
        <v>13</v>
      </c>
      <c r="B10" s="58">
        <v>2025</v>
      </c>
      <c r="C10" s="47">
        <v>1950</v>
      </c>
      <c r="D10" s="48">
        <v>1800</v>
      </c>
      <c r="E10" s="44">
        <v>1429</v>
      </c>
      <c r="F10" s="38">
        <v>1089</v>
      </c>
      <c r="G10" s="83">
        <v>1429</v>
      </c>
      <c r="H10" s="84" t="s">
        <v>37</v>
      </c>
      <c r="I10" s="17">
        <v>1351.1</v>
      </c>
      <c r="J10" s="20">
        <v>1023.7</v>
      </c>
      <c r="M10" s="1"/>
      <c r="N10" s="310" t="s">
        <v>309</v>
      </c>
      <c r="O10" s="311">
        <v>2018</v>
      </c>
      <c r="P10" s="311">
        <v>2019</v>
      </c>
      <c r="Q10" s="311">
        <v>2020</v>
      </c>
      <c r="R10" s="312" t="s">
        <v>310</v>
      </c>
      <c r="S10" s="313">
        <v>2021</v>
      </c>
      <c r="T10" s="313">
        <v>2022</v>
      </c>
    </row>
    <row r="11" spans="1:20" ht="21" x14ac:dyDescent="0.4">
      <c r="A11" s="51" t="s">
        <v>293</v>
      </c>
      <c r="B11" s="255">
        <v>1</v>
      </c>
      <c r="C11" s="251"/>
      <c r="D11" s="252"/>
      <c r="E11" s="253"/>
      <c r="F11" s="254"/>
      <c r="G11" s="256">
        <v>1</v>
      </c>
      <c r="H11" s="256">
        <v>1</v>
      </c>
      <c r="I11" s="14">
        <v>1.02</v>
      </c>
      <c r="J11" s="16">
        <v>1.05</v>
      </c>
      <c r="M11" s="1"/>
      <c r="N11" s="314" t="s">
        <v>311</v>
      </c>
      <c r="O11" s="288">
        <v>-0.39500000000000002</v>
      </c>
      <c r="P11" s="288">
        <v>-0.36979653906806298</v>
      </c>
      <c r="Q11" s="288">
        <v>-0.37873265991625399</v>
      </c>
      <c r="R11" s="282">
        <v>-0.36865555881490503</v>
      </c>
      <c r="S11" s="315">
        <v>-0.35</v>
      </c>
      <c r="T11" s="315">
        <v>-0.34974859509021</v>
      </c>
    </row>
    <row r="12" spans="1:20" ht="63" x14ac:dyDescent="0.4">
      <c r="A12" s="295" t="s">
        <v>307</v>
      </c>
      <c r="B12" s="300">
        <v>0.6</v>
      </c>
      <c r="C12" s="296"/>
      <c r="D12" s="297"/>
      <c r="E12" s="298"/>
      <c r="F12" s="299"/>
      <c r="G12" s="301">
        <v>0.63</v>
      </c>
      <c r="H12" s="302">
        <v>0.7</v>
      </c>
      <c r="I12" s="293"/>
      <c r="J12" s="294"/>
      <c r="M12" s="1"/>
      <c r="N12" s="314" t="s">
        <v>312</v>
      </c>
      <c r="O12" s="288">
        <v>-0.27800000000000002</v>
      </c>
      <c r="P12" s="288">
        <v>-0.309</v>
      </c>
      <c r="Q12" s="288">
        <v>-0.32900000000000001</v>
      </c>
      <c r="R12" s="282">
        <v>-0.30161405241169797</v>
      </c>
      <c r="S12" s="315">
        <v>-0.28699999999999998</v>
      </c>
      <c r="T12" s="315">
        <v>-0.30507026205848797</v>
      </c>
    </row>
    <row r="13" spans="1:20" s="2" customFormat="1" ht="33.75" customHeight="1" x14ac:dyDescent="0.3">
      <c r="A13" s="69" t="s">
        <v>3</v>
      </c>
      <c r="B13" s="70">
        <v>78</v>
      </c>
      <c r="C13" s="339" t="s">
        <v>36</v>
      </c>
      <c r="D13" s="340"/>
      <c r="E13" s="339" t="s">
        <v>36</v>
      </c>
      <c r="F13" s="340"/>
      <c r="G13" s="85" t="s">
        <v>10</v>
      </c>
      <c r="H13" s="86" t="s">
        <v>10</v>
      </c>
      <c r="I13" s="71">
        <v>53.861725808019877</v>
      </c>
      <c r="J13" s="72">
        <v>38.535345241605171</v>
      </c>
      <c r="N13" s="314" t="s">
        <v>313</v>
      </c>
      <c r="O13" s="288">
        <v>-0.228884767380685</v>
      </c>
      <c r="P13" s="288">
        <v>-0.16028955163768699</v>
      </c>
      <c r="Q13" s="288">
        <v>-0.24196375754469501</v>
      </c>
      <c r="R13" s="282">
        <v>-0.235036310964787</v>
      </c>
      <c r="S13" s="315">
        <v>-0.23100000000000001</v>
      </c>
      <c r="T13" s="315">
        <v>-0.31304347826086998</v>
      </c>
    </row>
    <row r="14" spans="1:20" s="2" customFormat="1" ht="33.75" customHeight="1" x14ac:dyDescent="0.3">
      <c r="A14" s="69" t="s">
        <v>261</v>
      </c>
      <c r="B14" s="70">
        <v>0</v>
      </c>
      <c r="C14" s="73">
        <v>0</v>
      </c>
      <c r="D14" s="74">
        <v>0</v>
      </c>
      <c r="E14" s="73">
        <v>0</v>
      </c>
      <c r="F14" s="193">
        <v>0</v>
      </c>
      <c r="G14" s="194">
        <v>0.1</v>
      </c>
      <c r="H14" s="195">
        <v>0.6</v>
      </c>
      <c r="I14" s="196">
        <v>0.1</v>
      </c>
      <c r="J14" s="197">
        <v>0.6</v>
      </c>
      <c r="N14" s="314" t="s">
        <v>314</v>
      </c>
      <c r="O14" s="288">
        <v>-0.309</v>
      </c>
      <c r="P14" s="288">
        <v>-0.24433911093691499</v>
      </c>
      <c r="Q14" s="288">
        <v>-0.26074474458833102</v>
      </c>
      <c r="R14" s="282">
        <v>-0.27548700011268301</v>
      </c>
      <c r="S14" s="315">
        <v>-0.27900000000000003</v>
      </c>
      <c r="T14" s="315">
        <v>-0.284351145038168</v>
      </c>
    </row>
    <row r="15" spans="1:20" ht="21" x14ac:dyDescent="0.4">
      <c r="A15" s="12" t="s">
        <v>260</v>
      </c>
      <c r="B15" s="59"/>
      <c r="C15" s="335"/>
      <c r="D15" s="336"/>
      <c r="E15" s="335"/>
      <c r="F15" s="336"/>
      <c r="G15" s="337"/>
      <c r="H15" s="338"/>
      <c r="I15" s="335"/>
      <c r="J15" s="336"/>
      <c r="K15" s="6"/>
      <c r="L15" s="5"/>
      <c r="N15" s="314" t="s">
        <v>315</v>
      </c>
      <c r="O15" s="288">
        <v>-0.40199818911455998</v>
      </c>
      <c r="P15" s="288">
        <v>-0.37017309150297001</v>
      </c>
      <c r="Q15" s="288">
        <v>-0.36100633673233101</v>
      </c>
      <c r="R15" s="282">
        <v>-0.37832397666402601</v>
      </c>
      <c r="S15" s="315">
        <v>-0.38519999999999999</v>
      </c>
      <c r="T15" s="315">
        <v>-0.37324226597026899</v>
      </c>
    </row>
    <row r="16" spans="1:20" ht="21" x14ac:dyDescent="0.35">
      <c r="A16" s="52" t="s">
        <v>38</v>
      </c>
      <c r="B16" s="60">
        <v>0</v>
      </c>
      <c r="C16" s="45">
        <v>10</v>
      </c>
      <c r="D16" s="46">
        <v>30</v>
      </c>
      <c r="E16" s="45">
        <v>37</v>
      </c>
      <c r="F16" s="46">
        <v>148</v>
      </c>
      <c r="G16" s="87">
        <f>5*10</f>
        <v>50</v>
      </c>
      <c r="H16" s="88">
        <f>5*30</f>
        <v>150</v>
      </c>
      <c r="I16" s="21">
        <v>348.13436694247298</v>
      </c>
      <c r="J16" s="22">
        <v>2289.3652659605391</v>
      </c>
      <c r="K16" s="6"/>
      <c r="L16" s="5"/>
      <c r="N16" s="314" t="s">
        <v>316</v>
      </c>
      <c r="O16" s="288">
        <v>-0.52600000000000002</v>
      </c>
      <c r="P16" s="288">
        <v>-0.48512636401356601</v>
      </c>
      <c r="Q16" s="288">
        <v>-0.46129003941687402</v>
      </c>
      <c r="R16" s="282">
        <v>-0.48607847794166298</v>
      </c>
      <c r="S16" s="315">
        <v>-0.5</v>
      </c>
      <c r="T16" s="315">
        <v>-0.457975986277873</v>
      </c>
    </row>
    <row r="17" spans="1:20" ht="21" x14ac:dyDescent="0.4">
      <c r="A17" s="52" t="s">
        <v>39</v>
      </c>
      <c r="B17" s="60">
        <v>0</v>
      </c>
      <c r="C17" s="45">
        <v>10</v>
      </c>
      <c r="D17" s="46">
        <v>30</v>
      </c>
      <c r="E17" s="45">
        <v>37</v>
      </c>
      <c r="F17" s="46">
        <v>148</v>
      </c>
      <c r="G17" s="89">
        <f>5*10</f>
        <v>50</v>
      </c>
      <c r="H17" s="90">
        <f>5*30</f>
        <v>150</v>
      </c>
      <c r="I17" s="21">
        <v>143.51548988736172</v>
      </c>
      <c r="J17" s="22">
        <v>874.58977402611265</v>
      </c>
      <c r="K17" s="6"/>
      <c r="L17" s="6"/>
      <c r="N17" s="314" t="s">
        <v>317</v>
      </c>
      <c r="O17" s="288">
        <v>-0.41099999999999998</v>
      </c>
      <c r="P17" s="288">
        <v>-0.35783474561814999</v>
      </c>
      <c r="Q17" s="288">
        <v>-0.37744169205585798</v>
      </c>
      <c r="R17" s="282">
        <v>-0.41935838655218599</v>
      </c>
      <c r="S17" s="315">
        <v>-0.48399999999999999</v>
      </c>
      <c r="T17" s="315">
        <v>-0.46651549508692403</v>
      </c>
    </row>
    <row r="18" spans="1:20" ht="57" x14ac:dyDescent="0.35">
      <c r="A18" s="52" t="s">
        <v>25</v>
      </c>
      <c r="B18" s="60">
        <v>734</v>
      </c>
      <c r="C18" s="331" t="s">
        <v>12</v>
      </c>
      <c r="D18" s="332"/>
      <c r="E18" s="45">
        <v>791</v>
      </c>
      <c r="F18" s="46">
        <v>818</v>
      </c>
      <c r="G18" s="91" t="s">
        <v>45</v>
      </c>
      <c r="H18" s="92" t="s">
        <v>46</v>
      </c>
      <c r="I18" s="21">
        <v>967.17151824565769</v>
      </c>
      <c r="J18" s="22">
        <v>1569.5978044713559</v>
      </c>
      <c r="L18" s="5"/>
      <c r="N18" s="316" t="s">
        <v>318</v>
      </c>
      <c r="O18" s="277">
        <v>-0.51600000000000001</v>
      </c>
      <c r="P18" s="277">
        <v>-0.50635883024787898</v>
      </c>
      <c r="Q18" s="288">
        <v>-0.59057185888430597</v>
      </c>
      <c r="R18" s="282">
        <v>-0.54726398891032002</v>
      </c>
      <c r="S18" s="317">
        <v>-0.55600000000000005</v>
      </c>
      <c r="T18" s="318">
        <v>-0.56738925541941598</v>
      </c>
    </row>
    <row r="19" spans="1:20" ht="21" x14ac:dyDescent="0.4">
      <c r="A19" s="51" t="s">
        <v>14</v>
      </c>
      <c r="B19" s="61">
        <v>2946</v>
      </c>
      <c r="C19" s="39">
        <v>3100</v>
      </c>
      <c r="D19" s="49">
        <v>3200</v>
      </c>
      <c r="E19" s="39">
        <v>2385.2352639687369</v>
      </c>
      <c r="F19" s="40">
        <v>6312.984989514016</v>
      </c>
      <c r="G19" s="79">
        <v>4800</v>
      </c>
      <c r="H19" s="80">
        <v>8600</v>
      </c>
      <c r="I19" s="21">
        <v>5918.2842380220409</v>
      </c>
      <c r="J19" s="22">
        <v>10406.205754366089</v>
      </c>
      <c r="K19" s="6"/>
      <c r="L19" s="5"/>
      <c r="N19" s="319" t="s">
        <v>319</v>
      </c>
      <c r="O19" s="307">
        <v>-0.38323536956190568</v>
      </c>
      <c r="P19" s="307">
        <v>-0.35036477912815372</v>
      </c>
      <c r="Q19" s="307">
        <v>-0.37509388614233119</v>
      </c>
      <c r="R19" s="307">
        <v>-0.37647721904653353</v>
      </c>
      <c r="S19" s="307">
        <v>-0.38402500000000001</v>
      </c>
      <c r="T19" s="307">
        <v>-0.38966706040027721</v>
      </c>
    </row>
    <row r="20" spans="1:20" ht="21" x14ac:dyDescent="0.4">
      <c r="A20" s="51" t="s">
        <v>15</v>
      </c>
      <c r="B20" s="62">
        <v>0.04</v>
      </c>
      <c r="C20" s="41">
        <v>7.0000000000000007E-2</v>
      </c>
      <c r="D20" s="42">
        <v>0.1</v>
      </c>
      <c r="E20" s="41">
        <v>0.08</v>
      </c>
      <c r="F20" s="42">
        <v>0.2</v>
      </c>
      <c r="G20" s="77">
        <v>0.19</v>
      </c>
      <c r="H20" s="78">
        <v>0.3</v>
      </c>
      <c r="I20" s="23">
        <v>0.15</v>
      </c>
      <c r="J20" s="24">
        <v>0.39</v>
      </c>
      <c r="K20" s="6"/>
      <c r="L20" s="5"/>
    </row>
    <row r="21" spans="1:20" ht="21" x14ac:dyDescent="0.35">
      <c r="A21" s="13" t="s">
        <v>28</v>
      </c>
      <c r="B21" s="63"/>
      <c r="C21" s="325"/>
      <c r="D21" s="326"/>
      <c r="E21" s="325"/>
      <c r="F21" s="326"/>
      <c r="G21" s="327"/>
      <c r="H21" s="328"/>
      <c r="I21" s="325"/>
      <c r="J21" s="326"/>
      <c r="K21" s="6"/>
      <c r="L21" s="5"/>
    </row>
    <row r="22" spans="1:20" ht="21" x14ac:dyDescent="0.35">
      <c r="A22" s="53" t="s">
        <v>33</v>
      </c>
      <c r="B22" s="66">
        <v>3932</v>
      </c>
      <c r="C22" s="27">
        <v>-0.03</v>
      </c>
      <c r="D22" s="28">
        <v>-0.11</v>
      </c>
      <c r="E22" s="27">
        <v>-0.06</v>
      </c>
      <c r="F22" s="28">
        <v>-0.26</v>
      </c>
      <c r="G22" s="93">
        <v>-0.13</v>
      </c>
      <c r="H22" s="94">
        <v>-0.34</v>
      </c>
      <c r="I22" s="25">
        <f>J22/3</f>
        <v>-0.15</v>
      </c>
      <c r="J22" s="26">
        <v>-0.45</v>
      </c>
      <c r="K22" s="6"/>
      <c r="L22" s="5"/>
    </row>
    <row r="23" spans="1:20" ht="21" x14ac:dyDescent="0.35">
      <c r="A23" s="53" t="s">
        <v>34</v>
      </c>
      <c r="B23" s="66">
        <v>3400</v>
      </c>
      <c r="C23" s="27">
        <v>-0.02</v>
      </c>
      <c r="D23" s="28">
        <v>-7.0000000000000007E-2</v>
      </c>
      <c r="E23" s="27">
        <v>-0.04</v>
      </c>
      <c r="F23" s="28">
        <v>-0.14000000000000001</v>
      </c>
      <c r="G23" s="93">
        <v>-0.11</v>
      </c>
      <c r="H23" s="94">
        <v>-0.24</v>
      </c>
      <c r="I23" s="25">
        <f t="shared" ref="I23:I30" si="1">J23/3</f>
        <v>-8.666666666666667E-2</v>
      </c>
      <c r="J23" s="26">
        <v>-0.26</v>
      </c>
      <c r="K23" s="6"/>
      <c r="L23" s="5"/>
    </row>
    <row r="24" spans="1:20" ht="21" x14ac:dyDescent="0.35">
      <c r="A24" s="53" t="s">
        <v>40</v>
      </c>
      <c r="B24" s="66">
        <v>7332</v>
      </c>
      <c r="C24" s="27">
        <v>-0.02</v>
      </c>
      <c r="D24" s="28">
        <v>-0.09</v>
      </c>
      <c r="E24" s="27">
        <v>-0.05</v>
      </c>
      <c r="F24" s="28">
        <v>-0.2</v>
      </c>
      <c r="G24" s="93">
        <v>-0.12</v>
      </c>
      <c r="H24" s="94">
        <v>-0.3</v>
      </c>
      <c r="I24" s="27">
        <v>-0.12</v>
      </c>
      <c r="J24" s="26">
        <v>-0.36</v>
      </c>
      <c r="K24" s="6"/>
      <c r="L24" s="5"/>
    </row>
    <row r="25" spans="1:20" ht="21" x14ac:dyDescent="0.4">
      <c r="A25" s="53" t="s">
        <v>30</v>
      </c>
      <c r="B25" s="67">
        <v>7439</v>
      </c>
      <c r="C25" s="27">
        <v>-0.05</v>
      </c>
      <c r="D25" s="28">
        <v>-0.18</v>
      </c>
      <c r="E25" s="27">
        <v>-0.11</v>
      </c>
      <c r="F25" s="28">
        <v>-0.33</v>
      </c>
      <c r="G25" s="93">
        <v>-0.1</v>
      </c>
      <c r="H25" s="94">
        <v>-0.3</v>
      </c>
      <c r="I25" s="27">
        <f t="shared" si="1"/>
        <v>-9.9999999999999992E-2</v>
      </c>
      <c r="J25" s="28">
        <v>-0.3</v>
      </c>
      <c r="L25" s="5"/>
    </row>
    <row r="26" spans="1:20" ht="21" x14ac:dyDescent="0.4">
      <c r="A26" s="53" t="s">
        <v>31</v>
      </c>
      <c r="B26" s="67">
        <v>154723</v>
      </c>
      <c r="C26" s="27">
        <v>0</v>
      </c>
      <c r="D26" s="28">
        <v>0</v>
      </c>
      <c r="E26" s="27">
        <v>-0.02</v>
      </c>
      <c r="F26" s="28">
        <v>-0.02</v>
      </c>
      <c r="G26" s="93" t="s">
        <v>35</v>
      </c>
      <c r="H26" s="94" t="s">
        <v>35</v>
      </c>
      <c r="I26" s="25">
        <f t="shared" si="1"/>
        <v>-6.6666666666666666E-2</v>
      </c>
      <c r="J26" s="26">
        <v>-0.2</v>
      </c>
      <c r="L26" s="5"/>
    </row>
    <row r="27" spans="1:20" ht="21" x14ac:dyDescent="0.35">
      <c r="A27" s="53" t="s">
        <v>32</v>
      </c>
      <c r="B27" s="66">
        <v>55581</v>
      </c>
      <c r="C27" s="27">
        <v>0</v>
      </c>
      <c r="D27" s="28">
        <v>0</v>
      </c>
      <c r="E27" s="27">
        <v>-0.01</v>
      </c>
      <c r="F27" s="28">
        <v>-0.01</v>
      </c>
      <c r="G27" s="93" t="s">
        <v>35</v>
      </c>
      <c r="H27" s="94" t="s">
        <v>35</v>
      </c>
      <c r="I27" s="27" t="s">
        <v>35</v>
      </c>
      <c r="J27" s="28" t="s">
        <v>35</v>
      </c>
      <c r="K27" s="6"/>
      <c r="L27" s="5"/>
    </row>
    <row r="28" spans="1:20" ht="21" x14ac:dyDescent="0.4">
      <c r="A28" s="53" t="s">
        <v>41</v>
      </c>
      <c r="B28" s="68">
        <v>1267</v>
      </c>
      <c r="C28" s="27">
        <v>-1.9731649565903675E-2</v>
      </c>
      <c r="D28" s="28">
        <v>-7.9715864246250989E-2</v>
      </c>
      <c r="E28" s="27">
        <v>-4.9999999999999933E-2</v>
      </c>
      <c r="F28" s="28">
        <v>-0.19999999999999996</v>
      </c>
      <c r="G28" s="93">
        <v>-4.9999999999999933E-2</v>
      </c>
      <c r="H28" s="94">
        <v>-0.19999999999999996</v>
      </c>
      <c r="I28" s="25">
        <f t="shared" si="1"/>
        <v>-3.3333333333333333E-2</v>
      </c>
      <c r="J28" s="26">
        <v>-0.1</v>
      </c>
      <c r="L28" s="5"/>
    </row>
    <row r="29" spans="1:20" ht="21" x14ac:dyDescent="0.4">
      <c r="A29" s="53" t="s">
        <v>42</v>
      </c>
      <c r="B29" s="67">
        <v>3300</v>
      </c>
      <c r="C29" s="27">
        <v>-0.02</v>
      </c>
      <c r="D29" s="28">
        <v>-0.08</v>
      </c>
      <c r="E29" s="27">
        <v>-0.03</v>
      </c>
      <c r="F29" s="28">
        <v>-0.1</v>
      </c>
      <c r="G29" s="93">
        <v>-0.03</v>
      </c>
      <c r="H29" s="94">
        <v>-0.1</v>
      </c>
      <c r="I29" s="27">
        <f t="shared" si="1"/>
        <v>-3.3333333333333333E-2</v>
      </c>
      <c r="J29" s="28">
        <v>-0.1</v>
      </c>
      <c r="L29" s="5"/>
    </row>
    <row r="30" spans="1:20" ht="21" x14ac:dyDescent="0.35">
      <c r="A30" s="53" t="s">
        <v>43</v>
      </c>
      <c r="B30" s="66">
        <v>924.51800000000003</v>
      </c>
      <c r="C30" s="27">
        <v>0</v>
      </c>
      <c r="D30" s="28">
        <v>0</v>
      </c>
      <c r="E30" s="27">
        <v>-0.16</v>
      </c>
      <c r="F30" s="28">
        <v>-0.52</v>
      </c>
      <c r="G30" s="93">
        <v>-7.735706606036874E-2</v>
      </c>
      <c r="H30" s="94">
        <v>-0.21364429897524984</v>
      </c>
      <c r="I30" s="25">
        <f t="shared" si="1"/>
        <v>-0.13333333333333333</v>
      </c>
      <c r="J30" s="26">
        <v>-0.4</v>
      </c>
      <c r="L30" s="5"/>
    </row>
    <row r="31" spans="1:20" ht="21" x14ac:dyDescent="0.4">
      <c r="A31" s="53" t="s">
        <v>22</v>
      </c>
      <c r="B31" s="55">
        <v>0.27999999999999997</v>
      </c>
      <c r="C31" s="41">
        <v>0.24</v>
      </c>
      <c r="D31" s="42">
        <v>0.2</v>
      </c>
      <c r="E31" s="15">
        <v>0.28999999999999998</v>
      </c>
      <c r="F31" s="16">
        <v>0.45</v>
      </c>
      <c r="G31" s="77">
        <v>0.45</v>
      </c>
      <c r="H31" s="78">
        <v>0.64</v>
      </c>
      <c r="I31" s="29">
        <v>0.45</v>
      </c>
      <c r="J31" s="30">
        <v>0.77</v>
      </c>
      <c r="K31" s="6"/>
      <c r="L31" s="5"/>
    </row>
    <row r="32" spans="1:20" ht="21" x14ac:dyDescent="0.4">
      <c r="A32" s="53" t="s">
        <v>23</v>
      </c>
      <c r="B32" s="55">
        <v>0.28000000000000003</v>
      </c>
      <c r="C32" s="41">
        <v>0.28000000000000003</v>
      </c>
      <c r="D32" s="42">
        <v>0.28000000000000003</v>
      </c>
      <c r="E32" s="15">
        <v>0.16999999999999993</v>
      </c>
      <c r="F32" s="16">
        <v>0.11000000000000004</v>
      </c>
      <c r="G32" s="77">
        <v>0.28000000000000003</v>
      </c>
      <c r="H32" s="78">
        <v>0.2</v>
      </c>
      <c r="I32" s="31">
        <v>0.2</v>
      </c>
      <c r="J32" s="30">
        <v>0.1</v>
      </c>
      <c r="K32" s="6"/>
      <c r="L32" s="5"/>
    </row>
    <row r="33" spans="1:12" ht="21" x14ac:dyDescent="0.4">
      <c r="A33" s="53" t="s">
        <v>24</v>
      </c>
      <c r="B33" s="55">
        <v>0.44</v>
      </c>
      <c r="C33" s="41">
        <v>0.48</v>
      </c>
      <c r="D33" s="42">
        <v>0.52</v>
      </c>
      <c r="E33" s="15">
        <v>0.54</v>
      </c>
      <c r="F33" s="16">
        <v>0.44</v>
      </c>
      <c r="G33" s="77">
        <v>0.27</v>
      </c>
      <c r="H33" s="78">
        <v>0.16</v>
      </c>
      <c r="I33" s="31">
        <v>0.35</v>
      </c>
      <c r="J33" s="30">
        <v>0.13</v>
      </c>
      <c r="K33" s="6"/>
      <c r="L33" s="5"/>
    </row>
    <row r="34" spans="1:12" ht="42" x14ac:dyDescent="0.35">
      <c r="A34" s="53" t="s">
        <v>21</v>
      </c>
      <c r="B34" s="64">
        <v>0.05</v>
      </c>
      <c r="C34" s="29">
        <v>0.1</v>
      </c>
      <c r="D34" s="32">
        <v>0.2</v>
      </c>
      <c r="E34" s="29">
        <v>0.3</v>
      </c>
      <c r="F34" s="43">
        <v>0.8</v>
      </c>
      <c r="G34" s="95">
        <v>0.25</v>
      </c>
      <c r="H34" s="96">
        <v>0.8</v>
      </c>
      <c r="I34" s="29">
        <v>0.25</v>
      </c>
      <c r="J34" s="32">
        <v>0.8</v>
      </c>
      <c r="K34" s="6"/>
      <c r="L34" s="5"/>
    </row>
    <row r="35" spans="1:12" ht="21" x14ac:dyDescent="0.4">
      <c r="A35" s="51" t="s">
        <v>19</v>
      </c>
      <c r="B35" s="55">
        <v>0.32</v>
      </c>
      <c r="C35" s="15">
        <v>0.37</v>
      </c>
      <c r="D35" s="16">
        <v>0.41</v>
      </c>
      <c r="E35" s="15">
        <v>0.39</v>
      </c>
      <c r="F35" s="16">
        <v>0.6</v>
      </c>
      <c r="G35" s="77">
        <v>0.39</v>
      </c>
      <c r="H35" s="78">
        <v>0.6</v>
      </c>
      <c r="I35" s="15">
        <v>0.39</v>
      </c>
      <c r="J35" s="16">
        <v>0.6</v>
      </c>
      <c r="K35" s="6"/>
      <c r="L35" s="5"/>
    </row>
    <row r="36" spans="1:12" ht="21" x14ac:dyDescent="0.4">
      <c r="A36" s="53" t="s">
        <v>20</v>
      </c>
      <c r="B36" s="55">
        <v>0.04</v>
      </c>
      <c r="C36" s="41">
        <v>0.05</v>
      </c>
      <c r="D36" s="42">
        <v>0.08</v>
      </c>
      <c r="E36" s="15">
        <v>7.0000000000000007E-2</v>
      </c>
      <c r="F36" s="16">
        <v>0.16</v>
      </c>
      <c r="G36" s="77">
        <v>7.0000000000000007E-2</v>
      </c>
      <c r="H36" s="78">
        <v>0.16</v>
      </c>
      <c r="I36" s="15">
        <v>7.0000000000000007E-2</v>
      </c>
      <c r="J36" s="16">
        <v>0.16</v>
      </c>
      <c r="K36" s="6"/>
      <c r="L36" s="5"/>
    </row>
    <row r="37" spans="1:12" ht="21" x14ac:dyDescent="0.4">
      <c r="A37" s="53" t="s">
        <v>16</v>
      </c>
      <c r="B37" s="62">
        <v>0.05</v>
      </c>
      <c r="C37" s="41">
        <v>0.09</v>
      </c>
      <c r="D37" s="42">
        <v>0.2</v>
      </c>
      <c r="E37" s="41">
        <v>0.14000000000000001</v>
      </c>
      <c r="F37" s="42">
        <v>0.4</v>
      </c>
      <c r="G37" s="95">
        <v>0.21666666666666665</v>
      </c>
      <c r="H37" s="78">
        <v>0.8</v>
      </c>
      <c r="I37" s="33">
        <v>0.22</v>
      </c>
      <c r="J37" s="19">
        <v>0.55000000000000004</v>
      </c>
    </row>
    <row r="38" spans="1:12" ht="18" x14ac:dyDescent="0.35">
      <c r="A38" s="7"/>
      <c r="B38" s="9"/>
      <c r="C38" s="9"/>
      <c r="D38" s="10"/>
      <c r="E38" s="9"/>
      <c r="F38" s="8"/>
      <c r="G38" s="97"/>
    </row>
  </sheetData>
  <mergeCells count="20">
    <mergeCell ref="B1:B2"/>
    <mergeCell ref="G1:H1"/>
    <mergeCell ref="C1:D1"/>
    <mergeCell ref="E1:F1"/>
    <mergeCell ref="C3:D3"/>
    <mergeCell ref="E3:F3"/>
    <mergeCell ref="G3:H3"/>
    <mergeCell ref="C21:D21"/>
    <mergeCell ref="E21:F21"/>
    <mergeCell ref="G21:H21"/>
    <mergeCell ref="I21:J21"/>
    <mergeCell ref="I1:J1"/>
    <mergeCell ref="C18:D18"/>
    <mergeCell ref="I3:J3"/>
    <mergeCell ref="C15:D15"/>
    <mergeCell ref="E15:F15"/>
    <mergeCell ref="G15:H15"/>
    <mergeCell ref="I15:J15"/>
    <mergeCell ref="C13:D13"/>
    <mergeCell ref="E13:F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P136"/>
  <sheetViews>
    <sheetView zoomScaleNormal="100" workbookViewId="0">
      <selection activeCell="J40" sqref="J40"/>
    </sheetView>
  </sheetViews>
  <sheetFormatPr baseColWidth="10" defaultRowHeight="15.6" x14ac:dyDescent="0.3"/>
  <cols>
    <col min="2" max="2" width="22.296875" customWidth="1"/>
    <col min="3" max="3" width="11.19921875" customWidth="1"/>
    <col min="13" max="13" width="16.796875" customWidth="1"/>
    <col min="14" max="14" width="20.19921875" customWidth="1"/>
    <col min="15" max="15" width="19.69921875" customWidth="1"/>
    <col min="16" max="16" width="20" customWidth="1"/>
  </cols>
  <sheetData>
    <row r="2" spans="2:11" ht="46.8" x14ac:dyDescent="0.3">
      <c r="B2" s="99" t="s">
        <v>47</v>
      </c>
      <c r="C2" s="100" t="s">
        <v>48</v>
      </c>
      <c r="D2" s="101" t="s">
        <v>49</v>
      </c>
      <c r="E2" s="100" t="s">
        <v>50</v>
      </c>
      <c r="F2" s="101" t="s">
        <v>51</v>
      </c>
      <c r="G2" s="100" t="s">
        <v>52</v>
      </c>
      <c r="H2" s="101" t="s">
        <v>49</v>
      </c>
      <c r="I2" s="100" t="s">
        <v>53</v>
      </c>
      <c r="J2" s="101" t="s">
        <v>51</v>
      </c>
      <c r="K2" s="100" t="s">
        <v>54</v>
      </c>
    </row>
    <row r="3" spans="2:11" x14ac:dyDescent="0.3">
      <c r="B3" s="102" t="s">
        <v>1</v>
      </c>
      <c r="C3" s="103">
        <v>132.5</v>
      </c>
      <c r="D3" s="104">
        <f>E3/$C3-1</f>
        <v>0.13266037735849068</v>
      </c>
      <c r="E3" s="103">
        <v>150.07750000000001</v>
      </c>
      <c r="F3" s="104">
        <f>G3/$C3-1</f>
        <v>0.32532075471698119</v>
      </c>
      <c r="G3" s="103">
        <v>175.60500000000002</v>
      </c>
      <c r="H3" s="104">
        <f>I3/$C3-1</f>
        <v>3.0000000000000027E-2</v>
      </c>
      <c r="I3" s="103">
        <v>136.47499999999999</v>
      </c>
      <c r="J3" s="104">
        <f>K3/$C3-1</f>
        <v>9.000000000000008E-2</v>
      </c>
      <c r="K3" s="103">
        <v>144.42500000000001</v>
      </c>
    </row>
    <row r="4" spans="2:11" x14ac:dyDescent="0.3">
      <c r="B4" s="102" t="s">
        <v>0</v>
      </c>
      <c r="C4" s="103">
        <v>232</v>
      </c>
      <c r="D4" s="104">
        <f t="shared" ref="D4:D14" si="0">E4/$C4-1</f>
        <v>7.4181034482758701E-2</v>
      </c>
      <c r="E4" s="103">
        <v>249.21</v>
      </c>
      <c r="F4" s="104">
        <f t="shared" ref="F4:F14" si="1">G4/$C4-1</f>
        <v>0.18202586206896565</v>
      </c>
      <c r="G4" s="103">
        <v>274.23</v>
      </c>
      <c r="H4" s="104">
        <f t="shared" ref="H4:H14" si="2">I4/$C4-1</f>
        <v>1.6831896551724235E-2</v>
      </c>
      <c r="I4" s="103">
        <v>235.90500000000003</v>
      </c>
      <c r="J4" s="104">
        <f t="shared" ref="J4:J14" si="3">K4/$C4-1</f>
        <v>5.0495689655172482E-2</v>
      </c>
      <c r="K4" s="103">
        <v>243.715</v>
      </c>
    </row>
    <row r="5" spans="2:11" x14ac:dyDescent="0.3">
      <c r="B5" s="102" t="s">
        <v>55</v>
      </c>
      <c r="C5" s="103">
        <v>17</v>
      </c>
      <c r="D5" s="104">
        <f t="shared" si="0"/>
        <v>1.8832352941176471</v>
      </c>
      <c r="E5" s="103">
        <v>49.015000000000001</v>
      </c>
      <c r="F5" s="104">
        <f t="shared" si="1"/>
        <v>4.6294117647058819</v>
      </c>
      <c r="G5" s="103">
        <v>95.699999999999989</v>
      </c>
      <c r="H5" s="104">
        <f t="shared" si="2"/>
        <v>0.43147058823529427</v>
      </c>
      <c r="I5" s="103">
        <v>24.335000000000001</v>
      </c>
      <c r="J5" s="104">
        <f t="shared" si="3"/>
        <v>1.2944117647058819</v>
      </c>
      <c r="K5" s="103">
        <v>39.004999999999995</v>
      </c>
    </row>
    <row r="6" spans="2:11" x14ac:dyDescent="0.3">
      <c r="B6" s="102" t="s">
        <v>56</v>
      </c>
      <c r="C6" s="103">
        <v>250</v>
      </c>
      <c r="D6" s="104">
        <f t="shared" si="0"/>
        <v>-0.11095999999999995</v>
      </c>
      <c r="E6" s="103">
        <v>222.26000000000002</v>
      </c>
      <c r="F6" s="104">
        <f t="shared" si="1"/>
        <v>-0.27311999999999992</v>
      </c>
      <c r="G6" s="103">
        <v>181.72000000000003</v>
      </c>
      <c r="H6" s="104">
        <f t="shared" si="2"/>
        <v>-2.5600000000000067E-2</v>
      </c>
      <c r="I6" s="103">
        <v>243.6</v>
      </c>
      <c r="J6" s="104">
        <f t="shared" si="3"/>
        <v>-7.680000000000009E-2</v>
      </c>
      <c r="K6" s="103">
        <v>230.79999999999998</v>
      </c>
    </row>
    <row r="7" spans="2:11" x14ac:dyDescent="0.3">
      <c r="B7" s="102" t="s">
        <v>57</v>
      </c>
      <c r="C7" s="103">
        <v>12</v>
      </c>
      <c r="D7" s="104">
        <f t="shared" si="0"/>
        <v>1.0797916666666665</v>
      </c>
      <c r="E7" s="103">
        <v>24.9575</v>
      </c>
      <c r="F7" s="104">
        <f t="shared" si="1"/>
        <v>2.6579166666666665</v>
      </c>
      <c r="G7" s="103">
        <v>43.894999999999996</v>
      </c>
      <c r="H7" s="104">
        <f t="shared" si="2"/>
        <v>0.24916666666666676</v>
      </c>
      <c r="I7" s="103">
        <v>14.99</v>
      </c>
      <c r="J7" s="104">
        <f t="shared" si="3"/>
        <v>0.74749999999999983</v>
      </c>
      <c r="K7" s="103">
        <v>20.97</v>
      </c>
    </row>
    <row r="8" spans="2:11" x14ac:dyDescent="0.3">
      <c r="B8" s="102" t="s">
        <v>44</v>
      </c>
      <c r="C8" s="103">
        <v>30.5</v>
      </c>
      <c r="D8" s="104">
        <f t="shared" si="0"/>
        <v>-4.3606557377049104E-2</v>
      </c>
      <c r="E8" s="103">
        <v>29.17</v>
      </c>
      <c r="F8" s="104">
        <f t="shared" si="1"/>
        <v>-0.10655737704918034</v>
      </c>
      <c r="G8" s="103">
        <v>27.25</v>
      </c>
      <c r="H8" s="104">
        <f t="shared" si="2"/>
        <v>-9.6721311475409522E-3</v>
      </c>
      <c r="I8" s="103">
        <v>30.205000000000002</v>
      </c>
      <c r="J8" s="104">
        <f t="shared" si="3"/>
        <v>-2.9016393442622967E-2</v>
      </c>
      <c r="K8" s="103">
        <v>29.614999999999998</v>
      </c>
    </row>
    <row r="9" spans="2:11" x14ac:dyDescent="0.3">
      <c r="B9" s="102" t="s">
        <v>58</v>
      </c>
      <c r="C9" s="103">
        <v>100.5</v>
      </c>
      <c r="D9" s="104">
        <f t="shared" si="0"/>
        <v>-0.11731343283582085</v>
      </c>
      <c r="E9" s="103">
        <v>88.710000000000008</v>
      </c>
      <c r="F9" s="104">
        <f t="shared" si="1"/>
        <v>-0.28865671641791035</v>
      </c>
      <c r="G9" s="103">
        <v>71.490000000000009</v>
      </c>
      <c r="H9" s="104">
        <f t="shared" si="2"/>
        <v>-2.7014925373134324E-2</v>
      </c>
      <c r="I9" s="103">
        <v>97.784999999999997</v>
      </c>
      <c r="J9" s="104">
        <f t="shared" si="3"/>
        <v>-8.1044776119403084E-2</v>
      </c>
      <c r="K9" s="103">
        <v>92.35499999999999</v>
      </c>
    </row>
    <row r="10" spans="2:11" x14ac:dyDescent="0.3">
      <c r="B10" s="102" t="s">
        <v>59</v>
      </c>
      <c r="C10" s="103">
        <v>30</v>
      </c>
      <c r="D10" s="104">
        <f t="shared" si="0"/>
        <v>6.4999999999999503E-3</v>
      </c>
      <c r="E10" s="103">
        <v>30.194999999999997</v>
      </c>
      <c r="F10" s="104">
        <f t="shared" si="1"/>
        <v>1.6000000000000014E-2</v>
      </c>
      <c r="G10" s="103">
        <v>30.48</v>
      </c>
      <c r="H10" s="104">
        <f t="shared" si="2"/>
        <v>1.5000000000000568E-3</v>
      </c>
      <c r="I10" s="103">
        <v>30.045000000000002</v>
      </c>
      <c r="J10" s="104">
        <f t="shared" si="3"/>
        <v>4.4999999999999485E-3</v>
      </c>
      <c r="K10" s="103">
        <v>30.134999999999998</v>
      </c>
    </row>
    <row r="11" spans="2:11" x14ac:dyDescent="0.3">
      <c r="B11" s="102" t="s">
        <v>2</v>
      </c>
      <c r="C11" s="105">
        <v>14</v>
      </c>
      <c r="D11" s="104">
        <f t="shared" si="0"/>
        <v>8.357142857142863E-2</v>
      </c>
      <c r="E11" s="103">
        <v>15.17</v>
      </c>
      <c r="F11" s="104">
        <f t="shared" si="1"/>
        <v>0.20500000000000007</v>
      </c>
      <c r="G11" s="103">
        <v>16.87</v>
      </c>
      <c r="H11" s="104">
        <f t="shared" si="2"/>
        <v>1.8928571428571406E-2</v>
      </c>
      <c r="I11" s="103">
        <v>14.264999999999999</v>
      </c>
      <c r="J11" s="104">
        <f t="shared" si="3"/>
        <v>5.6785714285714217E-2</v>
      </c>
      <c r="K11" s="103">
        <v>14.794999999999998</v>
      </c>
    </row>
    <row r="12" spans="2:11" x14ac:dyDescent="0.3">
      <c r="B12" s="102" t="s">
        <v>60</v>
      </c>
      <c r="C12" s="103">
        <v>220.5</v>
      </c>
      <c r="D12" s="104">
        <f t="shared" si="0"/>
        <v>2.3662131519274432E-2</v>
      </c>
      <c r="E12" s="103">
        <v>225.71750000000003</v>
      </c>
      <c r="F12" s="104">
        <f t="shared" si="1"/>
        <v>5.8117913832199442E-2</v>
      </c>
      <c r="G12" s="103">
        <v>233.315</v>
      </c>
      <c r="H12" s="104">
        <f t="shared" si="2"/>
        <v>5.3968253968252888E-3</v>
      </c>
      <c r="I12" s="103">
        <v>221.69</v>
      </c>
      <c r="J12" s="104">
        <f t="shared" si="3"/>
        <v>1.6190476190476089E-2</v>
      </c>
      <c r="K12" s="103">
        <v>224.07</v>
      </c>
    </row>
    <row r="13" spans="2:11" x14ac:dyDescent="0.3">
      <c r="B13" s="102" t="s">
        <v>61</v>
      </c>
      <c r="C13" s="103">
        <v>21.5</v>
      </c>
      <c r="D13" s="104">
        <f t="shared" si="0"/>
        <v>4.4534883720930285E-2</v>
      </c>
      <c r="E13" s="103">
        <v>22.457500000000003</v>
      </c>
      <c r="F13" s="104">
        <f t="shared" si="1"/>
        <v>0.10953488372093023</v>
      </c>
      <c r="G13" s="103">
        <v>23.855</v>
      </c>
      <c r="H13" s="104">
        <f t="shared" si="2"/>
        <v>1.0232558139534831E-2</v>
      </c>
      <c r="I13" s="103">
        <v>21.72</v>
      </c>
      <c r="J13" s="104">
        <f t="shared" si="3"/>
        <v>3.0697674418604715E-2</v>
      </c>
      <c r="K13" s="103">
        <v>22.16</v>
      </c>
    </row>
    <row r="14" spans="2:11" x14ac:dyDescent="0.3">
      <c r="B14" s="102" t="s">
        <v>62</v>
      </c>
      <c r="C14" s="103">
        <v>93</v>
      </c>
      <c r="D14" s="104">
        <f t="shared" si="0"/>
        <v>-2.3655913978494647E-2</v>
      </c>
      <c r="E14" s="103">
        <v>90.8</v>
      </c>
      <c r="F14" s="104">
        <f t="shared" si="1"/>
        <v>-5.8064516129032295E-2</v>
      </c>
      <c r="G14" s="103">
        <v>87.6</v>
      </c>
      <c r="H14" s="104">
        <f t="shared" si="2"/>
        <v>-5.3763440860216116E-3</v>
      </c>
      <c r="I14" s="103">
        <v>92.499999999999986</v>
      </c>
      <c r="J14" s="104">
        <f t="shared" si="3"/>
        <v>-1.6129032258064502E-2</v>
      </c>
      <c r="K14" s="103">
        <v>91.5</v>
      </c>
    </row>
    <row r="15" spans="2:11" x14ac:dyDescent="0.3">
      <c r="C15" s="111">
        <f>SUM(C3:C14)</f>
        <v>1153.5</v>
      </c>
    </row>
    <row r="39" spans="2:16" ht="52.8" x14ac:dyDescent="0.3">
      <c r="B39" s="106" t="s">
        <v>109</v>
      </c>
      <c r="C39" s="107" t="s">
        <v>48</v>
      </c>
      <c r="D39" s="274" t="s">
        <v>50</v>
      </c>
      <c r="E39" s="274" t="s">
        <v>52</v>
      </c>
      <c r="F39" s="106" t="s">
        <v>53</v>
      </c>
      <c r="G39" s="106" t="s">
        <v>54</v>
      </c>
      <c r="H39" s="101" t="s">
        <v>335</v>
      </c>
      <c r="I39" s="101" t="s">
        <v>336</v>
      </c>
      <c r="M39" s="112" t="s">
        <v>110</v>
      </c>
      <c r="N39" s="113" t="s">
        <v>111</v>
      </c>
      <c r="O39" s="113" t="s">
        <v>112</v>
      </c>
      <c r="P39" s="113" t="s">
        <v>113</v>
      </c>
    </row>
    <row r="40" spans="2:16" x14ac:dyDescent="0.3">
      <c r="B40" s="108" t="s">
        <v>63</v>
      </c>
      <c r="C40" s="103">
        <v>168</v>
      </c>
      <c r="D40" s="134">
        <v>183.46</v>
      </c>
      <c r="E40" s="134">
        <v>205.93</v>
      </c>
      <c r="F40" s="103">
        <v>171.50500000000002</v>
      </c>
      <c r="G40" s="324">
        <v>178.51500000000001</v>
      </c>
      <c r="H40" s="269">
        <f>D40/C40-1</f>
        <v>9.2023809523809508E-2</v>
      </c>
      <c r="I40" s="269">
        <f>E40/C40-1</f>
        <v>0.22577380952380954</v>
      </c>
      <c r="M40" s="114">
        <v>2020</v>
      </c>
      <c r="N40" s="115">
        <v>1</v>
      </c>
      <c r="O40" s="114">
        <v>0</v>
      </c>
      <c r="P40" s="114">
        <v>0</v>
      </c>
    </row>
    <row r="41" spans="2:16" x14ac:dyDescent="0.3">
      <c r="B41" s="108" t="s">
        <v>64</v>
      </c>
      <c r="C41" s="103">
        <v>117.5</v>
      </c>
      <c r="D41" s="134">
        <v>133.315</v>
      </c>
      <c r="E41" s="134">
        <v>156.25</v>
      </c>
      <c r="F41" s="103">
        <v>121.06</v>
      </c>
      <c r="G41" s="324">
        <v>128.18</v>
      </c>
      <c r="H41" s="269">
        <f t="shared" ref="H41:H84" si="4">D41/C41-1</f>
        <v>0.134595744680851</v>
      </c>
      <c r="I41" s="269">
        <f t="shared" ref="I41:I85" si="5">E41/C41-1</f>
        <v>0.32978723404255317</v>
      </c>
      <c r="M41" s="271" t="s">
        <v>114</v>
      </c>
      <c r="N41" s="272">
        <f>1-O41-P41</f>
        <v>0.87</v>
      </c>
      <c r="O41" s="272">
        <v>8.5000000000000006E-2</v>
      </c>
      <c r="P41" s="272">
        <v>4.4999999999999998E-2</v>
      </c>
    </row>
    <row r="42" spans="2:16" x14ac:dyDescent="0.3">
      <c r="B42" s="108" t="s">
        <v>65</v>
      </c>
      <c r="C42" s="103">
        <v>1</v>
      </c>
      <c r="D42" s="134">
        <v>4.5825000000000005</v>
      </c>
      <c r="E42" s="134">
        <v>9.8350000000000009</v>
      </c>
      <c r="F42" s="103">
        <v>1.835</v>
      </c>
      <c r="G42" s="324">
        <v>3.5050000000000003</v>
      </c>
      <c r="H42" s="269">
        <f t="shared" si="4"/>
        <v>3.5825000000000005</v>
      </c>
      <c r="I42" s="269">
        <f t="shared" si="5"/>
        <v>8.8350000000000009</v>
      </c>
      <c r="M42" s="271" t="s">
        <v>115</v>
      </c>
      <c r="N42" s="272">
        <f>1-O42-P42</f>
        <v>0.68</v>
      </c>
      <c r="O42" s="272">
        <v>0.21</v>
      </c>
      <c r="P42" s="272">
        <v>0.11</v>
      </c>
    </row>
    <row r="43" spans="2:16" x14ac:dyDescent="0.3">
      <c r="B43" s="108" t="s">
        <v>66</v>
      </c>
      <c r="C43" s="103">
        <v>14</v>
      </c>
      <c r="D43" s="134">
        <v>12.18</v>
      </c>
      <c r="E43" s="134">
        <v>9.5200000000000014</v>
      </c>
      <c r="F43" s="103">
        <v>13.58</v>
      </c>
      <c r="G43" s="324">
        <v>12.739999999999998</v>
      </c>
      <c r="H43" s="269">
        <f t="shared" si="4"/>
        <v>-0.13</v>
      </c>
      <c r="I43" s="269">
        <f t="shared" si="5"/>
        <v>-0.31999999999999995</v>
      </c>
      <c r="M43" s="114" t="s">
        <v>116</v>
      </c>
      <c r="N43" s="117">
        <f>1-O43-P43</f>
        <v>0.97</v>
      </c>
      <c r="O43" s="117">
        <v>0.02</v>
      </c>
      <c r="P43" s="117">
        <v>0.01</v>
      </c>
    </row>
    <row r="44" spans="2:16" x14ac:dyDescent="0.3">
      <c r="B44" s="108" t="s">
        <v>67</v>
      </c>
      <c r="C44" s="103">
        <v>2.5</v>
      </c>
      <c r="D44" s="134">
        <v>4.0824999999999996</v>
      </c>
      <c r="E44" s="134">
        <v>6.3949999999999996</v>
      </c>
      <c r="F44" s="103">
        <v>2.8649999999999998</v>
      </c>
      <c r="G44" s="324">
        <v>3.5949999999999998</v>
      </c>
      <c r="H44" s="269">
        <f t="shared" si="4"/>
        <v>0.63299999999999979</v>
      </c>
      <c r="I44" s="269">
        <f t="shared" si="5"/>
        <v>1.5579999999999998</v>
      </c>
      <c r="M44" s="114" t="s">
        <v>117</v>
      </c>
      <c r="N44" s="116">
        <f>1-O44-P44</f>
        <v>0.90999999999999992</v>
      </c>
      <c r="O44" s="116">
        <v>0.06</v>
      </c>
      <c r="P44" s="116">
        <v>0.03</v>
      </c>
    </row>
    <row r="45" spans="2:16" x14ac:dyDescent="0.3">
      <c r="B45" s="108" t="s">
        <v>68</v>
      </c>
      <c r="C45" s="103">
        <v>141.5</v>
      </c>
      <c r="D45" s="134">
        <v>125.51</v>
      </c>
      <c r="E45" s="134">
        <v>102.14000000000001</v>
      </c>
      <c r="F45" s="103">
        <v>137.81</v>
      </c>
      <c r="G45" s="324">
        <v>130.43</v>
      </c>
      <c r="H45" s="269">
        <f t="shared" si="4"/>
        <v>-0.11300353356890458</v>
      </c>
      <c r="I45" s="269">
        <f t="shared" si="5"/>
        <v>-0.27816254416961117</v>
      </c>
    </row>
    <row r="46" spans="2:16" ht="91.2" x14ac:dyDescent="0.3">
      <c r="B46" s="108" t="s">
        <v>69</v>
      </c>
      <c r="C46" s="103">
        <v>13</v>
      </c>
      <c r="D46" s="134">
        <v>26</v>
      </c>
      <c r="E46" s="134">
        <v>44.99</v>
      </c>
      <c r="F46" s="103">
        <v>15.994999999999999</v>
      </c>
      <c r="G46" s="324">
        <v>21.984999999999996</v>
      </c>
      <c r="H46" s="269">
        <f t="shared" si="4"/>
        <v>1</v>
      </c>
      <c r="I46" s="269">
        <f t="shared" si="5"/>
        <v>2.4607692307692308</v>
      </c>
      <c r="M46" s="118" t="s">
        <v>118</v>
      </c>
      <c r="N46" s="119" t="s">
        <v>119</v>
      </c>
      <c r="O46" s="100" t="s">
        <v>120</v>
      </c>
    </row>
    <row r="47" spans="2:16" x14ac:dyDescent="0.3">
      <c r="B47" s="108" t="s">
        <v>70</v>
      </c>
      <c r="C47" s="103">
        <v>85</v>
      </c>
      <c r="D47" s="134">
        <v>73.95</v>
      </c>
      <c r="E47" s="134">
        <v>57.800000000000004</v>
      </c>
      <c r="F47" s="103">
        <v>82.45</v>
      </c>
      <c r="G47" s="324">
        <v>77.349999999999994</v>
      </c>
      <c r="H47" s="269">
        <f t="shared" si="4"/>
        <v>-0.13</v>
      </c>
      <c r="I47" s="269">
        <f t="shared" si="5"/>
        <v>-0.31999999999999995</v>
      </c>
      <c r="M47" s="114">
        <v>2020</v>
      </c>
      <c r="N47" s="120">
        <v>0</v>
      </c>
      <c r="O47" s="120">
        <v>0</v>
      </c>
    </row>
    <row r="48" spans="2:16" x14ac:dyDescent="0.3">
      <c r="B48" s="108" t="s">
        <v>71</v>
      </c>
      <c r="C48" s="103">
        <v>4</v>
      </c>
      <c r="D48" s="134">
        <v>23.015000000000001</v>
      </c>
      <c r="E48" s="134">
        <v>50.709999999999994</v>
      </c>
      <c r="F48" s="103">
        <v>8.34</v>
      </c>
      <c r="G48" s="324">
        <v>17.02</v>
      </c>
      <c r="H48" s="269">
        <f t="shared" si="4"/>
        <v>4.7537500000000001</v>
      </c>
      <c r="I48" s="269">
        <f t="shared" si="5"/>
        <v>11.677499999999998</v>
      </c>
      <c r="M48" s="271" t="s">
        <v>114</v>
      </c>
      <c r="N48" s="273">
        <v>0.11</v>
      </c>
      <c r="O48" s="273">
        <v>0.3</v>
      </c>
    </row>
    <row r="49" spans="2:15" x14ac:dyDescent="0.3">
      <c r="B49" s="108" t="s">
        <v>72</v>
      </c>
      <c r="C49" s="103">
        <v>20.5</v>
      </c>
      <c r="D49" s="134">
        <v>19.93</v>
      </c>
      <c r="E49" s="134">
        <v>19.100000000000001</v>
      </c>
      <c r="F49" s="103">
        <v>20.37</v>
      </c>
      <c r="G49" s="324">
        <v>20.11</v>
      </c>
      <c r="H49" s="269">
        <f t="shared" si="4"/>
        <v>-2.7804878048780513E-2</v>
      </c>
      <c r="I49" s="269">
        <f t="shared" si="5"/>
        <v>-6.8292682926829218E-2</v>
      </c>
      <c r="M49" s="271" t="s">
        <v>115</v>
      </c>
      <c r="N49" s="273">
        <v>0.21</v>
      </c>
      <c r="O49" s="273">
        <v>0.45</v>
      </c>
    </row>
    <row r="50" spans="2:15" x14ac:dyDescent="0.3">
      <c r="B50" s="108" t="s">
        <v>73</v>
      </c>
      <c r="C50" s="103">
        <v>3</v>
      </c>
      <c r="D50" s="134">
        <v>2.8699999999999997</v>
      </c>
      <c r="E50" s="134">
        <v>2.68</v>
      </c>
      <c r="F50" s="103">
        <v>2.97</v>
      </c>
      <c r="G50" s="324">
        <v>2.9099999999999997</v>
      </c>
      <c r="H50" s="269">
        <f t="shared" si="4"/>
        <v>-4.3333333333333446E-2</v>
      </c>
      <c r="I50" s="269">
        <f t="shared" si="5"/>
        <v>-0.10666666666666658</v>
      </c>
      <c r="M50" s="114" t="s">
        <v>116</v>
      </c>
      <c r="N50" s="121">
        <v>0.02</v>
      </c>
      <c r="O50" s="121">
        <v>0.1</v>
      </c>
    </row>
    <row r="51" spans="2:15" x14ac:dyDescent="0.3">
      <c r="B51" s="108" t="s">
        <v>74</v>
      </c>
      <c r="C51" s="103">
        <v>64</v>
      </c>
      <c r="D51" s="134">
        <v>65.75</v>
      </c>
      <c r="E51" s="134">
        <v>68.3</v>
      </c>
      <c r="F51" s="103">
        <v>64.399999999999991</v>
      </c>
      <c r="G51" s="324">
        <v>65.199999999999989</v>
      </c>
      <c r="H51" s="269">
        <f t="shared" si="4"/>
        <v>2.734375E-2</v>
      </c>
      <c r="I51" s="269">
        <f t="shared" si="5"/>
        <v>6.7187499999999956E-2</v>
      </c>
      <c r="M51" s="114" t="s">
        <v>117</v>
      </c>
      <c r="N51" s="121">
        <v>0.05</v>
      </c>
      <c r="O51" s="121">
        <v>0.15</v>
      </c>
    </row>
    <row r="52" spans="2:15" x14ac:dyDescent="0.3">
      <c r="B52" s="109" t="s">
        <v>75</v>
      </c>
      <c r="C52" s="110">
        <v>9.5</v>
      </c>
      <c r="D52" s="134">
        <v>20.875</v>
      </c>
      <c r="E52" s="134">
        <v>37.5</v>
      </c>
      <c r="F52" s="103">
        <v>12.125</v>
      </c>
      <c r="G52" s="324">
        <v>17.375</v>
      </c>
      <c r="H52" s="269">
        <f t="shared" si="4"/>
        <v>1.1973684210526314</v>
      </c>
      <c r="I52" s="269">
        <f t="shared" si="5"/>
        <v>2.9473684210526314</v>
      </c>
    </row>
    <row r="53" spans="2:15" x14ac:dyDescent="0.3">
      <c r="B53" s="108" t="s">
        <v>76</v>
      </c>
      <c r="C53" s="103">
        <v>30.5</v>
      </c>
      <c r="D53" s="134">
        <v>29.17</v>
      </c>
      <c r="E53" s="134">
        <v>27.25</v>
      </c>
      <c r="F53" s="103">
        <v>30.205000000000002</v>
      </c>
      <c r="G53" s="324">
        <v>29.614999999999998</v>
      </c>
      <c r="H53" s="269">
        <f t="shared" si="4"/>
        <v>-4.3606557377049104E-2</v>
      </c>
      <c r="I53" s="269">
        <f t="shared" si="5"/>
        <v>-0.10655737704918034</v>
      </c>
    </row>
    <row r="54" spans="2:15" x14ac:dyDescent="0.3">
      <c r="B54" s="108" t="s">
        <v>77</v>
      </c>
      <c r="C54" s="103">
        <v>38</v>
      </c>
      <c r="D54" s="134">
        <v>33.442500000000003</v>
      </c>
      <c r="E54" s="134">
        <v>26.785000000000004</v>
      </c>
      <c r="F54" s="103">
        <v>36.950000000000003</v>
      </c>
      <c r="G54" s="324">
        <v>34.85</v>
      </c>
      <c r="H54" s="269">
        <f t="shared" si="4"/>
        <v>-0.1199342105263157</v>
      </c>
      <c r="I54" s="269">
        <f t="shared" si="5"/>
        <v>-0.2951315789473683</v>
      </c>
    </row>
    <row r="55" spans="2:15" x14ac:dyDescent="0.3">
      <c r="B55" s="108" t="s">
        <v>78</v>
      </c>
      <c r="C55" s="103">
        <v>20</v>
      </c>
      <c r="D55" s="134">
        <v>17.399999999999999</v>
      </c>
      <c r="E55" s="134">
        <v>13.600000000000001</v>
      </c>
      <c r="F55" s="103">
        <v>19.399999999999999</v>
      </c>
      <c r="G55" s="324">
        <v>18.2</v>
      </c>
      <c r="H55" s="269">
        <f t="shared" si="4"/>
        <v>-0.13000000000000012</v>
      </c>
      <c r="I55" s="269">
        <f t="shared" si="5"/>
        <v>-0.31999999999999995</v>
      </c>
    </row>
    <row r="56" spans="2:15" x14ac:dyDescent="0.3">
      <c r="B56" s="108" t="s">
        <v>79</v>
      </c>
      <c r="C56" s="103">
        <v>2.5</v>
      </c>
      <c r="D56" s="134">
        <v>2.77</v>
      </c>
      <c r="E56" s="134">
        <v>3.17</v>
      </c>
      <c r="F56" s="103">
        <v>2.5649999999999999</v>
      </c>
      <c r="G56" s="324">
        <v>2.6949999999999998</v>
      </c>
      <c r="H56" s="269">
        <f t="shared" si="4"/>
        <v>0.1080000000000001</v>
      </c>
      <c r="I56" s="269">
        <f t="shared" si="5"/>
        <v>0.26800000000000002</v>
      </c>
    </row>
    <row r="57" spans="2:15" x14ac:dyDescent="0.3">
      <c r="B57" s="108" t="s">
        <v>80</v>
      </c>
      <c r="C57" s="103">
        <v>40</v>
      </c>
      <c r="D57" s="134">
        <v>35.097499999999997</v>
      </c>
      <c r="E57" s="134">
        <v>27.935000000000002</v>
      </c>
      <c r="F57" s="103">
        <v>38.869999999999997</v>
      </c>
      <c r="G57" s="324">
        <v>36.61</v>
      </c>
      <c r="H57" s="269">
        <f t="shared" si="4"/>
        <v>-0.12256250000000013</v>
      </c>
      <c r="I57" s="269">
        <f t="shared" si="5"/>
        <v>-0.30162499999999992</v>
      </c>
    </row>
    <row r="58" spans="2:15" x14ac:dyDescent="0.3">
      <c r="B58" s="108" t="s">
        <v>81</v>
      </c>
      <c r="C58" s="103">
        <v>7</v>
      </c>
      <c r="D58" s="134">
        <v>8.17</v>
      </c>
      <c r="E58" s="134">
        <v>9.8800000000000008</v>
      </c>
      <c r="F58" s="103">
        <v>7.2700000000000005</v>
      </c>
      <c r="G58" s="324">
        <v>7.8099999999999987</v>
      </c>
      <c r="H58" s="269">
        <f t="shared" si="4"/>
        <v>0.16714285714285704</v>
      </c>
      <c r="I58" s="269">
        <f t="shared" si="5"/>
        <v>0.41142857142857148</v>
      </c>
    </row>
    <row r="59" spans="2:15" x14ac:dyDescent="0.3">
      <c r="B59" s="108" t="s">
        <v>82</v>
      </c>
      <c r="C59" s="103">
        <v>18.5</v>
      </c>
      <c r="D59" s="134">
        <v>17.395</v>
      </c>
      <c r="E59" s="134">
        <v>15.78</v>
      </c>
      <c r="F59" s="103">
        <v>18.245000000000001</v>
      </c>
      <c r="G59" s="324">
        <v>17.734999999999999</v>
      </c>
      <c r="H59" s="269">
        <f t="shared" si="4"/>
        <v>-5.9729729729729786E-2</v>
      </c>
      <c r="I59" s="269">
        <f t="shared" si="5"/>
        <v>-0.14702702702702708</v>
      </c>
    </row>
    <row r="60" spans="2:15" x14ac:dyDescent="0.3">
      <c r="B60" s="108" t="s">
        <v>83</v>
      </c>
      <c r="C60" s="103">
        <v>4.5</v>
      </c>
      <c r="D60" s="134">
        <v>4.63</v>
      </c>
      <c r="E60" s="134">
        <v>4.82</v>
      </c>
      <c r="F60" s="103">
        <v>4.53</v>
      </c>
      <c r="G60" s="324">
        <v>4.59</v>
      </c>
      <c r="H60" s="269">
        <f t="shared" si="4"/>
        <v>2.8888888888888964E-2</v>
      </c>
      <c r="I60" s="269">
        <f t="shared" si="5"/>
        <v>7.1111111111111125E-2</v>
      </c>
    </row>
    <row r="61" spans="2:15" x14ac:dyDescent="0.3">
      <c r="B61" s="108" t="s">
        <v>84</v>
      </c>
      <c r="C61" s="103">
        <v>14</v>
      </c>
      <c r="D61" s="134">
        <v>15.17</v>
      </c>
      <c r="E61" s="134">
        <v>16.87</v>
      </c>
      <c r="F61" s="103">
        <v>14.264999999999999</v>
      </c>
      <c r="G61" s="324">
        <v>14.794999999999998</v>
      </c>
      <c r="H61" s="269">
        <f t="shared" si="4"/>
        <v>8.357142857142863E-2</v>
      </c>
      <c r="I61" s="269">
        <f t="shared" si="5"/>
        <v>0.20500000000000007</v>
      </c>
    </row>
    <row r="62" spans="2:15" x14ac:dyDescent="0.3">
      <c r="B62" s="108" t="s">
        <v>85</v>
      </c>
      <c r="C62" s="103">
        <v>79.5</v>
      </c>
      <c r="D62" s="134">
        <v>83.807500000000019</v>
      </c>
      <c r="E62" s="134">
        <v>90.084999999999994</v>
      </c>
      <c r="F62" s="103">
        <v>80.484999999999999</v>
      </c>
      <c r="G62" s="324">
        <v>82.454999999999998</v>
      </c>
      <c r="H62" s="269">
        <f t="shared" si="4"/>
        <v>5.4182389937107223E-2</v>
      </c>
      <c r="I62" s="269">
        <f t="shared" si="5"/>
        <v>0.13314465408805032</v>
      </c>
    </row>
    <row r="63" spans="2:15" x14ac:dyDescent="0.3">
      <c r="B63" s="108" t="s">
        <v>86</v>
      </c>
      <c r="C63" s="103">
        <v>32</v>
      </c>
      <c r="D63" s="134">
        <v>40.622499999999995</v>
      </c>
      <c r="E63" s="134">
        <v>53.215000000000003</v>
      </c>
      <c r="F63" s="103">
        <v>33.984999999999999</v>
      </c>
      <c r="G63" s="324">
        <v>37.954999999999998</v>
      </c>
      <c r="H63" s="269">
        <f t="shared" si="4"/>
        <v>0.26945312499999985</v>
      </c>
      <c r="I63" s="269">
        <f t="shared" si="5"/>
        <v>0.66296875000000011</v>
      </c>
    </row>
    <row r="64" spans="2:15" x14ac:dyDescent="0.3">
      <c r="B64" s="108" t="s">
        <v>87</v>
      </c>
      <c r="C64" s="103">
        <v>49</v>
      </c>
      <c r="D64" s="134">
        <v>42.63</v>
      </c>
      <c r="E64" s="134">
        <v>33.32</v>
      </c>
      <c r="F64" s="103">
        <v>47.53</v>
      </c>
      <c r="G64" s="324">
        <v>44.589999999999996</v>
      </c>
      <c r="H64" s="269">
        <f t="shared" si="4"/>
        <v>-0.12999999999999989</v>
      </c>
      <c r="I64" s="269">
        <f t="shared" si="5"/>
        <v>-0.31999999999999995</v>
      </c>
    </row>
    <row r="65" spans="2:9" x14ac:dyDescent="0.3">
      <c r="B65" s="108" t="s">
        <v>88</v>
      </c>
      <c r="C65" s="103">
        <v>17.5</v>
      </c>
      <c r="D65" s="134">
        <v>17.612499999999997</v>
      </c>
      <c r="E65" s="134">
        <v>17.774999999999999</v>
      </c>
      <c r="F65" s="103">
        <v>17.524999999999999</v>
      </c>
      <c r="G65" s="324">
        <v>17.574999999999999</v>
      </c>
      <c r="H65" s="269">
        <f t="shared" si="4"/>
        <v>6.4285714285712281E-3</v>
      </c>
      <c r="I65" s="269">
        <f t="shared" si="5"/>
        <v>1.571428571428557E-2</v>
      </c>
    </row>
    <row r="66" spans="2:9" x14ac:dyDescent="0.3">
      <c r="B66" s="108" t="s">
        <v>89</v>
      </c>
      <c r="C66" s="103">
        <v>42.5</v>
      </c>
      <c r="D66" s="134">
        <v>41.045000000000002</v>
      </c>
      <c r="E66" s="134">
        <v>38.92</v>
      </c>
      <c r="F66" s="103">
        <v>42.164999999999999</v>
      </c>
      <c r="G66" s="324">
        <v>41.494999999999997</v>
      </c>
      <c r="H66" s="269">
        <f t="shared" si="4"/>
        <v>-3.423529411764703E-2</v>
      </c>
      <c r="I66" s="269">
        <f t="shared" si="5"/>
        <v>-8.4235294117646964E-2</v>
      </c>
    </row>
    <row r="67" spans="2:9" x14ac:dyDescent="0.3">
      <c r="B67" s="108" t="s">
        <v>90</v>
      </c>
      <c r="C67" s="103">
        <v>0.5</v>
      </c>
      <c r="D67" s="134">
        <v>0.5</v>
      </c>
      <c r="E67" s="134">
        <v>0.5</v>
      </c>
      <c r="F67" s="103">
        <v>0.5</v>
      </c>
      <c r="G67" s="324">
        <v>0.5</v>
      </c>
      <c r="H67" s="269">
        <f t="shared" si="4"/>
        <v>0</v>
      </c>
      <c r="I67" s="269">
        <f t="shared" si="5"/>
        <v>0</v>
      </c>
    </row>
    <row r="68" spans="2:9" x14ac:dyDescent="0.3">
      <c r="B68" s="108" t="s">
        <v>91</v>
      </c>
      <c r="C68" s="103">
        <v>10</v>
      </c>
      <c r="D68" s="134">
        <v>9.7624999999999993</v>
      </c>
      <c r="E68" s="134">
        <v>9.4150000000000009</v>
      </c>
      <c r="F68" s="103">
        <v>9.9450000000000003</v>
      </c>
      <c r="G68" s="324">
        <v>9.8350000000000009</v>
      </c>
      <c r="H68" s="269">
        <f t="shared" si="4"/>
        <v>-2.3750000000000049E-2</v>
      </c>
      <c r="I68" s="269">
        <f t="shared" si="5"/>
        <v>-5.8499999999999885E-2</v>
      </c>
    </row>
    <row r="69" spans="2:9" x14ac:dyDescent="0.3">
      <c r="B69" s="108" t="s">
        <v>92</v>
      </c>
      <c r="C69" s="103">
        <v>0</v>
      </c>
      <c r="D69" s="134">
        <v>2.5575000000000001</v>
      </c>
      <c r="E69" s="134">
        <v>6.2949999999999999</v>
      </c>
      <c r="F69" s="103">
        <v>0.59000000000000008</v>
      </c>
      <c r="G69" s="324">
        <v>1.77</v>
      </c>
      <c r="H69" s="269" t="e">
        <f t="shared" si="4"/>
        <v>#DIV/0!</v>
      </c>
      <c r="I69" s="269" t="e">
        <f t="shared" si="5"/>
        <v>#DIV/0!</v>
      </c>
    </row>
    <row r="70" spans="2:9" x14ac:dyDescent="0.3">
      <c r="B70" s="108" t="s">
        <v>93</v>
      </c>
      <c r="C70" s="103">
        <v>11</v>
      </c>
      <c r="D70" s="134">
        <v>9.6375000000000011</v>
      </c>
      <c r="E70" s="134">
        <v>7.6450000000000005</v>
      </c>
      <c r="F70" s="103">
        <v>10.685</v>
      </c>
      <c r="G70" s="324">
        <v>10.055</v>
      </c>
      <c r="H70" s="269">
        <f t="shared" si="4"/>
        <v>-0.12386363636363629</v>
      </c>
      <c r="I70" s="269">
        <f t="shared" si="5"/>
        <v>-0.30499999999999994</v>
      </c>
    </row>
    <row r="71" spans="2:9" x14ac:dyDescent="0.3">
      <c r="B71" s="108" t="s">
        <v>94</v>
      </c>
      <c r="C71" s="103">
        <v>33.5</v>
      </c>
      <c r="D71" s="134">
        <v>32.424999999999997</v>
      </c>
      <c r="E71" s="134">
        <v>30.86</v>
      </c>
      <c r="F71" s="103">
        <v>33.255000000000003</v>
      </c>
      <c r="G71" s="324">
        <v>32.765000000000001</v>
      </c>
      <c r="H71" s="269">
        <f t="shared" si="4"/>
        <v>-3.2089552238806052E-2</v>
      </c>
      <c r="I71" s="269">
        <f t="shared" si="5"/>
        <v>-7.8805970149253723E-2</v>
      </c>
    </row>
    <row r="72" spans="2:9" x14ac:dyDescent="0.3">
      <c r="B72" s="108" t="s">
        <v>95</v>
      </c>
      <c r="C72" s="103">
        <v>93</v>
      </c>
      <c r="D72" s="134">
        <v>90.8</v>
      </c>
      <c r="E72" s="134">
        <v>87.6</v>
      </c>
      <c r="F72" s="103">
        <v>92.499999999999986</v>
      </c>
      <c r="G72" s="324">
        <v>91.5</v>
      </c>
      <c r="H72" s="269">
        <f t="shared" si="4"/>
        <v>-2.3655913978494647E-2</v>
      </c>
      <c r="I72" s="269">
        <f t="shared" si="5"/>
        <v>-5.8064516129032295E-2</v>
      </c>
    </row>
    <row r="73" spans="2:9" x14ac:dyDescent="0.3">
      <c r="B73" s="108" t="s">
        <v>96</v>
      </c>
      <c r="C73" s="103">
        <v>968</v>
      </c>
      <c r="D73" s="134">
        <v>964.17499999999995</v>
      </c>
      <c r="E73" s="134">
        <v>958.60000000000014</v>
      </c>
      <c r="F73" s="103">
        <v>967.12499999999989</v>
      </c>
      <c r="G73" s="324">
        <v>965.37499999999989</v>
      </c>
      <c r="H73" s="269">
        <f t="shared" si="4"/>
        <v>-3.951446280991755E-3</v>
      </c>
      <c r="I73" s="269">
        <f t="shared" si="5"/>
        <v>-9.7107438016527103E-3</v>
      </c>
    </row>
    <row r="74" spans="2:9" x14ac:dyDescent="0.3">
      <c r="B74" s="108" t="s">
        <v>97</v>
      </c>
      <c r="C74" s="103">
        <v>140.5</v>
      </c>
      <c r="D74" s="134">
        <v>122.235</v>
      </c>
      <c r="E74" s="134">
        <v>95.54</v>
      </c>
      <c r="F74" s="103">
        <v>136.285</v>
      </c>
      <c r="G74" s="324">
        <v>127.85499999999999</v>
      </c>
      <c r="H74" s="269">
        <f t="shared" si="4"/>
        <v>-0.13</v>
      </c>
      <c r="I74" s="269">
        <f t="shared" si="5"/>
        <v>-0.31999999999999995</v>
      </c>
    </row>
    <row r="75" spans="2:9" x14ac:dyDescent="0.3">
      <c r="B75" s="108" t="s">
        <v>98</v>
      </c>
      <c r="C75" s="103">
        <v>73.5</v>
      </c>
      <c r="D75" s="134">
        <v>73.695000000000007</v>
      </c>
      <c r="E75" s="134">
        <v>74.05</v>
      </c>
      <c r="F75" s="103">
        <v>73.58</v>
      </c>
      <c r="G75" s="324">
        <v>73.739999999999995</v>
      </c>
      <c r="H75" s="269">
        <f t="shared" si="4"/>
        <v>2.6530612244899388E-3</v>
      </c>
      <c r="I75" s="269">
        <f t="shared" si="5"/>
        <v>7.4829931972788533E-3</v>
      </c>
    </row>
    <row r="76" spans="2:9" x14ac:dyDescent="0.3">
      <c r="B76" s="108" t="s">
        <v>99</v>
      </c>
      <c r="C76" s="103">
        <v>500.5</v>
      </c>
      <c r="D76" s="134">
        <v>477.97750000000002</v>
      </c>
      <c r="E76" s="134">
        <v>445.44500000000005</v>
      </c>
      <c r="F76" s="103">
        <v>495.495</v>
      </c>
      <c r="G76" s="324">
        <v>485.48499999999996</v>
      </c>
      <c r="H76" s="269">
        <f t="shared" si="4"/>
        <v>-4.4999999999999929E-2</v>
      </c>
      <c r="I76" s="269">
        <f t="shared" si="5"/>
        <v>-0.10999999999999988</v>
      </c>
    </row>
    <row r="77" spans="2:9" x14ac:dyDescent="0.3">
      <c r="B77" s="108" t="s">
        <v>100</v>
      </c>
      <c r="C77" s="103">
        <v>1</v>
      </c>
      <c r="D77" s="134">
        <v>0.87</v>
      </c>
      <c r="E77" s="134">
        <v>0.68</v>
      </c>
      <c r="F77" s="103">
        <v>0.97</v>
      </c>
      <c r="G77" s="324">
        <v>0.90999999999999992</v>
      </c>
      <c r="H77" s="269">
        <f t="shared" si="4"/>
        <v>-0.13</v>
      </c>
      <c r="I77" s="269">
        <f t="shared" si="5"/>
        <v>-0.31999999999999995</v>
      </c>
    </row>
    <row r="78" spans="2:9" x14ac:dyDescent="0.3">
      <c r="B78" s="108" t="s">
        <v>101</v>
      </c>
      <c r="C78" s="103">
        <v>3.5</v>
      </c>
      <c r="D78" s="134">
        <v>3.2824999999999998</v>
      </c>
      <c r="E78" s="134">
        <v>2.9650000000000003</v>
      </c>
      <c r="F78" s="103">
        <v>3.45</v>
      </c>
      <c r="G78" s="324">
        <v>3.3499999999999996</v>
      </c>
      <c r="H78" s="269">
        <f t="shared" si="4"/>
        <v>-6.2142857142857166E-2</v>
      </c>
      <c r="I78" s="269">
        <f t="shared" si="5"/>
        <v>-0.1528571428571428</v>
      </c>
    </row>
    <row r="79" spans="2:9" x14ac:dyDescent="0.3">
      <c r="B79" s="108" t="s">
        <v>102</v>
      </c>
      <c r="C79" s="103">
        <v>2</v>
      </c>
      <c r="D79" s="134">
        <v>2</v>
      </c>
      <c r="E79" s="134">
        <v>2</v>
      </c>
      <c r="F79" s="103">
        <v>2</v>
      </c>
      <c r="G79" s="324">
        <v>2</v>
      </c>
      <c r="H79" s="269">
        <f t="shared" si="4"/>
        <v>0</v>
      </c>
      <c r="I79" s="269">
        <f t="shared" si="5"/>
        <v>0</v>
      </c>
    </row>
    <row r="80" spans="2:9" x14ac:dyDescent="0.3">
      <c r="B80" s="108" t="s">
        <v>103</v>
      </c>
      <c r="C80" s="103">
        <v>73</v>
      </c>
      <c r="D80" s="134">
        <v>66.707499999999996</v>
      </c>
      <c r="E80" s="134">
        <v>57.524999999999999</v>
      </c>
      <c r="F80" s="103">
        <v>71.555000000000007</v>
      </c>
      <c r="G80" s="324">
        <v>68.664999999999992</v>
      </c>
      <c r="H80" s="269">
        <f t="shared" si="4"/>
        <v>-8.6198630136986365E-2</v>
      </c>
      <c r="I80" s="269">
        <f t="shared" si="5"/>
        <v>-0.21198630136986307</v>
      </c>
    </row>
    <row r="81" spans="2:9" x14ac:dyDescent="0.3">
      <c r="B81" s="108" t="s">
        <v>104</v>
      </c>
      <c r="C81" s="103">
        <v>4.5</v>
      </c>
      <c r="D81" s="134">
        <v>3.915</v>
      </c>
      <c r="E81" s="134">
        <v>3.06</v>
      </c>
      <c r="F81" s="103">
        <v>4.3650000000000002</v>
      </c>
      <c r="G81" s="324">
        <v>4.0949999999999998</v>
      </c>
      <c r="H81" s="269">
        <f t="shared" si="4"/>
        <v>-0.13</v>
      </c>
      <c r="I81" s="269">
        <f t="shared" si="5"/>
        <v>-0.31999999999999995</v>
      </c>
    </row>
    <row r="82" spans="2:9" x14ac:dyDescent="0.3">
      <c r="B82" s="108" t="s">
        <v>105</v>
      </c>
      <c r="C82" s="103">
        <v>4</v>
      </c>
      <c r="D82" s="134">
        <v>4.13</v>
      </c>
      <c r="E82" s="134">
        <v>4.32</v>
      </c>
      <c r="F82" s="103">
        <v>4.03</v>
      </c>
      <c r="G82" s="324">
        <v>4.09</v>
      </c>
      <c r="H82" s="269">
        <f t="shared" si="4"/>
        <v>3.2499999999999973E-2</v>
      </c>
      <c r="I82" s="269">
        <f t="shared" si="5"/>
        <v>8.0000000000000071E-2</v>
      </c>
    </row>
    <row r="83" spans="2:9" x14ac:dyDescent="0.3">
      <c r="B83" s="108" t="s">
        <v>106</v>
      </c>
      <c r="C83" s="103">
        <v>3</v>
      </c>
      <c r="D83" s="134">
        <v>3</v>
      </c>
      <c r="E83" s="134">
        <v>3</v>
      </c>
      <c r="F83" s="103">
        <v>3</v>
      </c>
      <c r="G83" s="324">
        <v>2.9999999999999996</v>
      </c>
      <c r="H83" s="269">
        <f t="shared" si="4"/>
        <v>0</v>
      </c>
      <c r="I83" s="269">
        <f t="shared" si="5"/>
        <v>0</v>
      </c>
    </row>
    <row r="84" spans="2:9" x14ac:dyDescent="0.3">
      <c r="B84" s="108" t="s">
        <v>107</v>
      </c>
      <c r="C84" s="103">
        <v>137.5</v>
      </c>
      <c r="D84" s="134">
        <v>136.82499999999999</v>
      </c>
      <c r="E84" s="134">
        <v>135.85</v>
      </c>
      <c r="F84" s="103">
        <v>137.35</v>
      </c>
      <c r="G84" s="324">
        <v>137.05000000000001</v>
      </c>
      <c r="H84" s="269">
        <f t="shared" si="4"/>
        <v>-4.909090909090974E-3</v>
      </c>
      <c r="I84" s="269">
        <f t="shared" si="5"/>
        <v>-1.2000000000000011E-2</v>
      </c>
    </row>
    <row r="85" spans="2:9" x14ac:dyDescent="0.3">
      <c r="B85" t="s">
        <v>108</v>
      </c>
      <c r="C85" s="111">
        <f t="shared" ref="C85" si="6">SUM(C40:C84)</f>
        <v>3098</v>
      </c>
      <c r="D85" s="111">
        <v>3088.9774999999991</v>
      </c>
      <c r="E85" s="111">
        <v>3075.9050000000007</v>
      </c>
      <c r="F85" s="111">
        <v>3095.974999999999</v>
      </c>
      <c r="G85" s="111">
        <v>3091.9249999999997</v>
      </c>
      <c r="H85" s="269">
        <f>D85/C85-1</f>
        <v>-2.9123628147195157E-3</v>
      </c>
      <c r="I85" s="269">
        <f t="shared" si="5"/>
        <v>-7.1320206584891688E-3</v>
      </c>
    </row>
    <row r="90" spans="2:9" ht="52.8" x14ac:dyDescent="0.3">
      <c r="B90" s="122" t="s">
        <v>123</v>
      </c>
      <c r="C90" s="123" t="s">
        <v>48</v>
      </c>
      <c r="D90" s="123" t="s">
        <v>121</v>
      </c>
      <c r="E90" s="123" t="s">
        <v>122</v>
      </c>
    </row>
    <row r="91" spans="2:9" x14ac:dyDescent="0.3">
      <c r="B91" s="108" t="s">
        <v>63</v>
      </c>
      <c r="C91" s="103">
        <v>168</v>
      </c>
      <c r="D91" s="103">
        <v>230.5</v>
      </c>
      <c r="E91" s="108">
        <v>393.5</v>
      </c>
    </row>
    <row r="92" spans="2:9" x14ac:dyDescent="0.3">
      <c r="B92" s="108" t="s">
        <v>64</v>
      </c>
      <c r="C92" s="103">
        <v>117.5</v>
      </c>
      <c r="D92" s="103">
        <v>158.5</v>
      </c>
      <c r="E92" s="108">
        <v>391.5</v>
      </c>
    </row>
    <row r="93" spans="2:9" x14ac:dyDescent="0.3">
      <c r="B93" s="108" t="s">
        <v>65</v>
      </c>
      <c r="C93" s="103">
        <v>1</v>
      </c>
      <c r="D93" s="103">
        <v>36</v>
      </c>
      <c r="E93" s="108">
        <v>14.5</v>
      </c>
    </row>
    <row r="94" spans="2:9" x14ac:dyDescent="0.3">
      <c r="B94" s="108" t="s">
        <v>66</v>
      </c>
      <c r="C94" s="103">
        <v>14</v>
      </c>
      <c r="D94" s="103">
        <v>0</v>
      </c>
      <c r="E94" s="108">
        <v>0</v>
      </c>
    </row>
    <row r="95" spans="2:9" x14ac:dyDescent="0.3">
      <c r="B95" s="108" t="s">
        <v>67</v>
      </c>
      <c r="C95" s="103">
        <v>2.5</v>
      </c>
      <c r="D95" s="124">
        <v>14.5</v>
      </c>
      <c r="E95" s="125">
        <v>15</v>
      </c>
    </row>
    <row r="96" spans="2:9" x14ac:dyDescent="0.3">
      <c r="B96" s="108" t="s">
        <v>68</v>
      </c>
      <c r="C96" s="103">
        <v>141.5</v>
      </c>
      <c r="D96" s="103">
        <v>18.5</v>
      </c>
      <c r="E96" s="108">
        <v>18.5</v>
      </c>
    </row>
    <row r="97" spans="2:5" x14ac:dyDescent="0.3">
      <c r="B97" s="108" t="s">
        <v>69</v>
      </c>
      <c r="C97" s="103">
        <v>13</v>
      </c>
      <c r="D97" s="103">
        <v>108.5</v>
      </c>
      <c r="E97" s="108">
        <v>121.5</v>
      </c>
    </row>
    <row r="98" spans="2:5" x14ac:dyDescent="0.3">
      <c r="B98" s="108" t="s">
        <v>70</v>
      </c>
      <c r="C98" s="103">
        <v>85</v>
      </c>
      <c r="D98" s="103">
        <v>0</v>
      </c>
      <c r="E98" s="108">
        <v>0</v>
      </c>
    </row>
    <row r="99" spans="2:5" x14ac:dyDescent="0.3">
      <c r="B99" s="108" t="s">
        <v>71</v>
      </c>
      <c r="C99" s="103">
        <v>4</v>
      </c>
      <c r="D99" s="103">
        <v>107</v>
      </c>
      <c r="E99" s="108">
        <v>232</v>
      </c>
    </row>
    <row r="100" spans="2:5" x14ac:dyDescent="0.3">
      <c r="B100" s="108" t="s">
        <v>72</v>
      </c>
      <c r="C100" s="103">
        <v>20.5</v>
      </c>
      <c r="D100" s="103">
        <v>17.5</v>
      </c>
      <c r="E100" s="108">
        <v>13.5</v>
      </c>
    </row>
    <row r="101" spans="2:5" x14ac:dyDescent="0.3">
      <c r="B101" s="108" t="s">
        <v>73</v>
      </c>
      <c r="C101" s="103">
        <v>3</v>
      </c>
      <c r="D101" s="103">
        <v>2</v>
      </c>
      <c r="E101" s="108">
        <v>2</v>
      </c>
    </row>
    <row r="102" spans="2:5" x14ac:dyDescent="0.3">
      <c r="B102" s="108" t="s">
        <v>74</v>
      </c>
      <c r="C102" s="103">
        <v>64</v>
      </c>
      <c r="D102" s="103">
        <v>74</v>
      </c>
      <c r="E102" s="108">
        <v>84</v>
      </c>
    </row>
    <row r="103" spans="2:5" x14ac:dyDescent="0.3">
      <c r="B103" s="109" t="s">
        <v>75</v>
      </c>
      <c r="C103" s="110">
        <v>9.5</v>
      </c>
      <c r="D103" s="126">
        <v>97</v>
      </c>
      <c r="E103" s="125">
        <v>97</v>
      </c>
    </row>
    <row r="104" spans="2:5" x14ac:dyDescent="0.3">
      <c r="B104" s="108" t="s">
        <v>76</v>
      </c>
      <c r="C104" s="103">
        <v>30.5</v>
      </c>
      <c r="D104" s="124">
        <v>31</v>
      </c>
      <c r="E104" s="108">
        <v>0</v>
      </c>
    </row>
    <row r="105" spans="2:5" x14ac:dyDescent="0.3">
      <c r="B105" s="108" t="s">
        <v>77</v>
      </c>
      <c r="C105" s="103">
        <v>38</v>
      </c>
      <c r="D105" s="103">
        <v>4.5</v>
      </c>
      <c r="E105" s="108">
        <v>0</v>
      </c>
    </row>
    <row r="106" spans="2:5" x14ac:dyDescent="0.3">
      <c r="B106" s="108" t="s">
        <v>78</v>
      </c>
      <c r="C106" s="103">
        <v>20</v>
      </c>
      <c r="D106" s="103">
        <v>0</v>
      </c>
      <c r="E106" s="108">
        <v>0</v>
      </c>
    </row>
    <row r="107" spans="2:5" x14ac:dyDescent="0.3">
      <c r="B107" s="108" t="s">
        <v>79</v>
      </c>
      <c r="C107" s="103">
        <v>2.5</v>
      </c>
      <c r="D107" s="103">
        <v>7</v>
      </c>
      <c r="E107" s="108">
        <v>0</v>
      </c>
    </row>
    <row r="108" spans="2:5" x14ac:dyDescent="0.3">
      <c r="B108" s="108" t="s">
        <v>80</v>
      </c>
      <c r="C108" s="103">
        <v>40</v>
      </c>
      <c r="D108" s="127">
        <v>3.5</v>
      </c>
      <c r="E108" s="108">
        <v>0</v>
      </c>
    </row>
    <row r="109" spans="2:5" x14ac:dyDescent="0.3">
      <c r="B109" s="108" t="s">
        <v>81</v>
      </c>
      <c r="C109" s="103">
        <v>7</v>
      </c>
      <c r="D109" s="124">
        <v>16</v>
      </c>
      <c r="E109" s="125">
        <v>16</v>
      </c>
    </row>
    <row r="110" spans="2:5" x14ac:dyDescent="0.3">
      <c r="B110" s="108" t="s">
        <v>82</v>
      </c>
      <c r="C110" s="103">
        <v>18.5</v>
      </c>
      <c r="D110" s="103">
        <v>10</v>
      </c>
      <c r="E110" s="125">
        <v>10</v>
      </c>
    </row>
    <row r="111" spans="2:5" x14ac:dyDescent="0.3">
      <c r="B111" s="108" t="s">
        <v>83</v>
      </c>
      <c r="C111" s="103">
        <v>4.5</v>
      </c>
      <c r="D111" s="103">
        <v>5.5</v>
      </c>
      <c r="E111" s="124">
        <v>5.5</v>
      </c>
    </row>
    <row r="112" spans="2:5" x14ac:dyDescent="0.3">
      <c r="B112" s="108" t="s">
        <v>84</v>
      </c>
      <c r="C112" s="103">
        <v>14</v>
      </c>
      <c r="D112" s="128">
        <v>18.5</v>
      </c>
      <c r="E112" s="108">
        <v>31.5</v>
      </c>
    </row>
    <row r="113" spans="2:5" x14ac:dyDescent="0.3">
      <c r="B113" s="108" t="s">
        <v>85</v>
      </c>
      <c r="C113" s="103">
        <v>79.5</v>
      </c>
      <c r="D113" s="103">
        <v>104.5</v>
      </c>
      <c r="E113" s="108">
        <v>128</v>
      </c>
    </row>
    <row r="114" spans="2:5" x14ac:dyDescent="0.3">
      <c r="B114" s="108" t="s">
        <v>86</v>
      </c>
      <c r="C114" s="103">
        <v>32</v>
      </c>
      <c r="D114" s="103">
        <v>94</v>
      </c>
      <c r="E114" s="108">
        <v>106.5</v>
      </c>
    </row>
    <row r="115" spans="2:5" x14ac:dyDescent="0.3">
      <c r="B115" s="108" t="s">
        <v>87</v>
      </c>
      <c r="C115" s="103">
        <v>49</v>
      </c>
      <c r="D115" s="103">
        <v>0</v>
      </c>
      <c r="E115" s="108">
        <v>0</v>
      </c>
    </row>
    <row r="116" spans="2:5" x14ac:dyDescent="0.3">
      <c r="B116" s="108" t="s">
        <v>88</v>
      </c>
      <c r="C116" s="103">
        <v>17.5</v>
      </c>
      <c r="D116" s="103">
        <v>17.5</v>
      </c>
      <c r="E116" s="108">
        <v>20</v>
      </c>
    </row>
    <row r="117" spans="2:5" x14ac:dyDescent="0.3">
      <c r="B117" s="108" t="s">
        <v>89</v>
      </c>
      <c r="C117" s="103">
        <v>42.5</v>
      </c>
      <c r="D117" s="103">
        <v>32</v>
      </c>
      <c r="E117" s="108">
        <v>30</v>
      </c>
    </row>
    <row r="118" spans="2:5" x14ac:dyDescent="0.3">
      <c r="B118" s="108" t="s">
        <v>90</v>
      </c>
      <c r="C118" s="103">
        <v>0.5</v>
      </c>
      <c r="D118" s="103">
        <v>0.5</v>
      </c>
      <c r="E118" s="108">
        <v>0.5</v>
      </c>
    </row>
    <row r="119" spans="2:5" x14ac:dyDescent="0.3">
      <c r="B119" s="108" t="s">
        <v>91</v>
      </c>
      <c r="C119" s="103">
        <v>10</v>
      </c>
      <c r="D119" s="103">
        <v>8</v>
      </c>
      <c r="E119" s="108">
        <v>8.5</v>
      </c>
    </row>
    <row r="120" spans="2:5" x14ac:dyDescent="0.3">
      <c r="B120" s="108" t="s">
        <v>92</v>
      </c>
      <c r="C120" s="103">
        <v>0</v>
      </c>
      <c r="D120" s="103">
        <v>19.5</v>
      </c>
      <c r="E120" s="108">
        <v>20</v>
      </c>
    </row>
    <row r="121" spans="2:5" x14ac:dyDescent="0.3">
      <c r="B121" s="108" t="s">
        <v>93</v>
      </c>
      <c r="C121" s="103">
        <v>11</v>
      </c>
      <c r="D121" s="103">
        <v>0</v>
      </c>
      <c r="E121" s="108">
        <v>1.5</v>
      </c>
    </row>
    <row r="122" spans="2:5" x14ac:dyDescent="0.3">
      <c r="B122" s="108" t="s">
        <v>94</v>
      </c>
      <c r="C122" s="103">
        <v>33.5</v>
      </c>
      <c r="D122" s="103">
        <v>28</v>
      </c>
      <c r="E122" s="108">
        <v>20</v>
      </c>
    </row>
    <row r="123" spans="2:5" x14ac:dyDescent="0.3">
      <c r="B123" s="108" t="s">
        <v>95</v>
      </c>
      <c r="C123" s="103">
        <v>93</v>
      </c>
      <c r="D123" s="103">
        <v>83</v>
      </c>
      <c r="E123" s="108">
        <v>63</v>
      </c>
    </row>
    <row r="124" spans="2:5" x14ac:dyDescent="0.3">
      <c r="B124" s="108" t="s">
        <v>96</v>
      </c>
      <c r="C124" s="103">
        <v>968</v>
      </c>
      <c r="D124" s="103">
        <v>945.5</v>
      </c>
      <c r="E124" s="108">
        <v>925.5</v>
      </c>
    </row>
    <row r="125" spans="2:5" x14ac:dyDescent="0.3">
      <c r="B125" s="108" t="s">
        <v>97</v>
      </c>
      <c r="C125" s="103">
        <v>140.5</v>
      </c>
      <c r="D125" s="103">
        <v>0</v>
      </c>
      <c r="E125" s="108">
        <v>0</v>
      </c>
    </row>
    <row r="126" spans="2:5" x14ac:dyDescent="0.3">
      <c r="B126" s="108" t="s">
        <v>98</v>
      </c>
      <c r="C126" s="103">
        <v>73.5</v>
      </c>
      <c r="D126" s="103">
        <v>106.5</v>
      </c>
      <c r="E126" s="108">
        <v>15.5</v>
      </c>
    </row>
    <row r="127" spans="2:5" x14ac:dyDescent="0.3">
      <c r="B127" s="108" t="s">
        <v>99</v>
      </c>
      <c r="C127" s="103">
        <v>500.5</v>
      </c>
      <c r="D127" s="103">
        <v>500.5</v>
      </c>
      <c r="E127" s="108">
        <v>0</v>
      </c>
    </row>
    <row r="128" spans="2:5" x14ac:dyDescent="0.3">
      <c r="B128" s="108" t="s">
        <v>100</v>
      </c>
      <c r="C128" s="103">
        <v>1</v>
      </c>
      <c r="D128" s="103">
        <v>0</v>
      </c>
      <c r="E128" s="108">
        <v>0</v>
      </c>
    </row>
    <row r="129" spans="2:5" x14ac:dyDescent="0.3">
      <c r="B129" s="108" t="s">
        <v>101</v>
      </c>
      <c r="C129" s="103">
        <v>3.5</v>
      </c>
      <c r="D129" s="103">
        <v>2</v>
      </c>
      <c r="E129" s="108">
        <v>1.5</v>
      </c>
    </row>
    <row r="130" spans="2:5" x14ac:dyDescent="0.3">
      <c r="B130" s="108" t="s">
        <v>102</v>
      </c>
      <c r="C130" s="103">
        <v>2</v>
      </c>
      <c r="D130" s="103">
        <v>2</v>
      </c>
      <c r="E130" s="108">
        <v>2</v>
      </c>
    </row>
    <row r="131" spans="2:5" x14ac:dyDescent="0.3">
      <c r="B131" s="108" t="s">
        <v>103</v>
      </c>
      <c r="C131" s="103">
        <v>73</v>
      </c>
      <c r="D131" s="103">
        <v>31</v>
      </c>
      <c r="E131" s="108">
        <v>12.5</v>
      </c>
    </row>
    <row r="132" spans="2:5" x14ac:dyDescent="0.3">
      <c r="B132" s="108" t="s">
        <v>104</v>
      </c>
      <c r="C132" s="103">
        <v>4.5</v>
      </c>
      <c r="D132" s="103">
        <v>0</v>
      </c>
      <c r="E132" s="108">
        <v>0</v>
      </c>
    </row>
    <row r="133" spans="2:5" x14ac:dyDescent="0.3">
      <c r="B133" s="108" t="s">
        <v>105</v>
      </c>
      <c r="C133" s="103">
        <v>4</v>
      </c>
      <c r="D133" s="103">
        <v>5</v>
      </c>
      <c r="E133" s="108">
        <v>5</v>
      </c>
    </row>
    <row r="134" spans="2:5" x14ac:dyDescent="0.3">
      <c r="B134" s="108" t="s">
        <v>106</v>
      </c>
      <c r="C134" s="103">
        <v>3</v>
      </c>
      <c r="D134" s="103">
        <v>3</v>
      </c>
      <c r="E134" s="108">
        <v>3</v>
      </c>
    </row>
    <row r="135" spans="2:5" x14ac:dyDescent="0.3">
      <c r="B135" s="108" t="s">
        <v>107</v>
      </c>
      <c r="C135" s="103">
        <v>137.5</v>
      </c>
      <c r="D135" s="103">
        <v>137.5</v>
      </c>
      <c r="E135" s="108">
        <v>122.5</v>
      </c>
    </row>
    <row r="136" spans="2:5" x14ac:dyDescent="0.3">
      <c r="B136" t="s">
        <v>108</v>
      </c>
      <c r="C136" s="111">
        <f>SUM(C91:C135)</f>
        <v>3098</v>
      </c>
      <c r="D136" s="111">
        <f t="shared" ref="D136:E136" si="7">SUM(D91:D135)</f>
        <v>3080</v>
      </c>
      <c r="E136" s="111">
        <f t="shared" si="7"/>
        <v>2931.5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3"/>
  <sheetViews>
    <sheetView workbookViewId="0">
      <selection activeCell="E24" sqref="E24"/>
    </sheetView>
  </sheetViews>
  <sheetFormatPr baseColWidth="10" defaultRowHeight="15.6" x14ac:dyDescent="0.3"/>
  <cols>
    <col min="1" max="1" width="31.69921875" customWidth="1"/>
    <col min="2" max="2" width="18" customWidth="1"/>
    <col min="3" max="3" width="15.796875" customWidth="1"/>
    <col min="4" max="4" width="15.69921875" customWidth="1"/>
    <col min="5" max="5" width="14.3984375" customWidth="1"/>
    <col min="6" max="6" width="13.8984375" customWidth="1"/>
  </cols>
  <sheetData>
    <row r="1" spans="1:7" x14ac:dyDescent="0.3">
      <c r="A1" s="347" t="s">
        <v>124</v>
      </c>
      <c r="B1" s="347"/>
      <c r="C1" s="347"/>
      <c r="D1" s="347"/>
      <c r="E1" s="347"/>
      <c r="F1" s="347"/>
    </row>
    <row r="2" spans="1:7" ht="43.2" x14ac:dyDescent="0.3">
      <c r="A2" s="146" t="s">
        <v>125</v>
      </c>
      <c r="B2" s="99" t="s">
        <v>126</v>
      </c>
      <c r="C2" s="122" t="s">
        <v>127</v>
      </c>
      <c r="D2" s="122" t="s">
        <v>128</v>
      </c>
      <c r="E2" s="122" t="s">
        <v>129</v>
      </c>
      <c r="F2" s="122" t="s">
        <v>130</v>
      </c>
    </row>
    <row r="3" spans="1:7" x14ac:dyDescent="0.3">
      <c r="A3" s="129" t="s">
        <v>131</v>
      </c>
      <c r="B3" s="130">
        <v>2946</v>
      </c>
      <c r="C3" s="131">
        <v>3500</v>
      </c>
      <c r="D3" s="130">
        <v>4000</v>
      </c>
      <c r="E3" s="131">
        <f>(F3-$B3)/3+$B3</f>
        <v>4797.333333333333</v>
      </c>
      <c r="F3" s="130">
        <v>8500</v>
      </c>
    </row>
    <row r="4" spans="1:7" x14ac:dyDescent="0.3">
      <c r="A4" s="129" t="s">
        <v>132</v>
      </c>
      <c r="B4" s="130">
        <f>B3-B5-B7</f>
        <v>1862.5493634999998</v>
      </c>
      <c r="C4" s="130">
        <f>C3-C5-C7</f>
        <v>1855</v>
      </c>
      <c r="D4" s="130">
        <f>D3-D5-D7</f>
        <v>1800</v>
      </c>
      <c r="E4" s="130">
        <f>E3-E5-E7</f>
        <v>2039.7514430112392</v>
      </c>
      <c r="F4" s="130">
        <f>F3-F5-F7</f>
        <v>1700</v>
      </c>
    </row>
    <row r="5" spans="1:7" x14ac:dyDescent="0.3">
      <c r="A5" s="129" t="s">
        <v>133</v>
      </c>
      <c r="B5" s="130">
        <v>119.4506365</v>
      </c>
      <c r="C5" s="130">
        <f>C6*C3</f>
        <v>420</v>
      </c>
      <c r="D5" s="130">
        <f>D6*D3</f>
        <v>600</v>
      </c>
      <c r="E5" s="130">
        <f>E6*E3</f>
        <v>911.49333333333334</v>
      </c>
      <c r="F5" s="130">
        <f>F6*F3</f>
        <v>2550</v>
      </c>
    </row>
    <row r="6" spans="1:7" x14ac:dyDescent="0.3">
      <c r="A6" s="129" t="s">
        <v>134</v>
      </c>
      <c r="B6" s="132">
        <f>B5/B3</f>
        <v>4.0546719789545146E-2</v>
      </c>
      <c r="C6" s="132">
        <v>0.12</v>
      </c>
      <c r="D6" s="132">
        <v>0.15</v>
      </c>
      <c r="E6" s="132">
        <v>0.19</v>
      </c>
      <c r="F6" s="132">
        <v>0.3</v>
      </c>
    </row>
    <row r="7" spans="1:7" x14ac:dyDescent="0.3">
      <c r="A7" s="129" t="s">
        <v>135</v>
      </c>
      <c r="B7" s="133">
        <v>964</v>
      </c>
      <c r="C7" s="130">
        <f>0.35*C3</f>
        <v>1225</v>
      </c>
      <c r="D7" s="130">
        <f>D8*D3</f>
        <v>1600</v>
      </c>
      <c r="E7" s="130">
        <f>E8*E3</f>
        <v>1846.0885569887605</v>
      </c>
      <c r="F7" s="130">
        <f>F8*F3</f>
        <v>4250</v>
      </c>
    </row>
    <row r="8" spans="1:7" x14ac:dyDescent="0.3">
      <c r="A8" s="129" t="s">
        <v>136</v>
      </c>
      <c r="B8" s="132">
        <f t="shared" ref="B8" si="0">B7/B3</f>
        <v>0.32722335369993211</v>
      </c>
      <c r="C8" s="132">
        <f>(D8-B8)/3+B8</f>
        <v>0.35148223579995475</v>
      </c>
      <c r="D8" s="132">
        <v>0.4</v>
      </c>
      <c r="E8" s="132">
        <f>(F8-B8)/3+B8</f>
        <v>0.38481556913328807</v>
      </c>
      <c r="F8" s="132">
        <v>0.5</v>
      </c>
    </row>
    <row r="9" spans="1:7" x14ac:dyDescent="0.3">
      <c r="A9" s="129" t="s">
        <v>137</v>
      </c>
      <c r="B9" s="134">
        <f>B5*$B19</f>
        <v>716.70381900000007</v>
      </c>
      <c r="C9" s="134">
        <f>C5*$B19</f>
        <v>2520</v>
      </c>
      <c r="D9" s="134">
        <f>D5*$B19</f>
        <v>3600</v>
      </c>
      <c r="E9" s="134">
        <f>E5*$B19</f>
        <v>5468.96</v>
      </c>
      <c r="F9" s="134">
        <f>F5*$B19</f>
        <v>15300</v>
      </c>
    </row>
    <row r="10" spans="1:7" x14ac:dyDescent="0.3">
      <c r="A10" s="135"/>
      <c r="B10" s="136"/>
      <c r="C10" s="136"/>
      <c r="D10" s="136"/>
      <c r="E10" s="136"/>
      <c r="F10" s="136"/>
    </row>
    <row r="11" spans="1:7" ht="31.2" x14ac:dyDescent="0.3">
      <c r="A11" s="137" t="s">
        <v>138</v>
      </c>
      <c r="B11" s="138" t="s">
        <v>139</v>
      </c>
      <c r="C11" s="138" t="s">
        <v>140</v>
      </c>
      <c r="D11" s="138" t="s">
        <v>141</v>
      </c>
      <c r="E11" s="137" t="s">
        <v>142</v>
      </c>
      <c r="F11" s="138" t="s">
        <v>143</v>
      </c>
      <c r="G11" s="138" t="s">
        <v>144</v>
      </c>
    </row>
    <row r="12" spans="1:7" x14ac:dyDescent="0.3">
      <c r="A12" s="139">
        <v>2020</v>
      </c>
      <c r="B12" s="140">
        <f>B5</f>
        <v>119.4506365</v>
      </c>
      <c r="C12" s="139">
        <v>6</v>
      </c>
      <c r="D12" s="142">
        <f>B9*1000</f>
        <v>716703.81900000002</v>
      </c>
      <c r="E12" s="139">
        <v>2.8</v>
      </c>
      <c r="F12" s="142">
        <f>E12*D12</f>
        <v>2006770.6931999999</v>
      </c>
      <c r="G12" s="141">
        <f>F12/1000000</f>
        <v>2.0067706932</v>
      </c>
    </row>
    <row r="13" spans="1:7" x14ac:dyDescent="0.3">
      <c r="A13" s="139">
        <v>2030</v>
      </c>
      <c r="B13" s="140">
        <f>E5</f>
        <v>911.49333333333334</v>
      </c>
      <c r="C13" s="139">
        <v>6</v>
      </c>
      <c r="D13" s="139">
        <f>E9*1000</f>
        <v>5468960</v>
      </c>
      <c r="E13" s="139">
        <v>2.8</v>
      </c>
      <c r="F13" s="139">
        <f>E13*D13</f>
        <v>15313087.999999998</v>
      </c>
      <c r="G13" s="141">
        <f>F13/1000000</f>
        <v>15.313087999999999</v>
      </c>
    </row>
    <row r="14" spans="1:7" x14ac:dyDescent="0.3">
      <c r="A14" s="139">
        <v>2050</v>
      </c>
      <c r="B14" s="140">
        <f>F5</f>
        <v>2550</v>
      </c>
      <c r="C14" s="139">
        <v>6</v>
      </c>
      <c r="D14" s="139">
        <f>F9*1000</f>
        <v>15300000</v>
      </c>
      <c r="E14" s="139">
        <v>2.8</v>
      </c>
      <c r="F14" s="139">
        <f>E14*D14</f>
        <v>42840000</v>
      </c>
      <c r="G14" s="141">
        <f>F14/1000000</f>
        <v>42.84</v>
      </c>
    </row>
    <row r="16" spans="1:7" x14ac:dyDescent="0.3">
      <c r="A16" s="143" t="s">
        <v>145</v>
      </c>
    </row>
    <row r="17" spans="1:2" x14ac:dyDescent="0.3">
      <c r="A17" s="129" t="s">
        <v>146</v>
      </c>
      <c r="B17" s="108">
        <v>2</v>
      </c>
    </row>
    <row r="18" spans="1:2" x14ac:dyDescent="0.3">
      <c r="A18" s="129" t="s">
        <v>147</v>
      </c>
      <c r="B18" s="144">
        <v>4</v>
      </c>
    </row>
    <row r="19" spans="1:2" x14ac:dyDescent="0.3">
      <c r="A19" s="129" t="s">
        <v>148</v>
      </c>
      <c r="B19" s="108">
        <v>6</v>
      </c>
    </row>
    <row r="20" spans="1:2" x14ac:dyDescent="0.3">
      <c r="A20" s="129" t="s">
        <v>149</v>
      </c>
      <c r="B20" s="145">
        <f>(B17*E4+B18*E7+B19*E5)/E3</f>
        <v>3.5296311382665757</v>
      </c>
    </row>
    <row r="21" spans="1:2" x14ac:dyDescent="0.3">
      <c r="A21" s="129" t="s">
        <v>150</v>
      </c>
      <c r="B21" s="145">
        <f>(B17*F4+B18*F7+B19*F5)/F3</f>
        <v>4.2</v>
      </c>
    </row>
    <row r="22" spans="1:2" x14ac:dyDescent="0.3">
      <c r="A22" s="129" t="s">
        <v>151</v>
      </c>
      <c r="B22" s="103">
        <f>B20*E3</f>
        <v>16932.817113977519</v>
      </c>
    </row>
    <row r="23" spans="1:2" x14ac:dyDescent="0.3">
      <c r="A23" s="129" t="s">
        <v>152</v>
      </c>
      <c r="B23" s="103">
        <f>B21*F3</f>
        <v>35700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J75"/>
  <sheetViews>
    <sheetView zoomScale="61" zoomScaleNormal="61" workbookViewId="0">
      <selection activeCell="A45" sqref="A45"/>
    </sheetView>
  </sheetViews>
  <sheetFormatPr baseColWidth="10" defaultColWidth="8.796875" defaultRowHeight="15.6" x14ac:dyDescent="0.3"/>
  <cols>
    <col min="1" max="1" width="17.296875" style="147" customWidth="1"/>
    <col min="2" max="2" width="24.69921875" style="147" customWidth="1"/>
    <col min="3" max="1025" width="10.3984375" style="147" customWidth="1"/>
    <col min="1026" max="16384" width="8.796875" style="147"/>
  </cols>
  <sheetData>
    <row r="1" spans="1:36" s="164" customFormat="1" ht="14.4" x14ac:dyDescent="0.3">
      <c r="B1" s="164">
        <v>2019</v>
      </c>
      <c r="C1" s="164">
        <f t="shared" ref="C1:AG1" si="0">B1+1</f>
        <v>2020</v>
      </c>
      <c r="D1" s="164">
        <f t="shared" si="0"/>
        <v>2021</v>
      </c>
      <c r="E1" s="164">
        <f t="shared" si="0"/>
        <v>2022</v>
      </c>
      <c r="F1" s="164">
        <f t="shared" si="0"/>
        <v>2023</v>
      </c>
      <c r="G1" s="164">
        <f t="shared" si="0"/>
        <v>2024</v>
      </c>
      <c r="H1" s="164">
        <f t="shared" si="0"/>
        <v>2025</v>
      </c>
      <c r="I1" s="164">
        <f t="shared" si="0"/>
        <v>2026</v>
      </c>
      <c r="J1" s="164">
        <f t="shared" si="0"/>
        <v>2027</v>
      </c>
      <c r="K1" s="164">
        <f t="shared" si="0"/>
        <v>2028</v>
      </c>
      <c r="L1" s="164">
        <f t="shared" si="0"/>
        <v>2029</v>
      </c>
      <c r="M1" s="164">
        <f t="shared" si="0"/>
        <v>2030</v>
      </c>
      <c r="N1" s="164">
        <f t="shared" si="0"/>
        <v>2031</v>
      </c>
      <c r="O1" s="164">
        <f t="shared" si="0"/>
        <v>2032</v>
      </c>
      <c r="P1" s="164">
        <f t="shared" si="0"/>
        <v>2033</v>
      </c>
      <c r="Q1" s="164">
        <f t="shared" si="0"/>
        <v>2034</v>
      </c>
      <c r="R1" s="164">
        <f t="shared" si="0"/>
        <v>2035</v>
      </c>
      <c r="S1" s="164">
        <f t="shared" si="0"/>
        <v>2036</v>
      </c>
      <c r="T1" s="164">
        <f t="shared" si="0"/>
        <v>2037</v>
      </c>
      <c r="U1" s="164">
        <f t="shared" si="0"/>
        <v>2038</v>
      </c>
      <c r="V1" s="164">
        <f t="shared" si="0"/>
        <v>2039</v>
      </c>
      <c r="W1" s="164">
        <f t="shared" si="0"/>
        <v>2040</v>
      </c>
      <c r="X1" s="164">
        <f t="shared" si="0"/>
        <v>2041</v>
      </c>
      <c r="Y1" s="164">
        <f t="shared" si="0"/>
        <v>2042</v>
      </c>
      <c r="Z1" s="164">
        <f t="shared" si="0"/>
        <v>2043</v>
      </c>
      <c r="AA1" s="164">
        <f t="shared" si="0"/>
        <v>2044</v>
      </c>
      <c r="AB1" s="164">
        <f t="shared" si="0"/>
        <v>2045</v>
      </c>
      <c r="AC1" s="164">
        <f t="shared" si="0"/>
        <v>2046</v>
      </c>
      <c r="AD1" s="164">
        <f t="shared" si="0"/>
        <v>2047</v>
      </c>
      <c r="AE1" s="164">
        <f t="shared" si="0"/>
        <v>2048</v>
      </c>
      <c r="AF1" s="164">
        <f t="shared" si="0"/>
        <v>2049</v>
      </c>
      <c r="AG1" s="164">
        <f t="shared" si="0"/>
        <v>2050</v>
      </c>
      <c r="AI1" s="164" t="s">
        <v>194</v>
      </c>
    </row>
    <row r="3" spans="1:36" x14ac:dyDescent="0.3">
      <c r="A3" s="147" t="s">
        <v>193</v>
      </c>
    </row>
    <row r="4" spans="1:36" x14ac:dyDescent="0.3">
      <c r="A4" s="147" t="s">
        <v>192</v>
      </c>
      <c r="B4" s="163">
        <v>800000</v>
      </c>
      <c r="C4" s="147">
        <v>800000</v>
      </c>
      <c r="D4" s="159">
        <f t="shared" ref="D4:AF4" si="1">C4+($AG4-$C4)*1/30</f>
        <v>790000</v>
      </c>
      <c r="E4" s="159">
        <f t="shared" si="1"/>
        <v>780000</v>
      </c>
      <c r="F4" s="159">
        <f t="shared" si="1"/>
        <v>770000</v>
      </c>
      <c r="G4" s="159">
        <f t="shared" si="1"/>
        <v>760000</v>
      </c>
      <c r="H4" s="159">
        <f t="shared" si="1"/>
        <v>750000</v>
      </c>
      <c r="I4" s="159">
        <f t="shared" si="1"/>
        <v>740000</v>
      </c>
      <c r="J4" s="159">
        <f t="shared" si="1"/>
        <v>730000</v>
      </c>
      <c r="K4" s="159">
        <f t="shared" si="1"/>
        <v>720000</v>
      </c>
      <c r="L4" s="159">
        <f t="shared" si="1"/>
        <v>710000</v>
      </c>
      <c r="M4" s="159">
        <f t="shared" si="1"/>
        <v>700000</v>
      </c>
      <c r="N4" s="159">
        <f t="shared" si="1"/>
        <v>690000</v>
      </c>
      <c r="O4" s="159">
        <f t="shared" si="1"/>
        <v>680000</v>
      </c>
      <c r="P4" s="159">
        <f t="shared" si="1"/>
        <v>670000</v>
      </c>
      <c r="Q4" s="159">
        <f t="shared" si="1"/>
        <v>660000</v>
      </c>
      <c r="R4" s="159">
        <f t="shared" si="1"/>
        <v>650000</v>
      </c>
      <c r="S4" s="159">
        <f t="shared" si="1"/>
        <v>640000</v>
      </c>
      <c r="T4" s="159">
        <f t="shared" si="1"/>
        <v>630000</v>
      </c>
      <c r="U4" s="159">
        <f t="shared" si="1"/>
        <v>620000</v>
      </c>
      <c r="V4" s="159">
        <f t="shared" si="1"/>
        <v>610000</v>
      </c>
      <c r="W4" s="159">
        <f t="shared" si="1"/>
        <v>600000</v>
      </c>
      <c r="X4" s="159">
        <f t="shared" si="1"/>
        <v>590000</v>
      </c>
      <c r="Y4" s="159">
        <f t="shared" si="1"/>
        <v>580000</v>
      </c>
      <c r="Z4" s="159">
        <f t="shared" si="1"/>
        <v>570000</v>
      </c>
      <c r="AA4" s="159">
        <f t="shared" si="1"/>
        <v>560000</v>
      </c>
      <c r="AB4" s="159">
        <f t="shared" si="1"/>
        <v>550000</v>
      </c>
      <c r="AC4" s="159">
        <f t="shared" si="1"/>
        <v>540000</v>
      </c>
      <c r="AD4" s="159">
        <f t="shared" si="1"/>
        <v>530000</v>
      </c>
      <c r="AE4" s="159">
        <f t="shared" si="1"/>
        <v>520000</v>
      </c>
      <c r="AF4" s="159">
        <f t="shared" si="1"/>
        <v>510000</v>
      </c>
      <c r="AG4" s="147">
        <v>500000</v>
      </c>
    </row>
    <row r="5" spans="1:36" x14ac:dyDescent="0.3">
      <c r="A5" s="147" t="s">
        <v>191</v>
      </c>
    </row>
    <row r="6" spans="1:36" x14ac:dyDescent="0.3">
      <c r="A6" s="147" t="s">
        <v>180</v>
      </c>
      <c r="B6" s="156">
        <v>1</v>
      </c>
      <c r="M6" s="160">
        <f>5/7</f>
        <v>0.7142857142857143</v>
      </c>
      <c r="AG6" s="160">
        <v>0</v>
      </c>
      <c r="AI6" s="163">
        <v>800000</v>
      </c>
      <c r="AJ6" s="147" t="s">
        <v>190</v>
      </c>
    </row>
    <row r="7" spans="1:36" x14ac:dyDescent="0.3">
      <c r="A7" s="147" t="s">
        <v>174</v>
      </c>
      <c r="M7" s="160">
        <f>2/7*0.75</f>
        <v>0.21428571428571427</v>
      </c>
      <c r="AG7" s="160">
        <f>0.5</f>
        <v>0.5</v>
      </c>
      <c r="AI7" s="147">
        <v>28</v>
      </c>
      <c r="AJ7" s="147" t="s">
        <v>189</v>
      </c>
    </row>
    <row r="8" spans="1:36" x14ac:dyDescent="0.3">
      <c r="A8" s="147" t="s">
        <v>173</v>
      </c>
      <c r="M8" s="160"/>
      <c r="AG8" s="160"/>
      <c r="AI8" s="153">
        <f>AI6/AI7</f>
        <v>28571.428571428572</v>
      </c>
      <c r="AJ8" s="147" t="s">
        <v>188</v>
      </c>
    </row>
    <row r="9" spans="1:36" x14ac:dyDescent="0.3">
      <c r="A9" s="147" t="s">
        <v>172</v>
      </c>
      <c r="M9" s="160">
        <f>2/7*0.25</f>
        <v>7.1428571428571425E-2</v>
      </c>
      <c r="AG9" s="160">
        <v>0.5</v>
      </c>
    </row>
    <row r="10" spans="1:36" ht="13.95" customHeight="1" x14ac:dyDescent="0.3"/>
    <row r="11" spans="1:36" ht="13.95" customHeight="1" x14ac:dyDescent="0.3">
      <c r="A11" s="348" t="s">
        <v>187</v>
      </c>
      <c r="B11" s="348"/>
      <c r="C11" s="348"/>
    </row>
    <row r="12" spans="1:36" x14ac:dyDescent="0.3">
      <c r="A12" s="147" t="s">
        <v>158</v>
      </c>
      <c r="B12" s="163">
        <v>800000</v>
      </c>
      <c r="C12" s="152">
        <f t="shared" ref="C12:AG12" si="2">SUM(C20:C24)</f>
        <v>799497.69585253461</v>
      </c>
      <c r="D12" s="152">
        <f t="shared" si="2"/>
        <v>798493.08755760372</v>
      </c>
      <c r="E12" s="152">
        <f t="shared" si="2"/>
        <v>796986.17511520756</v>
      </c>
      <c r="F12" s="152">
        <f t="shared" si="2"/>
        <v>794976.95852534589</v>
      </c>
      <c r="G12" s="152">
        <f t="shared" si="2"/>
        <v>792465.43778801872</v>
      </c>
      <c r="H12" s="152">
        <f t="shared" si="2"/>
        <v>789451.61290322617</v>
      </c>
      <c r="I12" s="152">
        <f t="shared" si="2"/>
        <v>785435.48387096811</v>
      </c>
      <c r="J12" s="152">
        <f t="shared" si="2"/>
        <v>780417.05069124466</v>
      </c>
      <c r="K12" s="152">
        <f t="shared" si="2"/>
        <v>774396.31336405582</v>
      </c>
      <c r="L12" s="152">
        <f t="shared" si="2"/>
        <v>767373.27188940148</v>
      </c>
      <c r="M12" s="152">
        <f t="shared" si="2"/>
        <v>759347.92626728164</v>
      </c>
      <c r="N12" s="152">
        <f t="shared" si="2"/>
        <v>750720.27649769641</v>
      </c>
      <c r="O12" s="152">
        <f t="shared" si="2"/>
        <v>741490.32258064568</v>
      </c>
      <c r="P12" s="152">
        <f t="shared" si="2"/>
        <v>731658.06451612979</v>
      </c>
      <c r="Q12" s="152">
        <f t="shared" si="2"/>
        <v>721223.50230414816</v>
      </c>
      <c r="R12" s="152">
        <f t="shared" si="2"/>
        <v>710186.63594470115</v>
      </c>
      <c r="S12" s="152">
        <f t="shared" si="2"/>
        <v>698547.46543778887</v>
      </c>
      <c r="T12" s="152">
        <f t="shared" si="2"/>
        <v>686305.99078341085</v>
      </c>
      <c r="U12" s="152">
        <f t="shared" si="2"/>
        <v>673462.21198156767</v>
      </c>
      <c r="V12" s="152">
        <f t="shared" si="2"/>
        <v>660016.12903225876</v>
      </c>
      <c r="W12" s="152">
        <f t="shared" si="2"/>
        <v>645967.74193548458</v>
      </c>
      <c r="X12" s="152">
        <f t="shared" si="2"/>
        <v>631317.05069124489</v>
      </c>
      <c r="Y12" s="152">
        <f t="shared" si="2"/>
        <v>616064.05529953993</v>
      </c>
      <c r="Z12" s="152">
        <f t="shared" si="2"/>
        <v>600208.75576036936</v>
      </c>
      <c r="AA12" s="152">
        <f t="shared" si="2"/>
        <v>583751.15207373339</v>
      </c>
      <c r="AB12" s="152">
        <f t="shared" si="2"/>
        <v>566691.24423963192</v>
      </c>
      <c r="AC12" s="152">
        <f t="shared" si="2"/>
        <v>549029.03225806507</v>
      </c>
      <c r="AD12" s="152">
        <f t="shared" si="2"/>
        <v>530764.51612903283</v>
      </c>
      <c r="AE12" s="152">
        <f t="shared" si="2"/>
        <v>512400.00000000052</v>
      </c>
      <c r="AF12" s="152">
        <f t="shared" si="2"/>
        <v>494321.41935483931</v>
      </c>
      <c r="AG12" s="152">
        <f t="shared" si="2"/>
        <v>476128.77419354895</v>
      </c>
    </row>
    <row r="13" spans="1:36" x14ac:dyDescent="0.3">
      <c r="A13" s="147" t="s">
        <v>180</v>
      </c>
      <c r="B13" s="156">
        <v>1</v>
      </c>
      <c r="C13" s="160">
        <f t="shared" ref="C13:AG13" si="3">C20/C$12</f>
        <v>1</v>
      </c>
      <c r="D13" s="160">
        <f t="shared" si="3"/>
        <v>0.99951667022559787</v>
      </c>
      <c r="E13" s="160">
        <f t="shared" si="3"/>
        <v>0.99856491621662247</v>
      </c>
      <c r="F13" s="160">
        <f t="shared" si="3"/>
        <v>0.99715796185728356</v>
      </c>
      <c r="G13" s="160">
        <f t="shared" si="3"/>
        <v>0.99530741720698979</v>
      </c>
      <c r="H13" s="160">
        <f t="shared" si="3"/>
        <v>0.99302333183508351</v>
      </c>
      <c r="I13" s="160">
        <f t="shared" si="3"/>
        <v>0.98742702249185199</v>
      </c>
      <c r="J13" s="160">
        <f t="shared" si="3"/>
        <v>0.97853075131162881</v>
      </c>
      <c r="K13" s="160">
        <f t="shared" si="3"/>
        <v>0.9663214396229558</v>
      </c>
      <c r="L13" s="160">
        <f t="shared" si="3"/>
        <v>0.9507596685082873</v>
      </c>
      <c r="M13" s="160">
        <f t="shared" si="3"/>
        <v>0.93177811425641099</v>
      </c>
      <c r="N13" s="160">
        <f t="shared" si="3"/>
        <v>0.910653424698738</v>
      </c>
      <c r="O13" s="160">
        <f t="shared" si="3"/>
        <v>0.88734060311963592</v>
      </c>
      <c r="P13" s="160">
        <f t="shared" si="3"/>
        <v>0.86178164865106599</v>
      </c>
      <c r="Q13" s="160">
        <f t="shared" si="3"/>
        <v>0.83390423978710038</v>
      </c>
      <c r="R13" s="160">
        <f t="shared" si="3"/>
        <v>0.80362012971212249</v>
      </c>
      <c r="S13" s="160">
        <f t="shared" si="3"/>
        <v>0.7708231959932661</v>
      </c>
      <c r="T13" s="160">
        <f t="shared" si="3"/>
        <v>0.7353870719083806</v>
      </c>
      <c r="U13" s="160">
        <f t="shared" si="3"/>
        <v>0.69716226692933514</v>
      </c>
      <c r="V13" s="160">
        <f t="shared" si="3"/>
        <v>0.65597265811825622</v>
      </c>
      <c r="W13" s="160">
        <f t="shared" si="3"/>
        <v>0.61161120028535809</v>
      </c>
      <c r="X13" s="160">
        <f t="shared" si="3"/>
        <v>0.56542061873429761</v>
      </c>
      <c r="Y13" s="160">
        <f t="shared" si="3"/>
        <v>0.51713494093243995</v>
      </c>
      <c r="Z13" s="160">
        <f t="shared" si="3"/>
        <v>0.46644907724117562</v>
      </c>
      <c r="AA13" s="160">
        <f t="shared" si="3"/>
        <v>0.41301056254637969</v>
      </c>
      <c r="AB13" s="160">
        <f t="shared" si="3"/>
        <v>0.3564091825781488</v>
      </c>
      <c r="AC13" s="160">
        <f t="shared" si="3"/>
        <v>0.29616381832023625</v>
      </c>
      <c r="AD13" s="160">
        <f t="shared" si="3"/>
        <v>0.23170559118704631</v>
      </c>
      <c r="AE13" s="160">
        <f t="shared" si="3"/>
        <v>0.16317716933415477</v>
      </c>
      <c r="AF13" s="160">
        <f t="shared" si="3"/>
        <v>9.0793348248535466E-2</v>
      </c>
      <c r="AG13" s="160">
        <f t="shared" si="3"/>
        <v>1.4228056492173036E-2</v>
      </c>
    </row>
    <row r="14" spans="1:36" x14ac:dyDescent="0.3">
      <c r="A14" s="147" t="s">
        <v>175</v>
      </c>
      <c r="B14" s="156"/>
      <c r="C14" s="160">
        <f t="shared" ref="C14:AG14" si="4">C21/C$12</f>
        <v>0</v>
      </c>
      <c r="D14" s="160">
        <f t="shared" si="4"/>
        <v>3.4523555314445992E-4</v>
      </c>
      <c r="E14" s="160">
        <f t="shared" si="4"/>
        <v>1.0250598452696215E-3</v>
      </c>
      <c r="F14" s="160">
        <f t="shared" si="4"/>
        <v>2.0300272447974022E-3</v>
      </c>
      <c r="G14" s="160">
        <f t="shared" si="4"/>
        <v>3.3518448521501448E-3</v>
      </c>
      <c r="H14" s="160">
        <f t="shared" si="4"/>
        <v>4.9833344035117386E-3</v>
      </c>
      <c r="I14" s="160">
        <f t="shared" si="4"/>
        <v>9.3446648224149876E-3</v>
      </c>
      <c r="J14" s="160">
        <f t="shared" si="4"/>
        <v>1.6430420931736241E-2</v>
      </c>
      <c r="K14" s="160">
        <f t="shared" si="4"/>
        <v>2.6256218609411804E-2</v>
      </c>
      <c r="L14" s="160">
        <f t="shared" si="4"/>
        <v>3.8859596444871455E-2</v>
      </c>
      <c r="M14" s="160">
        <f t="shared" si="4"/>
        <v>5.4301380337847427E-2</v>
      </c>
      <c r="N14" s="160">
        <f t="shared" si="4"/>
        <v>7.1106237143683138E-2</v>
      </c>
      <c r="O14" s="160">
        <f t="shared" si="4"/>
        <v>8.931256890780423E-2</v>
      </c>
      <c r="P14" s="160">
        <f t="shared" si="4"/>
        <v>0.10896757443795972</v>
      </c>
      <c r="Q14" s="160">
        <f t="shared" si="4"/>
        <v>0.13012820635696493</v>
      </c>
      <c r="R14" s="160">
        <f t="shared" si="4"/>
        <v>0.15286232930267551</v>
      </c>
      <c r="S14" s="160">
        <f t="shared" si="4"/>
        <v>0.17725012006480836</v>
      </c>
      <c r="T14" s="160">
        <f t="shared" si="4"/>
        <v>0.20338576121142754</v>
      </c>
      <c r="U14" s="160">
        <f t="shared" si="4"/>
        <v>0.23137949368179939</v>
      </c>
      <c r="V14" s="160">
        <f t="shared" si="4"/>
        <v>0.26136011199279413</v>
      </c>
      <c r="W14" s="160">
        <f t="shared" si="4"/>
        <v>0.29347800963081822</v>
      </c>
      <c r="X14" s="160">
        <f t="shared" si="4"/>
        <v>0.32676699577651247</v>
      </c>
      <c r="Y14" s="160">
        <f t="shared" si="4"/>
        <v>0.36141967103486555</v>
      </c>
      <c r="Z14" s="160">
        <f t="shared" si="4"/>
        <v>0.39765603826011325</v>
      </c>
      <c r="AA14" s="160">
        <f t="shared" si="4"/>
        <v>0.43572935251116984</v>
      </c>
      <c r="AB14" s="160">
        <f t="shared" si="4"/>
        <v>0.47593346452850993</v>
      </c>
      <c r="AC14" s="160">
        <f t="shared" si="4"/>
        <v>0.51861212882734675</v>
      </c>
      <c r="AD14" s="160">
        <f t="shared" si="4"/>
        <v>0.5641709246465616</v>
      </c>
      <c r="AE14" s="160">
        <f t="shared" si="4"/>
        <v>0.61249168096641005</v>
      </c>
      <c r="AF14" s="160">
        <f t="shared" si="4"/>
        <v>0.66340770014114481</v>
      </c>
      <c r="AG14" s="160">
        <f t="shared" si="4"/>
        <v>0.71716095781081612</v>
      </c>
    </row>
    <row r="15" spans="1:36" x14ac:dyDescent="0.3">
      <c r="A15" s="147" t="s">
        <v>174</v>
      </c>
      <c r="C15" s="160">
        <f t="shared" ref="C15:AG15" si="5">C22/C$12</f>
        <v>0</v>
      </c>
      <c r="D15" s="160">
        <f t="shared" si="5"/>
        <v>1.3809422125778397E-4</v>
      </c>
      <c r="E15" s="160">
        <f t="shared" si="5"/>
        <v>4.1002393810784865E-4</v>
      </c>
      <c r="F15" s="160">
        <f t="shared" si="5"/>
        <v>8.1201089791896103E-4</v>
      </c>
      <c r="G15" s="160">
        <f t="shared" si="5"/>
        <v>1.3407379408600583E-3</v>
      </c>
      <c r="H15" s="160">
        <f t="shared" si="5"/>
        <v>1.9933337614046957E-3</v>
      </c>
      <c r="I15" s="160">
        <f t="shared" si="5"/>
        <v>3.0369133915553602E-3</v>
      </c>
      <c r="J15" s="160">
        <f t="shared" si="5"/>
        <v>4.468661149509447E-3</v>
      </c>
      <c r="K15" s="160">
        <f t="shared" si="5"/>
        <v>6.2887100997357798E-3</v>
      </c>
      <c r="L15" s="160">
        <f t="shared" si="5"/>
        <v>8.5002402113860138E-3</v>
      </c>
      <c r="M15" s="160">
        <f t="shared" si="5"/>
        <v>1.1109641124297154E-2</v>
      </c>
      <c r="N15" s="160">
        <f t="shared" si="5"/>
        <v>1.397923837199665E-2</v>
      </c>
      <c r="O15" s="160">
        <f t="shared" si="5"/>
        <v>1.7114268561136667E-2</v>
      </c>
      <c r="P15" s="160">
        <f t="shared" si="5"/>
        <v>2.0521534951861098E-2</v>
      </c>
      <c r="Q15" s="160">
        <f t="shared" si="5"/>
        <v>2.4209564520096712E-2</v>
      </c>
      <c r="R15" s="160">
        <f t="shared" si="5"/>
        <v>2.8188799595095695E-2</v>
      </c>
      <c r="S15" s="160">
        <f t="shared" si="5"/>
        <v>3.2471830948749433E-2</v>
      </c>
      <c r="T15" s="160">
        <f t="shared" si="5"/>
        <v>3.7073681044045279E-2</v>
      </c>
      <c r="U15" s="160">
        <f t="shared" si="5"/>
        <v>4.2012148516538381E-2</v>
      </c>
      <c r="V15" s="160">
        <f t="shared" si="5"/>
        <v>4.7308228049167844E-2</v>
      </c>
      <c r="W15" s="160">
        <f t="shared" si="5"/>
        <v>5.2986623863028284E-2</v>
      </c>
      <c r="X15" s="160">
        <f t="shared" si="5"/>
        <v>5.8854359038744176E-2</v>
      </c>
      <c r="Y15" s="160">
        <f t="shared" si="5"/>
        <v>6.4942151715326649E-2</v>
      </c>
      <c r="Z15" s="160">
        <f t="shared" si="5"/>
        <v>7.1285105873302043E-2</v>
      </c>
      <c r="AA15" s="160">
        <f t="shared" si="5"/>
        <v>7.7923646525727336E-2</v>
      </c>
      <c r="AB15" s="160">
        <f t="shared" si="5"/>
        <v>8.4904693751422969E-2</v>
      </c>
      <c r="AC15" s="160">
        <f t="shared" si="5"/>
        <v>9.22831508998289E-2</v>
      </c>
      <c r="AD15" s="160">
        <f t="shared" si="5"/>
        <v>0.10012381062357648</v>
      </c>
      <c r="AE15" s="160">
        <f t="shared" si="5"/>
        <v>0.10839745734359302</v>
      </c>
      <c r="AF15" s="160">
        <f t="shared" si="5"/>
        <v>0.11706594231846816</v>
      </c>
      <c r="AG15" s="160">
        <f t="shared" si="5"/>
        <v>0.12603299513983457</v>
      </c>
    </row>
    <row r="16" spans="1:36" x14ac:dyDescent="0.3">
      <c r="A16" s="147" t="s">
        <v>173</v>
      </c>
      <c r="C16" s="160">
        <f t="shared" ref="C16:AG16" si="6">C23/C$12</f>
        <v>0</v>
      </c>
      <c r="D16" s="160">
        <f t="shared" si="6"/>
        <v>0</v>
      </c>
      <c r="E16" s="160">
        <f t="shared" si="6"/>
        <v>0</v>
      </c>
      <c r="F16" s="160">
        <f t="shared" si="6"/>
        <v>0</v>
      </c>
      <c r="G16" s="160">
        <f t="shared" si="6"/>
        <v>0</v>
      </c>
      <c r="H16" s="160">
        <f t="shared" si="6"/>
        <v>0</v>
      </c>
      <c r="I16" s="160">
        <f t="shared" si="6"/>
        <v>0</v>
      </c>
      <c r="J16" s="160">
        <f t="shared" si="6"/>
        <v>0</v>
      </c>
      <c r="K16" s="160">
        <f t="shared" si="6"/>
        <v>0</v>
      </c>
      <c r="L16" s="160">
        <f t="shared" si="6"/>
        <v>0</v>
      </c>
      <c r="M16" s="160">
        <f t="shared" si="6"/>
        <v>0</v>
      </c>
      <c r="N16" s="160">
        <f t="shared" si="6"/>
        <v>0</v>
      </c>
      <c r="O16" s="160">
        <f t="shared" si="6"/>
        <v>0</v>
      </c>
      <c r="P16" s="160">
        <f t="shared" si="6"/>
        <v>0</v>
      </c>
      <c r="Q16" s="160">
        <f t="shared" si="6"/>
        <v>0</v>
      </c>
      <c r="R16" s="160">
        <f t="shared" si="6"/>
        <v>0</v>
      </c>
      <c r="S16" s="160">
        <f t="shared" si="6"/>
        <v>0</v>
      </c>
      <c r="T16" s="160">
        <f t="shared" si="6"/>
        <v>0</v>
      </c>
      <c r="U16" s="160">
        <f t="shared" si="6"/>
        <v>0</v>
      </c>
      <c r="V16" s="160">
        <f t="shared" si="6"/>
        <v>0</v>
      </c>
      <c r="W16" s="160">
        <f t="shared" si="6"/>
        <v>0</v>
      </c>
      <c r="X16" s="160">
        <f t="shared" si="6"/>
        <v>2.4178843438995909E-4</v>
      </c>
      <c r="Y16" s="160">
        <f t="shared" si="6"/>
        <v>7.3190964791350354E-4</v>
      </c>
      <c r="Z16" s="160">
        <f t="shared" si="6"/>
        <v>1.4790552902868644E-3</v>
      </c>
      <c r="AA16" s="160">
        <f t="shared" si="6"/>
        <v>2.4944345327375743E-3</v>
      </c>
      <c r="AB16" s="160">
        <f t="shared" si="6"/>
        <v>3.7922453891942823E-3</v>
      </c>
      <c r="AC16" s="160">
        <f t="shared" si="6"/>
        <v>5.390278438768728E-3</v>
      </c>
      <c r="AD16" s="160">
        <f t="shared" si="6"/>
        <v>7.310696074439172E-3</v>
      </c>
      <c r="AE16" s="160">
        <f t="shared" si="6"/>
        <v>9.5716552088841739E-3</v>
      </c>
      <c r="AF16" s="160">
        <f t="shared" si="6"/>
        <v>1.2188752205369295E-2</v>
      </c>
      <c r="AG16" s="160">
        <f t="shared" si="6"/>
        <v>1.5195807694204689E-2</v>
      </c>
    </row>
    <row r="17" spans="1:35" x14ac:dyDescent="0.3">
      <c r="A17" s="147" t="s">
        <v>172</v>
      </c>
      <c r="C17" s="160">
        <f t="shared" ref="C17:AG17" si="7">C24/C$12</f>
        <v>0</v>
      </c>
      <c r="D17" s="160">
        <f t="shared" si="7"/>
        <v>0</v>
      </c>
      <c r="E17" s="160">
        <f t="shared" si="7"/>
        <v>0</v>
      </c>
      <c r="F17" s="160">
        <f t="shared" si="7"/>
        <v>0</v>
      </c>
      <c r="G17" s="160">
        <f t="shared" si="7"/>
        <v>0</v>
      </c>
      <c r="H17" s="160">
        <f t="shared" si="7"/>
        <v>0</v>
      </c>
      <c r="I17" s="160">
        <f t="shared" si="7"/>
        <v>1.9139929417769932E-4</v>
      </c>
      <c r="J17" s="160">
        <f t="shared" si="7"/>
        <v>5.701666071254584E-4</v>
      </c>
      <c r="K17" s="160">
        <f t="shared" si="7"/>
        <v>1.1336316678965024E-3</v>
      </c>
      <c r="L17" s="160">
        <f t="shared" si="7"/>
        <v>1.8804948354551993E-3</v>
      </c>
      <c r="M17" s="160">
        <f t="shared" si="7"/>
        <v>2.8108642814444825E-3</v>
      </c>
      <c r="N17" s="160">
        <f t="shared" si="7"/>
        <v>4.2610997855822607E-3</v>
      </c>
      <c r="O17" s="160">
        <f t="shared" si="7"/>
        <v>6.2325594114232465E-3</v>
      </c>
      <c r="P17" s="160">
        <f t="shared" si="7"/>
        <v>8.729241959113121E-3</v>
      </c>
      <c r="Q17" s="160">
        <f t="shared" si="7"/>
        <v>1.1757989335838024E-2</v>
      </c>
      <c r="R17" s="160">
        <f t="shared" si="7"/>
        <v>1.5328741390106433E-2</v>
      </c>
      <c r="S17" s="160">
        <f t="shared" si="7"/>
        <v>1.9454852993176071E-2</v>
      </c>
      <c r="T17" s="160">
        <f t="shared" si="7"/>
        <v>2.4153485836146737E-2</v>
      </c>
      <c r="U17" s="160">
        <f t="shared" si="7"/>
        <v>2.9446090872326948E-2</v>
      </c>
      <c r="V17" s="160">
        <f t="shared" si="7"/>
        <v>3.5359001839781835E-2</v>
      </c>
      <c r="W17" s="160">
        <f t="shared" si="7"/>
        <v>4.1924166220795381E-2</v>
      </c>
      <c r="X17" s="160">
        <f t="shared" si="7"/>
        <v>4.8716238016055902E-2</v>
      </c>
      <c r="Y17" s="160">
        <f t="shared" si="7"/>
        <v>5.5771326669454203E-2</v>
      </c>
      <c r="Z17" s="160">
        <f t="shared" si="7"/>
        <v>6.3130723335122166E-2</v>
      </c>
      <c r="AA17" s="160">
        <f t="shared" si="7"/>
        <v>7.0842003883985552E-2</v>
      </c>
      <c r="AB17" s="160">
        <f t="shared" si="7"/>
        <v>7.8960413752724071E-2</v>
      </c>
      <c r="AC17" s="160">
        <f t="shared" si="7"/>
        <v>8.7550623513819398E-2</v>
      </c>
      <c r="AD17" s="160">
        <f t="shared" si="7"/>
        <v>9.6688977468376472E-2</v>
      </c>
      <c r="AE17" s="160">
        <f t="shared" si="7"/>
        <v>0.10636203714695804</v>
      </c>
      <c r="AF17" s="160">
        <f t="shared" si="7"/>
        <v>0.11654425708648211</v>
      </c>
      <c r="AG17" s="160">
        <f t="shared" si="7"/>
        <v>0.12738218286297154</v>
      </c>
    </row>
    <row r="18" spans="1:35" s="161" customFormat="1" ht="10.199999999999999" x14ac:dyDescent="0.2">
      <c r="B18" s="162">
        <f t="shared" ref="B18:AG18" si="8">SUM(B13:B17)</f>
        <v>1</v>
      </c>
      <c r="C18" s="162">
        <f t="shared" si="8"/>
        <v>1</v>
      </c>
      <c r="D18" s="162">
        <f t="shared" si="8"/>
        <v>1.0000000000000002</v>
      </c>
      <c r="E18" s="162">
        <f t="shared" si="8"/>
        <v>0.99999999999999989</v>
      </c>
      <c r="F18" s="162">
        <f t="shared" si="8"/>
        <v>0.99999999999999989</v>
      </c>
      <c r="G18" s="162">
        <f t="shared" si="8"/>
        <v>1</v>
      </c>
      <c r="H18" s="162">
        <f t="shared" si="8"/>
        <v>0.99999999999999989</v>
      </c>
      <c r="I18" s="162">
        <f t="shared" si="8"/>
        <v>1</v>
      </c>
      <c r="J18" s="162">
        <f t="shared" si="8"/>
        <v>1</v>
      </c>
      <c r="K18" s="162">
        <f t="shared" si="8"/>
        <v>0.99999999999999989</v>
      </c>
      <c r="L18" s="162">
        <f t="shared" si="8"/>
        <v>1</v>
      </c>
      <c r="M18" s="162">
        <f t="shared" si="8"/>
        <v>1</v>
      </c>
      <c r="N18" s="162">
        <f t="shared" si="8"/>
        <v>1</v>
      </c>
      <c r="O18" s="162">
        <f t="shared" si="8"/>
        <v>1</v>
      </c>
      <c r="P18" s="162">
        <f t="shared" si="8"/>
        <v>1</v>
      </c>
      <c r="Q18" s="162">
        <f t="shared" si="8"/>
        <v>1</v>
      </c>
      <c r="R18" s="162">
        <f t="shared" si="8"/>
        <v>1.0000000000000002</v>
      </c>
      <c r="S18" s="162">
        <f t="shared" si="8"/>
        <v>0.99999999999999989</v>
      </c>
      <c r="T18" s="162">
        <f t="shared" si="8"/>
        <v>1.0000000000000002</v>
      </c>
      <c r="U18" s="162">
        <f t="shared" si="8"/>
        <v>0.99999999999999989</v>
      </c>
      <c r="V18" s="162">
        <f t="shared" si="8"/>
        <v>1</v>
      </c>
      <c r="W18" s="162">
        <f t="shared" si="8"/>
        <v>1</v>
      </c>
      <c r="X18" s="162">
        <f t="shared" si="8"/>
        <v>1</v>
      </c>
      <c r="Y18" s="162">
        <f t="shared" si="8"/>
        <v>0.99999999999999989</v>
      </c>
      <c r="Z18" s="162">
        <f t="shared" si="8"/>
        <v>1</v>
      </c>
      <c r="AA18" s="162">
        <f t="shared" si="8"/>
        <v>1</v>
      </c>
      <c r="AB18" s="162">
        <f t="shared" si="8"/>
        <v>1</v>
      </c>
      <c r="AC18" s="162">
        <f t="shared" si="8"/>
        <v>1</v>
      </c>
      <c r="AD18" s="162">
        <f t="shared" si="8"/>
        <v>0.99999999999999989</v>
      </c>
      <c r="AE18" s="162">
        <f t="shared" si="8"/>
        <v>1.0000000000000002</v>
      </c>
      <c r="AF18" s="162">
        <f t="shared" si="8"/>
        <v>0.99999999999999978</v>
      </c>
      <c r="AG18" s="162">
        <f t="shared" si="8"/>
        <v>1</v>
      </c>
    </row>
    <row r="19" spans="1:35" x14ac:dyDescent="0.3"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</row>
    <row r="20" spans="1:35" x14ac:dyDescent="0.3">
      <c r="A20" s="147" t="s">
        <v>180</v>
      </c>
      <c r="B20" s="153">
        <f>B$12*B13</f>
        <v>800000</v>
      </c>
      <c r="C20" s="152">
        <f t="shared" ref="C20:AG20" si="9">B20-C43-C44+C35-C51</f>
        <v>799497.69585253461</v>
      </c>
      <c r="D20" s="152">
        <f t="shared" si="9"/>
        <v>798107.15207373281</v>
      </c>
      <c r="E20" s="152">
        <f t="shared" si="9"/>
        <v>795842.43317972368</v>
      </c>
      <c r="F20" s="152">
        <f t="shared" si="9"/>
        <v>792717.6036866362</v>
      </c>
      <c r="G20" s="152">
        <f t="shared" si="9"/>
        <v>788746.72811059933</v>
      </c>
      <c r="H20" s="152">
        <f t="shared" si="9"/>
        <v>783943.87096774229</v>
      </c>
      <c r="I20" s="152">
        <f t="shared" si="9"/>
        <v>775560.22119815706</v>
      </c>
      <c r="J20" s="152">
        <f t="shared" si="9"/>
        <v>763662.08294930914</v>
      </c>
      <c r="K20" s="152">
        <f t="shared" si="9"/>
        <v>748315.76036866405</v>
      </c>
      <c r="L20" s="152">
        <f t="shared" si="9"/>
        <v>729587.55760368716</v>
      </c>
      <c r="M20" s="152">
        <f t="shared" si="9"/>
        <v>707543.77880184387</v>
      </c>
      <c r="N20" s="152">
        <f t="shared" si="9"/>
        <v>683645.99078341073</v>
      </c>
      <c r="O20" s="152">
        <f t="shared" si="9"/>
        <v>657954.47004608356</v>
      </c>
      <c r="P20" s="152">
        <f t="shared" si="9"/>
        <v>630529.49308755831</v>
      </c>
      <c r="Q20" s="152">
        <f t="shared" si="9"/>
        <v>601431.33640553069</v>
      </c>
      <c r="R20" s="152">
        <f t="shared" si="9"/>
        <v>570720.27649769664</v>
      </c>
      <c r="S20" s="152">
        <f t="shared" si="9"/>
        <v>538456.589861752</v>
      </c>
      <c r="T20" s="152">
        <f t="shared" si="9"/>
        <v>504700.55299539253</v>
      </c>
      <c r="U20" s="152">
        <f t="shared" si="9"/>
        <v>469512.44239631417</v>
      </c>
      <c r="V20" s="152">
        <f t="shared" si="9"/>
        <v>432952.53456221276</v>
      </c>
      <c r="W20" s="152">
        <f t="shared" si="9"/>
        <v>395081.10599078418</v>
      </c>
      <c r="X20" s="152">
        <f t="shared" si="9"/>
        <v>356959.6774193556</v>
      </c>
      <c r="Y20" s="152">
        <f t="shared" si="9"/>
        <v>318588.24884792703</v>
      </c>
      <c r="Z20" s="152">
        <f t="shared" si="9"/>
        <v>279966.82027649845</v>
      </c>
      <c r="AA20" s="152">
        <f t="shared" si="9"/>
        <v>241095.39170506987</v>
      </c>
      <c r="AB20" s="152">
        <f t="shared" si="9"/>
        <v>201973.96313364129</v>
      </c>
      <c r="AC20" s="152">
        <f t="shared" si="9"/>
        <v>162602.53456221271</v>
      </c>
      <c r="AD20" s="152">
        <f t="shared" si="9"/>
        <v>122981.10599078413</v>
      </c>
      <c r="AE20" s="152">
        <f t="shared" si="9"/>
        <v>83611.981566820992</v>
      </c>
      <c r="AF20" s="152">
        <f t="shared" si="9"/>
        <v>44881.096774194266</v>
      </c>
      <c r="AG20" s="152">
        <f t="shared" si="9"/>
        <v>6774.3870967749135</v>
      </c>
    </row>
    <row r="21" spans="1:35" x14ac:dyDescent="0.3">
      <c r="A21" s="147" t="s">
        <v>175</v>
      </c>
      <c r="B21" s="153"/>
      <c r="C21" s="152"/>
      <c r="D21" s="152">
        <f t="shared" ref="D21:AG21" si="10">C21+D36-D45+D52</f>
        <v>275.66820276497697</v>
      </c>
      <c r="E21" s="152">
        <f t="shared" si="10"/>
        <v>816.95852534562209</v>
      </c>
      <c r="F21" s="152">
        <f t="shared" si="10"/>
        <v>1613.8248847926266</v>
      </c>
      <c r="G21" s="152">
        <f t="shared" si="10"/>
        <v>2656.2211981566816</v>
      </c>
      <c r="H21" s="152">
        <f t="shared" si="10"/>
        <v>3934.1013824884785</v>
      </c>
      <c r="I21" s="152">
        <f t="shared" si="10"/>
        <v>7339.6313364055295</v>
      </c>
      <c r="J21" s="152">
        <f t="shared" si="10"/>
        <v>12822.58064516129</v>
      </c>
      <c r="K21" s="152">
        <f t="shared" si="10"/>
        <v>20332.718894009216</v>
      </c>
      <c r="L21" s="152">
        <f t="shared" si="10"/>
        <v>29819.815668202762</v>
      </c>
      <c r="M21" s="152">
        <f t="shared" si="10"/>
        <v>41233.640552995384</v>
      </c>
      <c r="N21" s="152">
        <f t="shared" si="10"/>
        <v>53380.894009216579</v>
      </c>
      <c r="O21" s="152">
        <f t="shared" si="10"/>
        <v>66224.405529953903</v>
      </c>
      <c r="P21" s="152">
        <f t="shared" si="10"/>
        <v>79727.004608294912</v>
      </c>
      <c r="Q21" s="152">
        <f t="shared" si="10"/>
        <v>93851.52073732717</v>
      </c>
      <c r="R21" s="152">
        <f t="shared" si="10"/>
        <v>108560.78341013823</v>
      </c>
      <c r="S21" s="152">
        <f t="shared" si="10"/>
        <v>123817.62211981566</v>
      </c>
      <c r="T21" s="152">
        <f t="shared" si="10"/>
        <v>139584.86635944698</v>
      </c>
      <c r="U21" s="152">
        <f t="shared" si="10"/>
        <v>155825.34562211978</v>
      </c>
      <c r="V21" s="152">
        <f t="shared" si="10"/>
        <v>172501.88940092162</v>
      </c>
      <c r="W21" s="152">
        <f t="shared" si="10"/>
        <v>189577.32718894005</v>
      </c>
      <c r="X21" s="152">
        <f t="shared" si="10"/>
        <v>206293.57603686632</v>
      </c>
      <c r="Y21" s="152">
        <f t="shared" si="10"/>
        <v>222657.66820276494</v>
      </c>
      <c r="Z21" s="152">
        <f t="shared" si="10"/>
        <v>238676.63594470042</v>
      </c>
      <c r="AA21" s="152">
        <f t="shared" si="10"/>
        <v>254357.51152073729</v>
      </c>
      <c r="AB21" s="152">
        <f t="shared" si="10"/>
        <v>269707.32718894002</v>
      </c>
      <c r="AC21" s="152">
        <f t="shared" si="10"/>
        <v>284733.11520737316</v>
      </c>
      <c r="AD21" s="152">
        <f t="shared" si="10"/>
        <v>299441.90783410129</v>
      </c>
      <c r="AE21" s="152">
        <f t="shared" si="10"/>
        <v>313840.73732718884</v>
      </c>
      <c r="AF21" s="152">
        <f t="shared" si="10"/>
        <v>327936.63594470033</v>
      </c>
      <c r="AG21" s="152">
        <f t="shared" si="10"/>
        <v>341460.96774193534</v>
      </c>
    </row>
    <row r="22" spans="1:35" x14ac:dyDescent="0.3">
      <c r="A22" s="147" t="s">
        <v>174</v>
      </c>
      <c r="B22" s="153">
        <f>B$12*B15</f>
        <v>0</v>
      </c>
      <c r="D22" s="152">
        <f t="shared" ref="D22:AG22" si="11">C22+D37-D46+D53</f>
        <v>110.26728110599079</v>
      </c>
      <c r="E22" s="152">
        <f t="shared" si="11"/>
        <v>326.78341013824888</v>
      </c>
      <c r="F22" s="152">
        <f t="shared" si="11"/>
        <v>645.52995391705076</v>
      </c>
      <c r="G22" s="152">
        <f t="shared" si="11"/>
        <v>1062.4884792626729</v>
      </c>
      <c r="H22" s="152">
        <f t="shared" si="11"/>
        <v>1573.6405529953918</v>
      </c>
      <c r="I22" s="152">
        <f t="shared" si="11"/>
        <v>2385.2995391705072</v>
      </c>
      <c r="J22" s="152">
        <f t="shared" si="11"/>
        <v>3487.4193548387098</v>
      </c>
      <c r="K22" s="152">
        <f t="shared" si="11"/>
        <v>4869.9539170506914</v>
      </c>
      <c r="L22" s="152">
        <f t="shared" si="11"/>
        <v>6522.8571428571431</v>
      </c>
      <c r="M22" s="152">
        <f t="shared" si="11"/>
        <v>8436.0829493087549</v>
      </c>
      <c r="N22" s="152">
        <f t="shared" si="11"/>
        <v>10494.497695852533</v>
      </c>
      <c r="O22" s="152">
        <f t="shared" si="11"/>
        <v>12690.06451612903</v>
      </c>
      <c r="P22" s="152">
        <f t="shared" si="11"/>
        <v>15014.7465437788</v>
      </c>
      <c r="Q22" s="152">
        <f t="shared" si="11"/>
        <v>17460.506912442394</v>
      </c>
      <c r="R22" s="152">
        <f t="shared" si="11"/>
        <v>20019.308755760365</v>
      </c>
      <c r="S22" s="152">
        <f t="shared" si="11"/>
        <v>22683.115207373266</v>
      </c>
      <c r="T22" s="152">
        <f t="shared" si="11"/>
        <v>25443.889400921653</v>
      </c>
      <c r="U22" s="152">
        <f t="shared" si="11"/>
        <v>28293.594470046075</v>
      </c>
      <c r="V22" s="152">
        <f t="shared" si="11"/>
        <v>31224.193548387088</v>
      </c>
      <c r="W22" s="152">
        <f t="shared" si="11"/>
        <v>34227.649769585245</v>
      </c>
      <c r="X22" s="152">
        <f t="shared" si="11"/>
        <v>37155.760368663585</v>
      </c>
      <c r="Y22" s="152">
        <f t="shared" si="11"/>
        <v>40008.525345622111</v>
      </c>
      <c r="Z22" s="152">
        <f t="shared" si="11"/>
        <v>42785.944700460816</v>
      </c>
      <c r="AA22" s="152">
        <f t="shared" si="11"/>
        <v>45488.018433179706</v>
      </c>
      <c r="AB22" s="152">
        <f t="shared" si="11"/>
        <v>48114.746543778783</v>
      </c>
      <c r="AC22" s="152">
        <f t="shared" si="11"/>
        <v>50666.129032258046</v>
      </c>
      <c r="AD22" s="152">
        <f t="shared" si="11"/>
        <v>53142.165898617488</v>
      </c>
      <c r="AE22" s="152">
        <f t="shared" si="11"/>
        <v>55542.857142857116</v>
      </c>
      <c r="AF22" s="152">
        <f t="shared" si="11"/>
        <v>57868.20276497693</v>
      </c>
      <c r="AG22" s="152">
        <f t="shared" si="11"/>
        <v>60007.935483870941</v>
      </c>
    </row>
    <row r="23" spans="1:35" x14ac:dyDescent="0.3">
      <c r="A23" s="147" t="s">
        <v>173</v>
      </c>
      <c r="B23" s="153">
        <f>B$12*B16</f>
        <v>0</v>
      </c>
      <c r="D23" s="152">
        <f t="shared" ref="D23:AG23" si="12">C23+D38-D47+D54</f>
        <v>0</v>
      </c>
      <c r="E23" s="152">
        <f t="shared" si="12"/>
        <v>0</v>
      </c>
      <c r="F23" s="152">
        <f t="shared" si="12"/>
        <v>0</v>
      </c>
      <c r="G23" s="152">
        <f t="shared" si="12"/>
        <v>0</v>
      </c>
      <c r="H23" s="152">
        <f t="shared" si="12"/>
        <v>0</v>
      </c>
      <c r="I23" s="152">
        <f t="shared" si="12"/>
        <v>0</v>
      </c>
      <c r="J23" s="152">
        <f t="shared" si="12"/>
        <v>0</v>
      </c>
      <c r="K23" s="152">
        <f t="shared" si="12"/>
        <v>0</v>
      </c>
      <c r="L23" s="152">
        <f t="shared" si="12"/>
        <v>0</v>
      </c>
      <c r="M23" s="152">
        <f t="shared" si="12"/>
        <v>0</v>
      </c>
      <c r="N23" s="152">
        <f t="shared" si="12"/>
        <v>0</v>
      </c>
      <c r="O23" s="152">
        <f t="shared" si="12"/>
        <v>0</v>
      </c>
      <c r="P23" s="152">
        <f t="shared" si="12"/>
        <v>0</v>
      </c>
      <c r="Q23" s="152">
        <f t="shared" si="12"/>
        <v>0</v>
      </c>
      <c r="R23" s="152">
        <f t="shared" si="12"/>
        <v>0</v>
      </c>
      <c r="S23" s="152">
        <f t="shared" si="12"/>
        <v>0</v>
      </c>
      <c r="T23" s="152">
        <f t="shared" si="12"/>
        <v>0</v>
      </c>
      <c r="U23" s="152">
        <f t="shared" si="12"/>
        <v>0</v>
      </c>
      <c r="V23" s="152">
        <f t="shared" si="12"/>
        <v>0</v>
      </c>
      <c r="W23" s="152">
        <f t="shared" si="12"/>
        <v>0</v>
      </c>
      <c r="X23" s="152">
        <f t="shared" si="12"/>
        <v>152.64516129032253</v>
      </c>
      <c r="Y23" s="152">
        <f t="shared" si="12"/>
        <v>450.90322580645147</v>
      </c>
      <c r="Z23" s="152">
        <f t="shared" si="12"/>
        <v>887.74193548387075</v>
      </c>
      <c r="AA23" s="152">
        <f t="shared" si="12"/>
        <v>1456.1290322580639</v>
      </c>
      <c r="AB23" s="152">
        <f t="shared" si="12"/>
        <v>2149.0322580645152</v>
      </c>
      <c r="AC23" s="152">
        <f t="shared" si="12"/>
        <v>2959.4193548387084</v>
      </c>
      <c r="AD23" s="152">
        <f t="shared" si="12"/>
        <v>3880.258064516127</v>
      </c>
      <c r="AE23" s="152">
        <f t="shared" si="12"/>
        <v>4904.5161290322558</v>
      </c>
      <c r="AF23" s="152">
        <f t="shared" si="12"/>
        <v>6025.1612903225778</v>
      </c>
      <c r="AG23" s="152">
        <f t="shared" si="12"/>
        <v>7235.1612903225778</v>
      </c>
    </row>
    <row r="24" spans="1:35" x14ac:dyDescent="0.3">
      <c r="A24" s="147" t="s">
        <v>172</v>
      </c>
      <c r="B24" s="153">
        <f>B$12*B17</f>
        <v>0</v>
      </c>
      <c r="D24" s="152">
        <f t="shared" ref="D24:AG24" si="13">C24+D39-D48+D55</f>
        <v>0</v>
      </c>
      <c r="E24" s="152">
        <f t="shared" si="13"/>
        <v>0</v>
      </c>
      <c r="F24" s="152">
        <f t="shared" si="13"/>
        <v>0</v>
      </c>
      <c r="G24" s="152">
        <f t="shared" si="13"/>
        <v>0</v>
      </c>
      <c r="H24" s="152">
        <f t="shared" si="13"/>
        <v>0</v>
      </c>
      <c r="I24" s="152">
        <f t="shared" si="13"/>
        <v>150.33179723502303</v>
      </c>
      <c r="J24" s="152">
        <f t="shared" si="13"/>
        <v>444.96774193548384</v>
      </c>
      <c r="K24" s="152">
        <f t="shared" si="13"/>
        <v>877.88018433179718</v>
      </c>
      <c r="L24" s="152">
        <f t="shared" si="13"/>
        <v>1443.0414746543779</v>
      </c>
      <c r="M24" s="152">
        <f t="shared" si="13"/>
        <v>2134.4239631336404</v>
      </c>
      <c r="N24" s="152">
        <f t="shared" si="13"/>
        <v>3198.8940092165894</v>
      </c>
      <c r="O24" s="152">
        <f t="shared" si="13"/>
        <v>4621.3824884792621</v>
      </c>
      <c r="P24" s="152">
        <f t="shared" si="13"/>
        <v>6386.820276497695</v>
      </c>
      <c r="Q24" s="152">
        <f t="shared" si="13"/>
        <v>8480.1382488479248</v>
      </c>
      <c r="R24" s="152">
        <f t="shared" si="13"/>
        <v>10886.267281105989</v>
      </c>
      <c r="S24" s="152">
        <f t="shared" si="13"/>
        <v>13590.138248847925</v>
      </c>
      <c r="T24" s="152">
        <f t="shared" si="13"/>
        <v>16576.682027649767</v>
      </c>
      <c r="U24" s="152">
        <f t="shared" si="13"/>
        <v>19830.829493087556</v>
      </c>
      <c r="V24" s="152">
        <f t="shared" si="13"/>
        <v>23337.511520737324</v>
      </c>
      <c r="W24" s="152">
        <f t="shared" si="13"/>
        <v>27081.658986175109</v>
      </c>
      <c r="X24" s="152">
        <f t="shared" si="13"/>
        <v>30755.391705069116</v>
      </c>
      <c r="Y24" s="152">
        <f t="shared" si="13"/>
        <v>34358.709677419341</v>
      </c>
      <c r="Z24" s="152">
        <f t="shared" si="13"/>
        <v>37891.612903225789</v>
      </c>
      <c r="AA24" s="152">
        <f t="shared" si="13"/>
        <v>41354.101382488458</v>
      </c>
      <c r="AB24" s="152">
        <f t="shared" si="13"/>
        <v>44746.175115207348</v>
      </c>
      <c r="AC24" s="152">
        <f t="shared" si="13"/>
        <v>48067.834101382461</v>
      </c>
      <c r="AD24" s="152">
        <f t="shared" si="13"/>
        <v>51319.078341013796</v>
      </c>
      <c r="AE24" s="152">
        <f t="shared" si="13"/>
        <v>54499.907834101352</v>
      </c>
      <c r="AF24" s="152">
        <f t="shared" si="13"/>
        <v>57610.32258064513</v>
      </c>
      <c r="AG24" s="152">
        <f t="shared" si="13"/>
        <v>60650.32258064513</v>
      </c>
    </row>
    <row r="25" spans="1:35" x14ac:dyDescent="0.3"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</row>
    <row r="26" spans="1:35" x14ac:dyDescent="0.3">
      <c r="A26" s="348" t="s">
        <v>186</v>
      </c>
      <c r="B26" s="348"/>
      <c r="C26" s="348"/>
    </row>
    <row r="27" spans="1:35" x14ac:dyDescent="0.3">
      <c r="A27" s="147" t="s">
        <v>158</v>
      </c>
      <c r="B27" s="152">
        <f>AI8</f>
        <v>28571.428571428572</v>
      </c>
      <c r="C27" s="159">
        <f t="shared" ref="C27:AF27" si="14">B27+($AG27-$B27)/31</f>
        <v>28069.124423963134</v>
      </c>
      <c r="D27" s="159">
        <f t="shared" si="14"/>
        <v>27566.820276497696</v>
      </c>
      <c r="E27" s="159">
        <f t="shared" si="14"/>
        <v>27064.516129032258</v>
      </c>
      <c r="F27" s="159">
        <f t="shared" si="14"/>
        <v>26562.211981566819</v>
      </c>
      <c r="G27" s="159">
        <f t="shared" si="14"/>
        <v>26059.907834101381</v>
      </c>
      <c r="H27" s="159">
        <f t="shared" si="14"/>
        <v>25557.603686635943</v>
      </c>
      <c r="I27" s="159">
        <f t="shared" si="14"/>
        <v>25055.299539170504</v>
      </c>
      <c r="J27" s="159">
        <f t="shared" si="14"/>
        <v>24552.995391705066</v>
      </c>
      <c r="K27" s="159">
        <f t="shared" si="14"/>
        <v>24050.691244239628</v>
      </c>
      <c r="L27" s="159">
        <f t="shared" si="14"/>
        <v>23548.38709677419</v>
      </c>
      <c r="M27" s="159">
        <f t="shared" si="14"/>
        <v>23046.082949308751</v>
      </c>
      <c r="N27" s="159">
        <f t="shared" si="14"/>
        <v>22543.778801843313</v>
      </c>
      <c r="O27" s="159">
        <f t="shared" si="14"/>
        <v>22041.474654377875</v>
      </c>
      <c r="P27" s="159">
        <f t="shared" si="14"/>
        <v>21539.170506912436</v>
      </c>
      <c r="Q27" s="159">
        <f t="shared" si="14"/>
        <v>21036.866359446998</v>
      </c>
      <c r="R27" s="159">
        <f t="shared" si="14"/>
        <v>20534.56221198156</v>
      </c>
      <c r="S27" s="159">
        <f t="shared" si="14"/>
        <v>20032.258064516122</v>
      </c>
      <c r="T27" s="159">
        <f t="shared" si="14"/>
        <v>19529.953917050683</v>
      </c>
      <c r="U27" s="159">
        <f t="shared" si="14"/>
        <v>19027.649769585245</v>
      </c>
      <c r="V27" s="159">
        <f t="shared" si="14"/>
        <v>18525.345622119807</v>
      </c>
      <c r="W27" s="159">
        <f t="shared" si="14"/>
        <v>18023.041474654368</v>
      </c>
      <c r="X27" s="159">
        <f t="shared" si="14"/>
        <v>17520.73732718893</v>
      </c>
      <c r="Y27" s="159">
        <f t="shared" si="14"/>
        <v>17018.433179723492</v>
      </c>
      <c r="Z27" s="159">
        <f t="shared" si="14"/>
        <v>16516.129032258053</v>
      </c>
      <c r="AA27" s="159">
        <f t="shared" si="14"/>
        <v>16013.824884792615</v>
      </c>
      <c r="AB27" s="159">
        <f t="shared" si="14"/>
        <v>15511.520737327177</v>
      </c>
      <c r="AC27" s="159">
        <f t="shared" si="14"/>
        <v>15009.216589861739</v>
      </c>
      <c r="AD27" s="159">
        <f t="shared" si="14"/>
        <v>14506.9124423963</v>
      </c>
      <c r="AE27" s="159">
        <f t="shared" si="14"/>
        <v>14004.608294930862</v>
      </c>
      <c r="AF27" s="159">
        <f t="shared" si="14"/>
        <v>13502.304147465424</v>
      </c>
      <c r="AG27" s="158">
        <v>13000</v>
      </c>
      <c r="AI27" s="147" t="s">
        <v>185</v>
      </c>
    </row>
    <row r="28" spans="1:35" x14ac:dyDescent="0.3">
      <c r="A28" s="147" t="s">
        <v>180</v>
      </c>
      <c r="B28" s="156">
        <v>1</v>
      </c>
      <c r="C28" s="156">
        <f>B28</f>
        <v>1</v>
      </c>
      <c r="D28" s="156">
        <f t="shared" ref="D28:G32" si="15">C28+($H28-$C28)*1/5</f>
        <v>0.98599999999999999</v>
      </c>
      <c r="E28" s="156">
        <f t="shared" si="15"/>
        <v>0.97199999999999998</v>
      </c>
      <c r="F28" s="156">
        <f t="shared" si="15"/>
        <v>0.95799999999999996</v>
      </c>
      <c r="G28" s="156">
        <f t="shared" si="15"/>
        <v>0.94399999999999995</v>
      </c>
      <c r="H28" s="155">
        <v>0.93</v>
      </c>
      <c r="I28" s="156">
        <f t="shared" ref="I28:L32" si="16">H28+($M28-$H28)*1/5</f>
        <v>0.86399999999999999</v>
      </c>
      <c r="J28" s="156">
        <f t="shared" si="16"/>
        <v>0.79799999999999993</v>
      </c>
      <c r="K28" s="156">
        <f t="shared" si="16"/>
        <v>0.73199999999999987</v>
      </c>
      <c r="L28" s="156">
        <f t="shared" si="16"/>
        <v>0.66599999999999981</v>
      </c>
      <c r="M28" s="155">
        <v>0.6</v>
      </c>
      <c r="N28" s="156">
        <f t="shared" ref="N28:V28" si="17">M28+($W28-$M28)*1/10</f>
        <v>0.54</v>
      </c>
      <c r="O28" s="156">
        <f t="shared" si="17"/>
        <v>0.48000000000000004</v>
      </c>
      <c r="P28" s="156">
        <f t="shared" si="17"/>
        <v>0.42000000000000004</v>
      </c>
      <c r="Q28" s="156">
        <f t="shared" si="17"/>
        <v>0.36000000000000004</v>
      </c>
      <c r="R28" s="156">
        <f t="shared" si="17"/>
        <v>0.30000000000000004</v>
      </c>
      <c r="S28" s="156">
        <f t="shared" si="17"/>
        <v>0.24000000000000005</v>
      </c>
      <c r="T28" s="156">
        <f t="shared" si="17"/>
        <v>0.18000000000000005</v>
      </c>
      <c r="U28" s="156">
        <f t="shared" si="17"/>
        <v>0.12000000000000005</v>
      </c>
      <c r="V28" s="156">
        <f t="shared" si="17"/>
        <v>6.0000000000000053E-2</v>
      </c>
      <c r="W28" s="155">
        <v>0</v>
      </c>
      <c r="X28" s="156">
        <f t="shared" ref="X28:AF28" si="18">W28+($AG28-$W28)*1/10</f>
        <v>0</v>
      </c>
      <c r="Y28" s="156">
        <f t="shared" si="18"/>
        <v>0</v>
      </c>
      <c r="Z28" s="156">
        <f t="shared" si="18"/>
        <v>0</v>
      </c>
      <c r="AA28" s="156">
        <f t="shared" si="18"/>
        <v>0</v>
      </c>
      <c r="AB28" s="156">
        <f t="shared" si="18"/>
        <v>0</v>
      </c>
      <c r="AC28" s="156">
        <f t="shared" si="18"/>
        <v>0</v>
      </c>
      <c r="AD28" s="156">
        <f t="shared" si="18"/>
        <v>0</v>
      </c>
      <c r="AE28" s="156">
        <f t="shared" si="18"/>
        <v>0</v>
      </c>
      <c r="AF28" s="156">
        <f t="shared" si="18"/>
        <v>0</v>
      </c>
      <c r="AG28" s="158">
        <v>0</v>
      </c>
      <c r="AI28" s="147" t="s">
        <v>184</v>
      </c>
    </row>
    <row r="29" spans="1:35" x14ac:dyDescent="0.3">
      <c r="A29" s="147" t="s">
        <v>175</v>
      </c>
      <c r="B29" s="156"/>
      <c r="C29" s="156"/>
      <c r="D29" s="156">
        <f t="shared" si="15"/>
        <v>0.01</v>
      </c>
      <c r="E29" s="156">
        <f t="shared" si="15"/>
        <v>0.02</v>
      </c>
      <c r="F29" s="156">
        <f t="shared" si="15"/>
        <v>0.03</v>
      </c>
      <c r="G29" s="156">
        <f t="shared" si="15"/>
        <v>0.04</v>
      </c>
      <c r="H29" s="155">
        <v>0.05</v>
      </c>
      <c r="I29" s="156">
        <f t="shared" si="16"/>
        <v>0.1</v>
      </c>
      <c r="J29" s="156">
        <f t="shared" si="16"/>
        <v>0.15000000000000002</v>
      </c>
      <c r="K29" s="156">
        <f t="shared" si="16"/>
        <v>0.2</v>
      </c>
      <c r="L29" s="156">
        <f t="shared" si="16"/>
        <v>0.25</v>
      </c>
      <c r="M29" s="155">
        <v>0.3</v>
      </c>
      <c r="N29" s="156">
        <f t="shared" ref="N29:V29" si="19">M29+($W29-$M29)*1/10</f>
        <v>0.33699999999999997</v>
      </c>
      <c r="O29" s="156">
        <f t="shared" si="19"/>
        <v>0.374</v>
      </c>
      <c r="P29" s="156">
        <f t="shared" si="19"/>
        <v>0.41100000000000003</v>
      </c>
      <c r="Q29" s="156">
        <f t="shared" si="19"/>
        <v>0.44800000000000006</v>
      </c>
      <c r="R29" s="156">
        <f t="shared" si="19"/>
        <v>0.4850000000000001</v>
      </c>
      <c r="S29" s="156">
        <f t="shared" si="19"/>
        <v>0.52200000000000013</v>
      </c>
      <c r="T29" s="156">
        <f t="shared" si="19"/>
        <v>0.55900000000000016</v>
      </c>
      <c r="U29" s="156">
        <f t="shared" si="19"/>
        <v>0.5960000000000002</v>
      </c>
      <c r="V29" s="156">
        <f t="shared" si="19"/>
        <v>0.63300000000000023</v>
      </c>
      <c r="W29" s="155">
        <v>0.67</v>
      </c>
      <c r="X29" s="156">
        <f t="shared" ref="X29:AF29" si="20">W29+($AG29-$W29)*1/10</f>
        <v>0.66300000000000003</v>
      </c>
      <c r="Y29" s="156">
        <f t="shared" si="20"/>
        <v>0.65600000000000003</v>
      </c>
      <c r="Z29" s="156">
        <f t="shared" si="20"/>
        <v>0.64900000000000002</v>
      </c>
      <c r="AA29" s="156">
        <f t="shared" si="20"/>
        <v>0.64200000000000002</v>
      </c>
      <c r="AB29" s="156">
        <f t="shared" si="20"/>
        <v>0.63500000000000001</v>
      </c>
      <c r="AC29" s="156">
        <f t="shared" si="20"/>
        <v>0.628</v>
      </c>
      <c r="AD29" s="156">
        <f t="shared" si="20"/>
        <v>0.621</v>
      </c>
      <c r="AE29" s="156">
        <f t="shared" si="20"/>
        <v>0.61399999999999999</v>
      </c>
      <c r="AF29" s="156">
        <f t="shared" si="20"/>
        <v>0.60699999999999998</v>
      </c>
      <c r="AG29" s="155">
        <v>0.6</v>
      </c>
      <c r="AI29" s="147" t="s">
        <v>183</v>
      </c>
    </row>
    <row r="30" spans="1:35" x14ac:dyDescent="0.3">
      <c r="A30" s="147" t="s">
        <v>174</v>
      </c>
      <c r="D30" s="156">
        <f t="shared" si="15"/>
        <v>4.0000000000000001E-3</v>
      </c>
      <c r="E30" s="156">
        <f t="shared" si="15"/>
        <v>8.0000000000000002E-3</v>
      </c>
      <c r="F30" s="156">
        <f t="shared" si="15"/>
        <v>1.2E-2</v>
      </c>
      <c r="G30" s="156">
        <f t="shared" si="15"/>
        <v>1.6E-2</v>
      </c>
      <c r="H30" s="155">
        <v>0.02</v>
      </c>
      <c r="I30" s="156">
        <f t="shared" si="16"/>
        <v>0.03</v>
      </c>
      <c r="J30" s="156">
        <f t="shared" si="16"/>
        <v>0.04</v>
      </c>
      <c r="K30" s="156">
        <f t="shared" si="16"/>
        <v>0.05</v>
      </c>
      <c r="L30" s="156">
        <f t="shared" si="16"/>
        <v>6.0000000000000005E-2</v>
      </c>
      <c r="M30" s="155">
        <v>7.0000000000000007E-2</v>
      </c>
      <c r="N30" s="156">
        <f t="shared" ref="N30:V30" si="21">M30+($W30-$M30)*1/10</f>
        <v>7.8E-2</v>
      </c>
      <c r="O30" s="156">
        <f t="shared" si="21"/>
        <v>8.5999999999999993E-2</v>
      </c>
      <c r="P30" s="156">
        <f t="shared" si="21"/>
        <v>9.3999999999999986E-2</v>
      </c>
      <c r="Q30" s="156">
        <f t="shared" si="21"/>
        <v>0.10199999999999998</v>
      </c>
      <c r="R30" s="156">
        <f t="shared" si="21"/>
        <v>0.10999999999999997</v>
      </c>
      <c r="S30" s="156">
        <f t="shared" si="21"/>
        <v>0.11799999999999997</v>
      </c>
      <c r="T30" s="156">
        <f t="shared" si="21"/>
        <v>0.12599999999999997</v>
      </c>
      <c r="U30" s="156">
        <f t="shared" si="21"/>
        <v>0.13399999999999998</v>
      </c>
      <c r="V30" s="156">
        <f t="shared" si="21"/>
        <v>0.14199999999999999</v>
      </c>
      <c r="W30" s="155">
        <v>0.15</v>
      </c>
      <c r="X30" s="156">
        <f t="shared" ref="X30:AF30" si="22">W30+($AG30-$W30)*1/10</f>
        <v>0.15</v>
      </c>
      <c r="Y30" s="156">
        <f t="shared" si="22"/>
        <v>0.15</v>
      </c>
      <c r="Z30" s="156">
        <f t="shared" si="22"/>
        <v>0.15</v>
      </c>
      <c r="AA30" s="156">
        <f t="shared" si="22"/>
        <v>0.15</v>
      </c>
      <c r="AB30" s="156">
        <f t="shared" si="22"/>
        <v>0.15</v>
      </c>
      <c r="AC30" s="156">
        <f t="shared" si="22"/>
        <v>0.15</v>
      </c>
      <c r="AD30" s="156">
        <f t="shared" si="22"/>
        <v>0.15</v>
      </c>
      <c r="AE30" s="156">
        <f t="shared" si="22"/>
        <v>0.15</v>
      </c>
      <c r="AF30" s="156">
        <f t="shared" si="22"/>
        <v>0.15</v>
      </c>
      <c r="AG30" s="155">
        <v>0.15</v>
      </c>
      <c r="AI30" s="147" t="s">
        <v>182</v>
      </c>
    </row>
    <row r="31" spans="1:35" x14ac:dyDescent="0.3">
      <c r="A31" s="147" t="s">
        <v>173</v>
      </c>
      <c r="D31" s="156">
        <f t="shared" si="15"/>
        <v>0</v>
      </c>
      <c r="E31" s="156">
        <f t="shared" si="15"/>
        <v>0</v>
      </c>
      <c r="F31" s="156">
        <f t="shared" si="15"/>
        <v>0</v>
      </c>
      <c r="G31" s="156">
        <f t="shared" si="15"/>
        <v>0</v>
      </c>
      <c r="H31" s="155">
        <v>0</v>
      </c>
      <c r="I31" s="156">
        <f t="shared" si="16"/>
        <v>0</v>
      </c>
      <c r="J31" s="156">
        <f t="shared" si="16"/>
        <v>0</v>
      </c>
      <c r="K31" s="156">
        <f t="shared" si="16"/>
        <v>0</v>
      </c>
      <c r="L31" s="156">
        <f t="shared" si="16"/>
        <v>0</v>
      </c>
      <c r="M31" s="155">
        <v>0</v>
      </c>
      <c r="N31" s="156">
        <f t="shared" ref="N31:V31" si="23">M31+($W31-$M31)*1/10</f>
        <v>0</v>
      </c>
      <c r="O31" s="156">
        <f t="shared" si="23"/>
        <v>0</v>
      </c>
      <c r="P31" s="156">
        <f t="shared" si="23"/>
        <v>0</v>
      </c>
      <c r="Q31" s="156">
        <f t="shared" si="23"/>
        <v>0</v>
      </c>
      <c r="R31" s="156">
        <f t="shared" si="23"/>
        <v>0</v>
      </c>
      <c r="S31" s="156">
        <f t="shared" si="23"/>
        <v>0</v>
      </c>
      <c r="T31" s="156">
        <f t="shared" si="23"/>
        <v>0</v>
      </c>
      <c r="U31" s="156">
        <f t="shared" si="23"/>
        <v>0</v>
      </c>
      <c r="V31" s="156">
        <f t="shared" si="23"/>
        <v>0</v>
      </c>
      <c r="W31" s="155">
        <v>0</v>
      </c>
      <c r="X31" s="156">
        <f t="shared" ref="X31:AF31" si="24">W31+($AG31-$W31)*1/10</f>
        <v>7.000000000000001E-3</v>
      </c>
      <c r="Y31" s="156">
        <f t="shared" si="24"/>
        <v>1.4000000000000002E-2</v>
      </c>
      <c r="Z31" s="156">
        <f t="shared" si="24"/>
        <v>2.1000000000000005E-2</v>
      </c>
      <c r="AA31" s="156">
        <f t="shared" si="24"/>
        <v>2.8000000000000004E-2</v>
      </c>
      <c r="AB31" s="156">
        <f t="shared" si="24"/>
        <v>3.5000000000000003E-2</v>
      </c>
      <c r="AC31" s="156">
        <f t="shared" si="24"/>
        <v>4.2000000000000003E-2</v>
      </c>
      <c r="AD31" s="156">
        <f t="shared" si="24"/>
        <v>4.9000000000000002E-2</v>
      </c>
      <c r="AE31" s="156">
        <f t="shared" si="24"/>
        <v>5.6000000000000001E-2</v>
      </c>
      <c r="AF31" s="156">
        <f t="shared" si="24"/>
        <v>6.3E-2</v>
      </c>
      <c r="AG31" s="157">
        <v>7.0000000000000007E-2</v>
      </c>
      <c r="AI31" s="147" t="s">
        <v>294</v>
      </c>
    </row>
    <row r="32" spans="1:35" x14ac:dyDescent="0.3">
      <c r="A32" s="147" t="s">
        <v>172</v>
      </c>
      <c r="D32" s="156">
        <f t="shared" si="15"/>
        <v>0</v>
      </c>
      <c r="E32" s="156">
        <f t="shared" si="15"/>
        <v>0</v>
      </c>
      <c r="F32" s="156">
        <f t="shared" si="15"/>
        <v>0</v>
      </c>
      <c r="G32" s="156">
        <f t="shared" si="15"/>
        <v>0</v>
      </c>
      <c r="H32" s="155">
        <v>0</v>
      </c>
      <c r="I32" s="156">
        <f t="shared" si="16"/>
        <v>6.0000000000000001E-3</v>
      </c>
      <c r="J32" s="156">
        <f t="shared" si="16"/>
        <v>1.2E-2</v>
      </c>
      <c r="K32" s="156">
        <f t="shared" si="16"/>
        <v>1.8000000000000002E-2</v>
      </c>
      <c r="L32" s="156">
        <f t="shared" si="16"/>
        <v>2.4E-2</v>
      </c>
      <c r="M32" s="155">
        <v>0.03</v>
      </c>
      <c r="N32" s="156">
        <f t="shared" ref="N32:V32" si="25">M32+($W32-$M32)*1/10</f>
        <v>4.4999999999999998E-2</v>
      </c>
      <c r="O32" s="156">
        <f t="shared" si="25"/>
        <v>0.06</v>
      </c>
      <c r="P32" s="156">
        <f t="shared" si="25"/>
        <v>7.4999999999999997E-2</v>
      </c>
      <c r="Q32" s="156">
        <f t="shared" si="25"/>
        <v>0.09</v>
      </c>
      <c r="R32" s="156">
        <f t="shared" si="25"/>
        <v>0.105</v>
      </c>
      <c r="S32" s="156">
        <f t="shared" si="25"/>
        <v>0.12</v>
      </c>
      <c r="T32" s="156">
        <f t="shared" si="25"/>
        <v>0.13500000000000001</v>
      </c>
      <c r="U32" s="156">
        <f t="shared" si="25"/>
        <v>0.15000000000000002</v>
      </c>
      <c r="V32" s="156">
        <f t="shared" si="25"/>
        <v>0.16500000000000004</v>
      </c>
      <c r="W32" s="155">
        <v>0.18</v>
      </c>
      <c r="X32" s="156">
        <f t="shared" ref="X32:AF32" si="26">W32+($AG32-$W32)*1/10</f>
        <v>0.18</v>
      </c>
      <c r="Y32" s="156">
        <f t="shared" si="26"/>
        <v>0.18</v>
      </c>
      <c r="Z32" s="156">
        <f t="shared" si="26"/>
        <v>0.18</v>
      </c>
      <c r="AA32" s="156">
        <f t="shared" si="26"/>
        <v>0.18</v>
      </c>
      <c r="AB32" s="156">
        <f t="shared" si="26"/>
        <v>0.18</v>
      </c>
      <c r="AC32" s="156">
        <f t="shared" si="26"/>
        <v>0.18</v>
      </c>
      <c r="AD32" s="156">
        <f t="shared" si="26"/>
        <v>0.18</v>
      </c>
      <c r="AE32" s="156">
        <f t="shared" si="26"/>
        <v>0.18</v>
      </c>
      <c r="AF32" s="156">
        <f t="shared" si="26"/>
        <v>0.18</v>
      </c>
      <c r="AG32" s="155">
        <v>0.18</v>
      </c>
      <c r="AI32" s="147" t="s">
        <v>181</v>
      </c>
    </row>
    <row r="33" spans="1:35" x14ac:dyDescent="0.3">
      <c r="B33" s="154">
        <f t="shared" ref="B33:AG33" si="27">SUM(B28:B32)</f>
        <v>1</v>
      </c>
      <c r="C33" s="154">
        <f t="shared" si="27"/>
        <v>1</v>
      </c>
      <c r="D33" s="154">
        <f t="shared" si="27"/>
        <v>1</v>
      </c>
      <c r="E33" s="154">
        <f t="shared" si="27"/>
        <v>1</v>
      </c>
      <c r="F33" s="154">
        <f t="shared" si="27"/>
        <v>1</v>
      </c>
      <c r="G33" s="154">
        <f t="shared" si="27"/>
        <v>1</v>
      </c>
      <c r="H33" s="154">
        <f t="shared" si="27"/>
        <v>1</v>
      </c>
      <c r="I33" s="154">
        <f t="shared" si="27"/>
        <v>1</v>
      </c>
      <c r="J33" s="154">
        <f t="shared" si="27"/>
        <v>1</v>
      </c>
      <c r="K33" s="154">
        <f t="shared" si="27"/>
        <v>1</v>
      </c>
      <c r="L33" s="154">
        <f t="shared" si="27"/>
        <v>0.99999999999999989</v>
      </c>
      <c r="M33" s="154">
        <f t="shared" si="27"/>
        <v>1</v>
      </c>
      <c r="N33" s="154">
        <f t="shared" si="27"/>
        <v>1</v>
      </c>
      <c r="O33" s="154">
        <f t="shared" si="27"/>
        <v>1</v>
      </c>
      <c r="P33" s="154">
        <f t="shared" si="27"/>
        <v>1</v>
      </c>
      <c r="Q33" s="154">
        <f t="shared" si="27"/>
        <v>1</v>
      </c>
      <c r="R33" s="154">
        <f t="shared" si="27"/>
        <v>1.0000000000000002</v>
      </c>
      <c r="S33" s="154">
        <f t="shared" si="27"/>
        <v>1.0000000000000002</v>
      </c>
      <c r="T33" s="154">
        <f t="shared" si="27"/>
        <v>1.0000000000000002</v>
      </c>
      <c r="U33" s="154">
        <f t="shared" si="27"/>
        <v>1.0000000000000002</v>
      </c>
      <c r="V33" s="154">
        <f t="shared" si="27"/>
        <v>1.0000000000000004</v>
      </c>
      <c r="W33" s="154">
        <f t="shared" si="27"/>
        <v>1</v>
      </c>
      <c r="X33" s="154">
        <f t="shared" si="27"/>
        <v>1</v>
      </c>
      <c r="Y33" s="154">
        <f t="shared" si="27"/>
        <v>1</v>
      </c>
      <c r="Z33" s="154">
        <f t="shared" si="27"/>
        <v>1</v>
      </c>
      <c r="AA33" s="154">
        <f t="shared" si="27"/>
        <v>1</v>
      </c>
      <c r="AB33" s="154">
        <f t="shared" si="27"/>
        <v>1</v>
      </c>
      <c r="AC33" s="154">
        <f t="shared" si="27"/>
        <v>1</v>
      </c>
      <c r="AD33" s="154">
        <f t="shared" si="27"/>
        <v>1</v>
      </c>
      <c r="AE33" s="154">
        <f t="shared" si="27"/>
        <v>1</v>
      </c>
      <c r="AF33" s="154">
        <f t="shared" si="27"/>
        <v>1</v>
      </c>
      <c r="AG33" s="154">
        <f t="shared" si="27"/>
        <v>1</v>
      </c>
    </row>
    <row r="34" spans="1:35" x14ac:dyDescent="0.3"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</row>
    <row r="35" spans="1:35" x14ac:dyDescent="0.3">
      <c r="A35" s="147" t="s">
        <v>180</v>
      </c>
      <c r="B35" s="153">
        <f t="shared" ref="B35:AG35" si="28">B$27*B28</f>
        <v>28571.428571428572</v>
      </c>
      <c r="C35" s="153">
        <f t="shared" si="28"/>
        <v>28069.124423963134</v>
      </c>
      <c r="D35" s="153">
        <f t="shared" si="28"/>
        <v>27180.884792626726</v>
      </c>
      <c r="E35" s="153">
        <f t="shared" si="28"/>
        <v>26306.709677419352</v>
      </c>
      <c r="F35" s="153">
        <f t="shared" si="28"/>
        <v>25446.599078341013</v>
      </c>
      <c r="G35" s="153">
        <f t="shared" si="28"/>
        <v>24600.552995391703</v>
      </c>
      <c r="H35" s="153">
        <f t="shared" si="28"/>
        <v>23768.571428571428</v>
      </c>
      <c r="I35" s="153">
        <f t="shared" si="28"/>
        <v>21647.778801843317</v>
      </c>
      <c r="J35" s="153">
        <f t="shared" si="28"/>
        <v>19593.29032258064</v>
      </c>
      <c r="K35" s="153">
        <f t="shared" si="28"/>
        <v>17605.105990783406</v>
      </c>
      <c r="L35" s="153">
        <f t="shared" si="28"/>
        <v>15683.225806451606</v>
      </c>
      <c r="M35" s="153">
        <f t="shared" si="28"/>
        <v>13827.64976958525</v>
      </c>
      <c r="N35" s="153">
        <f t="shared" si="28"/>
        <v>12173.64055299539</v>
      </c>
      <c r="O35" s="153">
        <f t="shared" si="28"/>
        <v>10579.907834101381</v>
      </c>
      <c r="P35" s="153">
        <f t="shared" si="28"/>
        <v>9046.4516129032236</v>
      </c>
      <c r="Q35" s="153">
        <f t="shared" si="28"/>
        <v>7573.2718894009204</v>
      </c>
      <c r="R35" s="153">
        <f t="shared" si="28"/>
        <v>6160.3686635944687</v>
      </c>
      <c r="S35" s="153">
        <f t="shared" si="28"/>
        <v>4807.7419354838703</v>
      </c>
      <c r="T35" s="153">
        <f t="shared" si="28"/>
        <v>3515.3917050691239</v>
      </c>
      <c r="U35" s="153">
        <f t="shared" si="28"/>
        <v>2283.3179723502303</v>
      </c>
      <c r="V35" s="153">
        <f t="shared" si="28"/>
        <v>1111.5207373271894</v>
      </c>
      <c r="W35" s="153">
        <f t="shared" si="28"/>
        <v>0</v>
      </c>
      <c r="X35" s="153">
        <f t="shared" si="28"/>
        <v>0</v>
      </c>
      <c r="Y35" s="153">
        <f t="shared" si="28"/>
        <v>0</v>
      </c>
      <c r="Z35" s="153">
        <f t="shared" si="28"/>
        <v>0</v>
      </c>
      <c r="AA35" s="153">
        <f t="shared" si="28"/>
        <v>0</v>
      </c>
      <c r="AB35" s="153">
        <f t="shared" si="28"/>
        <v>0</v>
      </c>
      <c r="AC35" s="153">
        <f t="shared" si="28"/>
        <v>0</v>
      </c>
      <c r="AD35" s="153">
        <f t="shared" si="28"/>
        <v>0</v>
      </c>
      <c r="AE35" s="153">
        <f t="shared" si="28"/>
        <v>0</v>
      </c>
      <c r="AF35" s="153">
        <f t="shared" si="28"/>
        <v>0</v>
      </c>
      <c r="AG35" s="153">
        <f t="shared" si="28"/>
        <v>0</v>
      </c>
    </row>
    <row r="36" spans="1:35" x14ac:dyDescent="0.3">
      <c r="A36" s="147" t="s">
        <v>175</v>
      </c>
      <c r="B36" s="153"/>
      <c r="C36" s="153"/>
      <c r="D36" s="153">
        <f t="shared" ref="D36:AG36" si="29">D$27*D29</f>
        <v>275.66820276497697</v>
      </c>
      <c r="E36" s="153">
        <f t="shared" si="29"/>
        <v>541.29032258064512</v>
      </c>
      <c r="F36" s="153">
        <f t="shared" si="29"/>
        <v>796.86635944700458</v>
      </c>
      <c r="G36" s="153">
        <f t="shared" si="29"/>
        <v>1042.3963133640552</v>
      </c>
      <c r="H36" s="153">
        <f t="shared" si="29"/>
        <v>1277.8801843317972</v>
      </c>
      <c r="I36" s="153">
        <f t="shared" si="29"/>
        <v>2505.5299539170505</v>
      </c>
      <c r="J36" s="153">
        <f t="shared" si="29"/>
        <v>3682.9493087557603</v>
      </c>
      <c r="K36" s="153">
        <f t="shared" si="29"/>
        <v>4810.1382488479258</v>
      </c>
      <c r="L36" s="153">
        <f t="shared" si="29"/>
        <v>5887.0967741935474</v>
      </c>
      <c r="M36" s="153">
        <f t="shared" si="29"/>
        <v>6913.8248847926252</v>
      </c>
      <c r="N36" s="153">
        <f t="shared" si="29"/>
        <v>7597.2534562211958</v>
      </c>
      <c r="O36" s="153">
        <f t="shared" si="29"/>
        <v>8243.5115207373256</v>
      </c>
      <c r="P36" s="153">
        <f t="shared" si="29"/>
        <v>8852.5990783410125</v>
      </c>
      <c r="Q36" s="153">
        <f t="shared" si="29"/>
        <v>9424.5161290322558</v>
      </c>
      <c r="R36" s="153">
        <f t="shared" si="29"/>
        <v>9959.262672811059</v>
      </c>
      <c r="S36" s="153">
        <f t="shared" si="29"/>
        <v>10456.838709677419</v>
      </c>
      <c r="T36" s="153">
        <f t="shared" si="29"/>
        <v>10917.244239631334</v>
      </c>
      <c r="U36" s="153">
        <f t="shared" si="29"/>
        <v>11340.47926267281</v>
      </c>
      <c r="V36" s="153">
        <f t="shared" si="29"/>
        <v>11726.543778801843</v>
      </c>
      <c r="W36" s="153">
        <f t="shared" si="29"/>
        <v>12075.437788018427</v>
      </c>
      <c r="X36" s="153">
        <f t="shared" si="29"/>
        <v>11616.248847926261</v>
      </c>
      <c r="Y36" s="153">
        <f t="shared" si="29"/>
        <v>11164.092165898612</v>
      </c>
      <c r="Z36" s="153">
        <f t="shared" si="29"/>
        <v>10718.967741935478</v>
      </c>
      <c r="AA36" s="153">
        <f t="shared" si="29"/>
        <v>10280.875576036859</v>
      </c>
      <c r="AB36" s="153">
        <f t="shared" si="29"/>
        <v>9849.8156682027566</v>
      </c>
      <c r="AC36" s="153">
        <f t="shared" si="29"/>
        <v>9425.7880184331716</v>
      </c>
      <c r="AD36" s="153">
        <f t="shared" si="29"/>
        <v>9008.7926267281018</v>
      </c>
      <c r="AE36" s="153">
        <f t="shared" si="29"/>
        <v>8598.8294930875491</v>
      </c>
      <c r="AF36" s="153">
        <f t="shared" si="29"/>
        <v>8195.8986175115115</v>
      </c>
      <c r="AG36" s="153">
        <f t="shared" si="29"/>
        <v>7800</v>
      </c>
    </row>
    <row r="37" spans="1:35" x14ac:dyDescent="0.3">
      <c r="A37" s="147" t="s">
        <v>174</v>
      </c>
      <c r="B37" s="153">
        <f t="shared" ref="B37:C39" si="30">B$27*B30</f>
        <v>0</v>
      </c>
      <c r="C37" s="153">
        <f t="shared" si="30"/>
        <v>0</v>
      </c>
      <c r="D37" s="153">
        <f t="shared" ref="D37:AG37" si="31">D$27*D30</f>
        <v>110.26728110599079</v>
      </c>
      <c r="E37" s="153">
        <f t="shared" si="31"/>
        <v>216.51612903225808</v>
      </c>
      <c r="F37" s="153">
        <f t="shared" si="31"/>
        <v>318.74654377880182</v>
      </c>
      <c r="G37" s="153">
        <f t="shared" si="31"/>
        <v>416.95852534562209</v>
      </c>
      <c r="H37" s="153">
        <f t="shared" si="31"/>
        <v>511.15207373271886</v>
      </c>
      <c r="I37" s="153">
        <f t="shared" si="31"/>
        <v>751.65898617511516</v>
      </c>
      <c r="J37" s="153">
        <f t="shared" si="31"/>
        <v>982.1198156682027</v>
      </c>
      <c r="K37" s="153">
        <f t="shared" si="31"/>
        <v>1202.5345622119814</v>
      </c>
      <c r="L37" s="153">
        <f t="shared" si="31"/>
        <v>1412.9032258064515</v>
      </c>
      <c r="M37" s="153">
        <f t="shared" si="31"/>
        <v>1613.2258064516127</v>
      </c>
      <c r="N37" s="153">
        <f t="shared" si="31"/>
        <v>1758.4147465437784</v>
      </c>
      <c r="O37" s="153">
        <f t="shared" si="31"/>
        <v>1895.5668202764971</v>
      </c>
      <c r="P37" s="153">
        <f t="shared" si="31"/>
        <v>2024.6820276497688</v>
      </c>
      <c r="Q37" s="153">
        <f t="shared" si="31"/>
        <v>2145.7603686635935</v>
      </c>
      <c r="R37" s="153">
        <f t="shared" si="31"/>
        <v>2258.8018433179709</v>
      </c>
      <c r="S37" s="153">
        <f t="shared" si="31"/>
        <v>2363.8064516129016</v>
      </c>
      <c r="T37" s="153">
        <f t="shared" si="31"/>
        <v>2460.7741935483855</v>
      </c>
      <c r="U37" s="153">
        <f t="shared" si="31"/>
        <v>2549.7050691244226</v>
      </c>
      <c r="V37" s="153">
        <f t="shared" si="31"/>
        <v>2630.5990783410125</v>
      </c>
      <c r="W37" s="153">
        <f t="shared" si="31"/>
        <v>2703.4562211981552</v>
      </c>
      <c r="X37" s="153">
        <f t="shared" si="31"/>
        <v>2628.1105990783394</v>
      </c>
      <c r="Y37" s="153">
        <f t="shared" si="31"/>
        <v>2552.7649769585237</v>
      </c>
      <c r="Z37" s="153">
        <f t="shared" si="31"/>
        <v>2477.4193548387079</v>
      </c>
      <c r="AA37" s="153">
        <f t="shared" si="31"/>
        <v>2402.0737327188922</v>
      </c>
      <c r="AB37" s="153">
        <f t="shared" si="31"/>
        <v>2326.7281105990764</v>
      </c>
      <c r="AC37" s="153">
        <f t="shared" si="31"/>
        <v>2251.3824884792607</v>
      </c>
      <c r="AD37" s="153">
        <f t="shared" si="31"/>
        <v>2176.036866359445</v>
      </c>
      <c r="AE37" s="153">
        <f t="shared" si="31"/>
        <v>2100.6912442396292</v>
      </c>
      <c r="AF37" s="153">
        <f t="shared" si="31"/>
        <v>2025.3456221198135</v>
      </c>
      <c r="AG37" s="153">
        <f t="shared" si="31"/>
        <v>1950</v>
      </c>
    </row>
    <row r="38" spans="1:35" x14ac:dyDescent="0.3">
      <c r="A38" s="147" t="s">
        <v>173</v>
      </c>
      <c r="B38" s="153">
        <f t="shared" si="30"/>
        <v>0</v>
      </c>
      <c r="C38" s="153">
        <f t="shared" si="30"/>
        <v>0</v>
      </c>
      <c r="D38" s="153">
        <f t="shared" ref="D38:AG38" si="32">D$27*D31</f>
        <v>0</v>
      </c>
      <c r="E38" s="153">
        <f t="shared" si="32"/>
        <v>0</v>
      </c>
      <c r="F38" s="153">
        <f t="shared" si="32"/>
        <v>0</v>
      </c>
      <c r="G38" s="153">
        <f t="shared" si="32"/>
        <v>0</v>
      </c>
      <c r="H38" s="153">
        <f t="shared" si="32"/>
        <v>0</v>
      </c>
      <c r="I38" s="153">
        <f t="shared" si="32"/>
        <v>0</v>
      </c>
      <c r="J38" s="153">
        <f t="shared" si="32"/>
        <v>0</v>
      </c>
      <c r="K38" s="153">
        <f t="shared" si="32"/>
        <v>0</v>
      </c>
      <c r="L38" s="153">
        <f t="shared" si="32"/>
        <v>0</v>
      </c>
      <c r="M38" s="153">
        <f t="shared" si="32"/>
        <v>0</v>
      </c>
      <c r="N38" s="153">
        <f t="shared" si="32"/>
        <v>0</v>
      </c>
      <c r="O38" s="153">
        <f t="shared" si="32"/>
        <v>0</v>
      </c>
      <c r="P38" s="153">
        <f t="shared" si="32"/>
        <v>0</v>
      </c>
      <c r="Q38" s="153">
        <f t="shared" si="32"/>
        <v>0</v>
      </c>
      <c r="R38" s="153">
        <f t="shared" si="32"/>
        <v>0</v>
      </c>
      <c r="S38" s="153">
        <f t="shared" si="32"/>
        <v>0</v>
      </c>
      <c r="T38" s="153">
        <f t="shared" si="32"/>
        <v>0</v>
      </c>
      <c r="U38" s="153">
        <f t="shared" si="32"/>
        <v>0</v>
      </c>
      <c r="V38" s="153">
        <f t="shared" si="32"/>
        <v>0</v>
      </c>
      <c r="W38" s="153">
        <f t="shared" si="32"/>
        <v>0</v>
      </c>
      <c r="X38" s="153">
        <f t="shared" si="32"/>
        <v>122.64516129032253</v>
      </c>
      <c r="Y38" s="153">
        <f t="shared" si="32"/>
        <v>238.25806451612891</v>
      </c>
      <c r="Z38" s="153">
        <f t="shared" si="32"/>
        <v>346.83870967741922</v>
      </c>
      <c r="AA38" s="153">
        <f t="shared" si="32"/>
        <v>448.38709677419331</v>
      </c>
      <c r="AB38" s="153">
        <f t="shared" si="32"/>
        <v>542.90322580645125</v>
      </c>
      <c r="AC38" s="153">
        <f t="shared" si="32"/>
        <v>630.38709677419308</v>
      </c>
      <c r="AD38" s="153">
        <f t="shared" si="32"/>
        <v>710.83870967741871</v>
      </c>
      <c r="AE38" s="153">
        <f t="shared" si="32"/>
        <v>784.25806451612834</v>
      </c>
      <c r="AF38" s="153">
        <f t="shared" si="32"/>
        <v>850.64516129032165</v>
      </c>
      <c r="AG38" s="153">
        <f t="shared" si="32"/>
        <v>910.00000000000011</v>
      </c>
    </row>
    <row r="39" spans="1:35" x14ac:dyDescent="0.3">
      <c r="A39" s="147" t="s">
        <v>172</v>
      </c>
      <c r="B39" s="153">
        <f t="shared" si="30"/>
        <v>0</v>
      </c>
      <c r="C39" s="153">
        <f t="shared" si="30"/>
        <v>0</v>
      </c>
      <c r="D39" s="153">
        <f t="shared" ref="D39:AG39" si="33">D$27*D32</f>
        <v>0</v>
      </c>
      <c r="E39" s="153">
        <f t="shared" si="33"/>
        <v>0</v>
      </c>
      <c r="F39" s="153">
        <f t="shared" si="33"/>
        <v>0</v>
      </c>
      <c r="G39" s="153">
        <f t="shared" si="33"/>
        <v>0</v>
      </c>
      <c r="H39" s="153">
        <f t="shared" si="33"/>
        <v>0</v>
      </c>
      <c r="I39" s="153">
        <f t="shared" si="33"/>
        <v>150.33179723502303</v>
      </c>
      <c r="J39" s="153">
        <f t="shared" si="33"/>
        <v>294.63594470046081</v>
      </c>
      <c r="K39" s="153">
        <f t="shared" si="33"/>
        <v>432.91244239631334</v>
      </c>
      <c r="L39" s="153">
        <f t="shared" si="33"/>
        <v>565.16129032258061</v>
      </c>
      <c r="M39" s="153">
        <f t="shared" si="33"/>
        <v>691.38248847926252</v>
      </c>
      <c r="N39" s="153">
        <f t="shared" si="33"/>
        <v>1014.470046082949</v>
      </c>
      <c r="O39" s="153">
        <f t="shared" si="33"/>
        <v>1322.4884792626724</v>
      </c>
      <c r="P39" s="153">
        <f t="shared" si="33"/>
        <v>1615.4377880184327</v>
      </c>
      <c r="Q39" s="153">
        <f t="shared" si="33"/>
        <v>1893.3179723502299</v>
      </c>
      <c r="R39" s="153">
        <f t="shared" si="33"/>
        <v>2156.1290322580635</v>
      </c>
      <c r="S39" s="153">
        <f t="shared" si="33"/>
        <v>2403.8709677419347</v>
      </c>
      <c r="T39" s="153">
        <f t="shared" si="33"/>
        <v>2636.5437788018426</v>
      </c>
      <c r="U39" s="153">
        <f t="shared" si="33"/>
        <v>2854.1474654377871</v>
      </c>
      <c r="V39" s="153">
        <f t="shared" si="33"/>
        <v>3056.6820276497688</v>
      </c>
      <c r="W39" s="153">
        <f t="shared" si="33"/>
        <v>3244.1474654377862</v>
      </c>
      <c r="X39" s="153">
        <f t="shared" si="33"/>
        <v>3153.7327188940071</v>
      </c>
      <c r="Y39" s="153">
        <f t="shared" si="33"/>
        <v>3063.3179723502285</v>
      </c>
      <c r="Z39" s="153">
        <f t="shared" si="33"/>
        <v>2972.9032258064494</v>
      </c>
      <c r="AA39" s="153">
        <f t="shared" si="33"/>
        <v>2882.4884792626708</v>
      </c>
      <c r="AB39" s="153">
        <f t="shared" si="33"/>
        <v>2792.0737327188917</v>
      </c>
      <c r="AC39" s="153">
        <f t="shared" si="33"/>
        <v>2701.6589861751127</v>
      </c>
      <c r="AD39" s="153">
        <f t="shared" si="33"/>
        <v>2611.244239631334</v>
      </c>
      <c r="AE39" s="153">
        <f t="shared" si="33"/>
        <v>2520.829493087555</v>
      </c>
      <c r="AF39" s="153">
        <f t="shared" si="33"/>
        <v>2430.4147465437763</v>
      </c>
      <c r="AG39" s="153">
        <f t="shared" si="33"/>
        <v>2340</v>
      </c>
    </row>
    <row r="41" spans="1:35" x14ac:dyDescent="0.3">
      <c r="A41" s="348" t="s">
        <v>179</v>
      </c>
      <c r="B41" s="348"/>
      <c r="C41" s="348"/>
    </row>
    <row r="42" spans="1:35" x14ac:dyDescent="0.3">
      <c r="A42" s="147" t="s">
        <v>158</v>
      </c>
      <c r="B42" s="152">
        <f t="shared" ref="B42:AG42" si="34">SUM(B43:B48)</f>
        <v>28571.428571428572</v>
      </c>
      <c r="C42" s="152">
        <f t="shared" si="34"/>
        <v>28571.428571428572</v>
      </c>
      <c r="D42" s="152">
        <f t="shared" si="34"/>
        <v>28571.428571428572</v>
      </c>
      <c r="E42" s="152">
        <f t="shared" si="34"/>
        <v>28571.428571428572</v>
      </c>
      <c r="F42" s="152">
        <f t="shared" si="34"/>
        <v>28571.428571428572</v>
      </c>
      <c r="G42" s="152">
        <f t="shared" si="34"/>
        <v>28571.428571428572</v>
      </c>
      <c r="H42" s="152">
        <f t="shared" si="34"/>
        <v>28571.428571428572</v>
      </c>
      <c r="I42" s="152">
        <f t="shared" si="34"/>
        <v>29071.428571428572</v>
      </c>
      <c r="J42" s="152">
        <f t="shared" si="34"/>
        <v>29571.428571428572</v>
      </c>
      <c r="K42" s="152">
        <f t="shared" si="34"/>
        <v>30071.428571428572</v>
      </c>
      <c r="L42" s="152">
        <f t="shared" si="34"/>
        <v>30571.428571428572</v>
      </c>
      <c r="M42" s="152">
        <f t="shared" si="34"/>
        <v>31071.428571428572</v>
      </c>
      <c r="N42" s="152">
        <f t="shared" si="34"/>
        <v>31171.428571428572</v>
      </c>
      <c r="O42" s="152">
        <f t="shared" si="34"/>
        <v>31271.428571428572</v>
      </c>
      <c r="P42" s="152">
        <f t="shared" si="34"/>
        <v>31371.428571428572</v>
      </c>
      <c r="Q42" s="152">
        <f t="shared" si="34"/>
        <v>31471.428571428572</v>
      </c>
      <c r="R42" s="152">
        <f t="shared" si="34"/>
        <v>31571.428571428572</v>
      </c>
      <c r="S42" s="152">
        <f t="shared" si="34"/>
        <v>31671.428571428572</v>
      </c>
      <c r="T42" s="152">
        <f t="shared" si="34"/>
        <v>31771.428571428572</v>
      </c>
      <c r="U42" s="152">
        <f t="shared" si="34"/>
        <v>31871.428571428572</v>
      </c>
      <c r="V42" s="152">
        <f t="shared" si="34"/>
        <v>31971.428571428572</v>
      </c>
      <c r="W42" s="152">
        <f t="shared" si="34"/>
        <v>32071.428571428572</v>
      </c>
      <c r="X42" s="152">
        <f t="shared" si="34"/>
        <v>32171.428571428572</v>
      </c>
      <c r="Y42" s="152">
        <f t="shared" si="34"/>
        <v>32271.428571428572</v>
      </c>
      <c r="Z42" s="152">
        <f t="shared" si="34"/>
        <v>32371.428571428572</v>
      </c>
      <c r="AA42" s="152">
        <f t="shared" si="34"/>
        <v>32471.428571428572</v>
      </c>
      <c r="AB42" s="152">
        <f t="shared" si="34"/>
        <v>32571.428571428572</v>
      </c>
      <c r="AC42" s="152">
        <f t="shared" si="34"/>
        <v>32671.428571428572</v>
      </c>
      <c r="AD42" s="152">
        <f t="shared" si="34"/>
        <v>32771.428571428572</v>
      </c>
      <c r="AE42" s="152">
        <f t="shared" si="34"/>
        <v>32369.124423963134</v>
      </c>
      <c r="AF42" s="152">
        <f t="shared" si="34"/>
        <v>31580.884792626726</v>
      </c>
      <c r="AG42" s="152">
        <f t="shared" si="34"/>
        <v>31192.645161290318</v>
      </c>
    </row>
    <row r="43" spans="1:35" x14ac:dyDescent="0.3">
      <c r="A43" s="147" t="s">
        <v>178</v>
      </c>
      <c r="B43" s="152">
        <f>AI8</f>
        <v>28571.428571428572</v>
      </c>
      <c r="C43" s="152">
        <f t="shared" ref="C43:AD43" si="35">B43</f>
        <v>28571.428571428572</v>
      </c>
      <c r="D43" s="152">
        <f t="shared" si="35"/>
        <v>28571.428571428572</v>
      </c>
      <c r="E43" s="152">
        <f t="shared" si="35"/>
        <v>28571.428571428572</v>
      </c>
      <c r="F43" s="152">
        <f t="shared" si="35"/>
        <v>28571.428571428572</v>
      </c>
      <c r="G43" s="152">
        <f t="shared" si="35"/>
        <v>28571.428571428572</v>
      </c>
      <c r="H43" s="152">
        <f t="shared" si="35"/>
        <v>28571.428571428572</v>
      </c>
      <c r="I43" s="152">
        <f t="shared" si="35"/>
        <v>28571.428571428572</v>
      </c>
      <c r="J43" s="152">
        <f t="shared" si="35"/>
        <v>28571.428571428572</v>
      </c>
      <c r="K43" s="152">
        <f t="shared" si="35"/>
        <v>28571.428571428572</v>
      </c>
      <c r="L43" s="152">
        <f t="shared" si="35"/>
        <v>28571.428571428572</v>
      </c>
      <c r="M43" s="152">
        <f t="shared" si="35"/>
        <v>28571.428571428572</v>
      </c>
      <c r="N43" s="152">
        <f t="shared" si="35"/>
        <v>28571.428571428572</v>
      </c>
      <c r="O43" s="152">
        <f t="shared" si="35"/>
        <v>28571.428571428572</v>
      </c>
      <c r="P43" s="152">
        <f t="shared" si="35"/>
        <v>28571.428571428572</v>
      </c>
      <c r="Q43" s="152">
        <f t="shared" si="35"/>
        <v>28571.428571428572</v>
      </c>
      <c r="R43" s="152">
        <f t="shared" si="35"/>
        <v>28571.428571428572</v>
      </c>
      <c r="S43" s="152">
        <f t="shared" si="35"/>
        <v>28571.428571428572</v>
      </c>
      <c r="T43" s="152">
        <f t="shared" si="35"/>
        <v>28571.428571428572</v>
      </c>
      <c r="U43" s="152">
        <f t="shared" si="35"/>
        <v>28571.428571428572</v>
      </c>
      <c r="V43" s="152">
        <f t="shared" si="35"/>
        <v>28571.428571428572</v>
      </c>
      <c r="W43" s="152">
        <f t="shared" si="35"/>
        <v>28571.428571428572</v>
      </c>
      <c r="X43" s="152">
        <f t="shared" si="35"/>
        <v>28571.428571428572</v>
      </c>
      <c r="Y43" s="152">
        <f t="shared" si="35"/>
        <v>28571.428571428572</v>
      </c>
      <c r="Z43" s="152">
        <f t="shared" si="35"/>
        <v>28571.428571428572</v>
      </c>
      <c r="AA43" s="152">
        <f t="shared" si="35"/>
        <v>28571.428571428572</v>
      </c>
      <c r="AB43" s="152">
        <f t="shared" si="35"/>
        <v>28571.428571428572</v>
      </c>
      <c r="AC43" s="152">
        <f t="shared" si="35"/>
        <v>28571.428571428572</v>
      </c>
      <c r="AD43" s="152">
        <f t="shared" si="35"/>
        <v>28571.428571428572</v>
      </c>
      <c r="AE43" s="152">
        <f>C35</f>
        <v>28069.124423963134</v>
      </c>
      <c r="AF43" s="152">
        <f>D35</f>
        <v>27180.884792626726</v>
      </c>
      <c r="AG43" s="152">
        <f>E35</f>
        <v>26306.709677419352</v>
      </c>
    </row>
    <row r="44" spans="1:35" x14ac:dyDescent="0.3">
      <c r="A44" s="147" t="s">
        <v>177</v>
      </c>
      <c r="B44" s="152"/>
      <c r="C44" s="152"/>
      <c r="D44" s="152"/>
      <c r="E44" s="152"/>
      <c r="F44" s="152"/>
      <c r="G44" s="152"/>
      <c r="H44" s="151">
        <v>0</v>
      </c>
      <c r="I44" s="152">
        <f>H44+($M44-$H44)/5</f>
        <v>500</v>
      </c>
      <c r="J44" s="152">
        <f>I44+($M44-$H44)/5</f>
        <v>1000</v>
      </c>
      <c r="K44" s="152">
        <f>J44+($M44-$H44)/5</f>
        <v>1500</v>
      </c>
      <c r="L44" s="152">
        <f>K44+($M44-$H44)/5</f>
        <v>2000</v>
      </c>
      <c r="M44" s="151">
        <v>2500</v>
      </c>
      <c r="N44" s="152">
        <f t="shared" ref="N44:V44" si="36">M44+($W44-$M44)/10</f>
        <v>2600</v>
      </c>
      <c r="O44" s="152">
        <f t="shared" si="36"/>
        <v>2700</v>
      </c>
      <c r="P44" s="152">
        <f t="shared" si="36"/>
        <v>2800</v>
      </c>
      <c r="Q44" s="152">
        <f t="shared" si="36"/>
        <v>2900</v>
      </c>
      <c r="R44" s="152">
        <f t="shared" si="36"/>
        <v>3000</v>
      </c>
      <c r="S44" s="152">
        <f t="shared" si="36"/>
        <v>3100</v>
      </c>
      <c r="T44" s="152">
        <f t="shared" si="36"/>
        <v>3200</v>
      </c>
      <c r="U44" s="152">
        <f t="shared" si="36"/>
        <v>3300</v>
      </c>
      <c r="V44" s="152">
        <f t="shared" si="36"/>
        <v>3400</v>
      </c>
      <c r="W44" s="151">
        <v>3500</v>
      </c>
      <c r="X44" s="152">
        <f t="shared" ref="X44:AF44" si="37">W44+($AG44-$W44)/10</f>
        <v>3600</v>
      </c>
      <c r="Y44" s="152">
        <f t="shared" si="37"/>
        <v>3700</v>
      </c>
      <c r="Z44" s="152">
        <f t="shared" si="37"/>
        <v>3800</v>
      </c>
      <c r="AA44" s="152">
        <f t="shared" si="37"/>
        <v>3900</v>
      </c>
      <c r="AB44" s="152">
        <f t="shared" si="37"/>
        <v>4000</v>
      </c>
      <c r="AC44" s="152">
        <f t="shared" si="37"/>
        <v>4100</v>
      </c>
      <c r="AD44" s="152">
        <f t="shared" si="37"/>
        <v>4200</v>
      </c>
      <c r="AE44" s="152">
        <f t="shared" si="37"/>
        <v>4300</v>
      </c>
      <c r="AF44" s="152">
        <f t="shared" si="37"/>
        <v>4400</v>
      </c>
      <c r="AG44" s="151">
        <v>4500</v>
      </c>
      <c r="AI44" s="147" t="s">
        <v>176</v>
      </c>
    </row>
    <row r="45" spans="1:35" x14ac:dyDescent="0.3">
      <c r="A45" s="147" t="s">
        <v>175</v>
      </c>
      <c r="B45" s="152">
        <v>0</v>
      </c>
      <c r="C45" s="152">
        <v>0</v>
      </c>
      <c r="D45" s="152">
        <v>0</v>
      </c>
      <c r="E45" s="152">
        <v>0</v>
      </c>
      <c r="F45" s="152">
        <v>0</v>
      </c>
      <c r="G45" s="152">
        <v>0</v>
      </c>
      <c r="H45" s="152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2">
        <v>0</v>
      </c>
      <c r="O45" s="152">
        <v>0</v>
      </c>
      <c r="P45" s="152">
        <v>0</v>
      </c>
      <c r="Q45" s="152">
        <v>0</v>
      </c>
      <c r="R45" s="152">
        <v>0</v>
      </c>
      <c r="S45" s="152">
        <v>0</v>
      </c>
      <c r="T45" s="152">
        <v>0</v>
      </c>
      <c r="U45" s="152">
        <v>0</v>
      </c>
      <c r="V45" s="152">
        <v>0</v>
      </c>
      <c r="W45" s="152">
        <v>0</v>
      </c>
      <c r="X45" s="152">
        <v>0</v>
      </c>
      <c r="Y45" s="152">
        <v>0</v>
      </c>
      <c r="Z45" s="152">
        <v>0</v>
      </c>
      <c r="AA45" s="152">
        <v>0</v>
      </c>
      <c r="AB45" s="152">
        <v>0</v>
      </c>
      <c r="AC45" s="152">
        <v>0</v>
      </c>
      <c r="AD45" s="152">
        <v>0</v>
      </c>
      <c r="AE45" s="152">
        <f t="shared" ref="AE45:AG48" si="38">B36</f>
        <v>0</v>
      </c>
      <c r="AF45" s="152">
        <f t="shared" si="38"/>
        <v>0</v>
      </c>
      <c r="AG45" s="152">
        <f t="shared" si="38"/>
        <v>275.66820276497697</v>
      </c>
    </row>
    <row r="46" spans="1:35" x14ac:dyDescent="0.3">
      <c r="A46" s="147" t="s">
        <v>174</v>
      </c>
      <c r="B46" s="152">
        <v>0</v>
      </c>
      <c r="C46" s="152">
        <v>0</v>
      </c>
      <c r="D46" s="152">
        <v>0</v>
      </c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2">
        <v>0</v>
      </c>
      <c r="O46" s="152">
        <v>0</v>
      </c>
      <c r="P46" s="152">
        <v>0</v>
      </c>
      <c r="Q46" s="152">
        <v>0</v>
      </c>
      <c r="R46" s="152">
        <v>0</v>
      </c>
      <c r="S46" s="152">
        <v>0</v>
      </c>
      <c r="T46" s="152">
        <v>0</v>
      </c>
      <c r="U46" s="152">
        <v>0</v>
      </c>
      <c r="V46" s="152">
        <v>0</v>
      </c>
      <c r="W46" s="152">
        <v>0</v>
      </c>
      <c r="X46" s="152">
        <v>0</v>
      </c>
      <c r="Y46" s="152">
        <v>0</v>
      </c>
      <c r="Z46" s="152">
        <v>0</v>
      </c>
      <c r="AA46" s="152">
        <v>0</v>
      </c>
      <c r="AB46" s="152">
        <v>0</v>
      </c>
      <c r="AC46" s="152">
        <v>0</v>
      </c>
      <c r="AD46" s="152">
        <v>0</v>
      </c>
      <c r="AE46" s="152">
        <f t="shared" si="38"/>
        <v>0</v>
      </c>
      <c r="AF46" s="152">
        <f t="shared" si="38"/>
        <v>0</v>
      </c>
      <c r="AG46" s="152">
        <f t="shared" si="38"/>
        <v>110.26728110599079</v>
      </c>
    </row>
    <row r="47" spans="1:35" x14ac:dyDescent="0.3">
      <c r="A47" s="147" t="s">
        <v>173</v>
      </c>
      <c r="B47" s="152">
        <v>0</v>
      </c>
      <c r="C47" s="152">
        <v>0</v>
      </c>
      <c r="D47" s="152">
        <v>0</v>
      </c>
      <c r="E47" s="152">
        <v>0</v>
      </c>
      <c r="F47" s="152">
        <v>0</v>
      </c>
      <c r="G47" s="152">
        <v>0</v>
      </c>
      <c r="H47" s="152">
        <v>0</v>
      </c>
      <c r="I47" s="152">
        <v>0</v>
      </c>
      <c r="J47" s="152">
        <v>0</v>
      </c>
      <c r="K47" s="152">
        <v>0</v>
      </c>
      <c r="L47" s="152">
        <v>0</v>
      </c>
      <c r="M47" s="152">
        <v>0</v>
      </c>
      <c r="N47" s="152">
        <v>0</v>
      </c>
      <c r="O47" s="152">
        <v>0</v>
      </c>
      <c r="P47" s="152">
        <v>0</v>
      </c>
      <c r="Q47" s="152">
        <v>0</v>
      </c>
      <c r="R47" s="152">
        <v>0</v>
      </c>
      <c r="S47" s="152">
        <v>0</v>
      </c>
      <c r="T47" s="152">
        <v>0</v>
      </c>
      <c r="U47" s="152">
        <v>0</v>
      </c>
      <c r="V47" s="152">
        <v>0</v>
      </c>
      <c r="W47" s="152">
        <v>0</v>
      </c>
      <c r="X47" s="152">
        <v>0</v>
      </c>
      <c r="Y47" s="152">
        <v>0</v>
      </c>
      <c r="Z47" s="152">
        <v>0</v>
      </c>
      <c r="AA47" s="152">
        <v>0</v>
      </c>
      <c r="AB47" s="152">
        <v>0</v>
      </c>
      <c r="AC47" s="152">
        <v>0</v>
      </c>
      <c r="AD47" s="152">
        <v>0</v>
      </c>
      <c r="AE47" s="152">
        <f t="shared" si="38"/>
        <v>0</v>
      </c>
      <c r="AF47" s="152">
        <f t="shared" si="38"/>
        <v>0</v>
      </c>
      <c r="AG47" s="152">
        <f t="shared" si="38"/>
        <v>0</v>
      </c>
    </row>
    <row r="48" spans="1:35" x14ac:dyDescent="0.3">
      <c r="A48" s="147" t="s">
        <v>172</v>
      </c>
      <c r="B48" s="152">
        <v>0</v>
      </c>
      <c r="C48" s="152">
        <v>0</v>
      </c>
      <c r="D48" s="152">
        <v>0</v>
      </c>
      <c r="E48" s="152">
        <v>0</v>
      </c>
      <c r="F48" s="152">
        <v>0</v>
      </c>
      <c r="G48" s="152">
        <v>0</v>
      </c>
      <c r="H48" s="152">
        <v>0</v>
      </c>
      <c r="I48" s="152">
        <v>0</v>
      </c>
      <c r="J48" s="152">
        <v>0</v>
      </c>
      <c r="K48" s="152">
        <v>0</v>
      </c>
      <c r="L48" s="152">
        <v>0</v>
      </c>
      <c r="M48" s="152">
        <v>0</v>
      </c>
      <c r="N48" s="152">
        <v>0</v>
      </c>
      <c r="O48" s="152">
        <v>0</v>
      </c>
      <c r="P48" s="152">
        <v>0</v>
      </c>
      <c r="Q48" s="152">
        <v>0</v>
      </c>
      <c r="R48" s="152">
        <v>0</v>
      </c>
      <c r="S48" s="152">
        <v>0</v>
      </c>
      <c r="T48" s="152">
        <v>0</v>
      </c>
      <c r="U48" s="152">
        <v>0</v>
      </c>
      <c r="V48" s="152">
        <v>0</v>
      </c>
      <c r="W48" s="152">
        <v>0</v>
      </c>
      <c r="X48" s="152">
        <v>0</v>
      </c>
      <c r="Y48" s="152">
        <v>0</v>
      </c>
      <c r="Z48" s="152">
        <v>0</v>
      </c>
      <c r="AA48" s="152">
        <v>0</v>
      </c>
      <c r="AB48" s="152">
        <v>0</v>
      </c>
      <c r="AC48" s="152">
        <v>0</v>
      </c>
      <c r="AD48" s="152">
        <v>0</v>
      </c>
      <c r="AE48" s="152">
        <f t="shared" si="38"/>
        <v>0</v>
      </c>
      <c r="AF48" s="152">
        <f t="shared" si="38"/>
        <v>0</v>
      </c>
      <c r="AG48" s="152">
        <f t="shared" si="38"/>
        <v>0</v>
      </c>
    </row>
    <row r="50" spans="1:35" x14ac:dyDescent="0.3">
      <c r="A50" s="348" t="s">
        <v>171</v>
      </c>
      <c r="B50" s="348"/>
      <c r="C50" s="348"/>
      <c r="D50" s="147" t="s">
        <v>170</v>
      </c>
      <c r="K50" s="152"/>
      <c r="W50" s="152"/>
      <c r="AE50" s="152"/>
      <c r="AF50" s="152"/>
      <c r="AG50" s="152"/>
    </row>
    <row r="51" spans="1:35" x14ac:dyDescent="0.3">
      <c r="A51" s="147" t="s">
        <v>158</v>
      </c>
      <c r="B51" s="147">
        <f t="shared" ref="B51:AG51" si="39">SUM(B52:B55)</f>
        <v>0</v>
      </c>
      <c r="C51" s="147">
        <f t="shared" si="39"/>
        <v>0</v>
      </c>
      <c r="D51" s="147">
        <f t="shared" si="39"/>
        <v>0</v>
      </c>
      <c r="E51" s="147">
        <f t="shared" si="39"/>
        <v>0</v>
      </c>
      <c r="F51" s="147">
        <f t="shared" si="39"/>
        <v>0</v>
      </c>
      <c r="G51" s="147">
        <f t="shared" si="39"/>
        <v>0</v>
      </c>
      <c r="H51" s="147">
        <f t="shared" si="39"/>
        <v>0</v>
      </c>
      <c r="I51" s="147">
        <f t="shared" si="39"/>
        <v>960</v>
      </c>
      <c r="J51" s="147">
        <f t="shared" si="39"/>
        <v>1920</v>
      </c>
      <c r="K51" s="147">
        <f t="shared" si="39"/>
        <v>2880</v>
      </c>
      <c r="L51" s="147">
        <f t="shared" si="39"/>
        <v>3840</v>
      </c>
      <c r="M51" s="147">
        <f t="shared" si="39"/>
        <v>4800</v>
      </c>
      <c r="N51" s="147">
        <f t="shared" si="39"/>
        <v>4900</v>
      </c>
      <c r="O51" s="147">
        <f t="shared" si="39"/>
        <v>5000</v>
      </c>
      <c r="P51" s="147">
        <f t="shared" si="39"/>
        <v>5100</v>
      </c>
      <c r="Q51" s="147">
        <f t="shared" si="39"/>
        <v>5200</v>
      </c>
      <c r="R51" s="147">
        <f t="shared" si="39"/>
        <v>5300</v>
      </c>
      <c r="S51" s="147">
        <f t="shared" si="39"/>
        <v>5400</v>
      </c>
      <c r="T51" s="147">
        <f t="shared" si="39"/>
        <v>5500</v>
      </c>
      <c r="U51" s="147">
        <f t="shared" si="39"/>
        <v>5600</v>
      </c>
      <c r="V51" s="147">
        <f t="shared" si="39"/>
        <v>5700</v>
      </c>
      <c r="W51" s="147">
        <f t="shared" si="39"/>
        <v>5800</v>
      </c>
      <c r="X51" s="147">
        <f t="shared" si="39"/>
        <v>5950</v>
      </c>
      <c r="Y51" s="147">
        <f t="shared" si="39"/>
        <v>6100</v>
      </c>
      <c r="Z51" s="147">
        <f t="shared" si="39"/>
        <v>6250</v>
      </c>
      <c r="AA51" s="147">
        <f t="shared" si="39"/>
        <v>6400</v>
      </c>
      <c r="AB51" s="147">
        <f t="shared" si="39"/>
        <v>6550</v>
      </c>
      <c r="AC51" s="147">
        <f t="shared" si="39"/>
        <v>6700</v>
      </c>
      <c r="AD51" s="147">
        <f t="shared" si="39"/>
        <v>6850</v>
      </c>
      <c r="AE51" s="147">
        <f t="shared" si="39"/>
        <v>7000</v>
      </c>
      <c r="AF51" s="147">
        <f t="shared" si="39"/>
        <v>7150</v>
      </c>
      <c r="AG51" s="147">
        <f t="shared" si="39"/>
        <v>7300</v>
      </c>
    </row>
    <row r="52" spans="1:35" x14ac:dyDescent="0.3">
      <c r="A52" s="147" t="s">
        <v>169</v>
      </c>
      <c r="B52" s="147">
        <v>0</v>
      </c>
      <c r="C52" s="151">
        <v>0</v>
      </c>
      <c r="D52" s="152">
        <f t="shared" ref="D52:G55" si="40">C52+($H52-$C52)/5</f>
        <v>0</v>
      </c>
      <c r="E52" s="152">
        <f t="shared" si="40"/>
        <v>0</v>
      </c>
      <c r="F52" s="152">
        <f t="shared" si="40"/>
        <v>0</v>
      </c>
      <c r="G52" s="152">
        <f t="shared" si="40"/>
        <v>0</v>
      </c>
      <c r="H52" s="151">
        <v>0</v>
      </c>
      <c r="I52" s="152">
        <f t="shared" ref="I52:L55" si="41">H52+($M52-$H52)/5</f>
        <v>900</v>
      </c>
      <c r="J52" s="152">
        <f t="shared" si="41"/>
        <v>1800</v>
      </c>
      <c r="K52" s="152">
        <f t="shared" si="41"/>
        <v>2700</v>
      </c>
      <c r="L52" s="152">
        <f t="shared" si="41"/>
        <v>3600</v>
      </c>
      <c r="M52" s="151">
        <v>4500</v>
      </c>
      <c r="N52" s="147">
        <f t="shared" ref="N52:V52" si="42">M52+($W52-$M52)/10</f>
        <v>4550</v>
      </c>
      <c r="O52" s="147">
        <f t="shared" si="42"/>
        <v>4600</v>
      </c>
      <c r="P52" s="147">
        <f t="shared" si="42"/>
        <v>4650</v>
      </c>
      <c r="Q52" s="147">
        <f t="shared" si="42"/>
        <v>4700</v>
      </c>
      <c r="R52" s="147">
        <f t="shared" si="42"/>
        <v>4750</v>
      </c>
      <c r="S52" s="147">
        <f t="shared" si="42"/>
        <v>4800</v>
      </c>
      <c r="T52" s="147">
        <f t="shared" si="42"/>
        <v>4850</v>
      </c>
      <c r="U52" s="147">
        <f t="shared" si="42"/>
        <v>4900</v>
      </c>
      <c r="V52" s="147">
        <f t="shared" si="42"/>
        <v>4950</v>
      </c>
      <c r="W52" s="151">
        <v>5000</v>
      </c>
      <c r="X52" s="152">
        <f t="shared" ref="X52:AF52" si="43">W52+($AG52-$W52)/10</f>
        <v>5100</v>
      </c>
      <c r="Y52" s="152">
        <f t="shared" si="43"/>
        <v>5200</v>
      </c>
      <c r="Z52" s="152">
        <f t="shared" si="43"/>
        <v>5300</v>
      </c>
      <c r="AA52" s="152">
        <f t="shared" si="43"/>
        <v>5400</v>
      </c>
      <c r="AB52" s="152">
        <f t="shared" si="43"/>
        <v>5500</v>
      </c>
      <c r="AC52" s="152">
        <f t="shared" si="43"/>
        <v>5600</v>
      </c>
      <c r="AD52" s="152">
        <f t="shared" si="43"/>
        <v>5700</v>
      </c>
      <c r="AE52" s="152">
        <f t="shared" si="43"/>
        <v>5800</v>
      </c>
      <c r="AF52" s="152">
        <f t="shared" si="43"/>
        <v>5900</v>
      </c>
      <c r="AG52" s="151">
        <v>6000</v>
      </c>
      <c r="AI52" s="147" t="s">
        <v>168</v>
      </c>
    </row>
    <row r="53" spans="1:35" x14ac:dyDescent="0.3">
      <c r="A53" s="147" t="s">
        <v>167</v>
      </c>
      <c r="B53" s="147">
        <v>0</v>
      </c>
      <c r="C53" s="151">
        <v>0</v>
      </c>
      <c r="D53" s="152">
        <f t="shared" si="40"/>
        <v>0</v>
      </c>
      <c r="E53" s="152">
        <f t="shared" si="40"/>
        <v>0</v>
      </c>
      <c r="F53" s="152">
        <f t="shared" si="40"/>
        <v>0</v>
      </c>
      <c r="G53" s="152">
        <f t="shared" si="40"/>
        <v>0</v>
      </c>
      <c r="H53" s="151">
        <v>0</v>
      </c>
      <c r="I53" s="152">
        <f t="shared" si="41"/>
        <v>60</v>
      </c>
      <c r="J53" s="152">
        <f t="shared" si="41"/>
        <v>120</v>
      </c>
      <c r="K53" s="152">
        <f t="shared" si="41"/>
        <v>180</v>
      </c>
      <c r="L53" s="152">
        <f t="shared" si="41"/>
        <v>240</v>
      </c>
      <c r="M53" s="151">
        <v>300</v>
      </c>
      <c r="N53" s="147">
        <f t="shared" ref="N53:V53" si="44">M53+($W53-$M53)/10</f>
        <v>300</v>
      </c>
      <c r="O53" s="147">
        <f t="shared" si="44"/>
        <v>300</v>
      </c>
      <c r="P53" s="147">
        <f t="shared" si="44"/>
        <v>300</v>
      </c>
      <c r="Q53" s="147">
        <f t="shared" si="44"/>
        <v>300</v>
      </c>
      <c r="R53" s="147">
        <f t="shared" si="44"/>
        <v>300</v>
      </c>
      <c r="S53" s="147">
        <f t="shared" si="44"/>
        <v>300</v>
      </c>
      <c r="T53" s="147">
        <f t="shared" si="44"/>
        <v>300</v>
      </c>
      <c r="U53" s="147">
        <f t="shared" si="44"/>
        <v>300</v>
      </c>
      <c r="V53" s="147">
        <f t="shared" si="44"/>
        <v>300</v>
      </c>
      <c r="W53" s="151">
        <v>300</v>
      </c>
      <c r="X53" s="152">
        <f t="shared" ref="X53:AF53" si="45">W53+($AG53-$W53)/10</f>
        <v>300</v>
      </c>
      <c r="Y53" s="152">
        <f t="shared" si="45"/>
        <v>300</v>
      </c>
      <c r="Z53" s="152">
        <f t="shared" si="45"/>
        <v>300</v>
      </c>
      <c r="AA53" s="152">
        <f t="shared" si="45"/>
        <v>300</v>
      </c>
      <c r="AB53" s="152">
        <f t="shared" si="45"/>
        <v>300</v>
      </c>
      <c r="AC53" s="152">
        <f t="shared" si="45"/>
        <v>300</v>
      </c>
      <c r="AD53" s="152">
        <f t="shared" si="45"/>
        <v>300</v>
      </c>
      <c r="AE53" s="152">
        <f t="shared" si="45"/>
        <v>300</v>
      </c>
      <c r="AF53" s="152">
        <f t="shared" si="45"/>
        <v>300</v>
      </c>
      <c r="AG53" s="151">
        <v>300</v>
      </c>
      <c r="AI53" s="147" t="s">
        <v>295</v>
      </c>
    </row>
    <row r="54" spans="1:35" x14ac:dyDescent="0.3">
      <c r="A54" s="147" t="s">
        <v>166</v>
      </c>
      <c r="B54" s="147">
        <v>0</v>
      </c>
      <c r="C54" s="151">
        <v>0</v>
      </c>
      <c r="D54" s="152">
        <f t="shared" si="40"/>
        <v>0</v>
      </c>
      <c r="E54" s="152">
        <f t="shared" si="40"/>
        <v>0</v>
      </c>
      <c r="F54" s="152">
        <f t="shared" si="40"/>
        <v>0</v>
      </c>
      <c r="G54" s="152">
        <f t="shared" si="40"/>
        <v>0</v>
      </c>
      <c r="H54" s="151">
        <v>0</v>
      </c>
      <c r="I54" s="152">
        <f t="shared" si="41"/>
        <v>0</v>
      </c>
      <c r="J54" s="152">
        <f t="shared" si="41"/>
        <v>0</v>
      </c>
      <c r="K54" s="152">
        <f t="shared" si="41"/>
        <v>0</v>
      </c>
      <c r="L54" s="152">
        <f t="shared" si="41"/>
        <v>0</v>
      </c>
      <c r="M54" s="151">
        <v>0</v>
      </c>
      <c r="N54" s="147">
        <f t="shared" ref="N54:V54" si="46">M54+($W54-$M54)/10</f>
        <v>0</v>
      </c>
      <c r="O54" s="147">
        <f t="shared" si="46"/>
        <v>0</v>
      </c>
      <c r="P54" s="147">
        <f t="shared" si="46"/>
        <v>0</v>
      </c>
      <c r="Q54" s="147">
        <f t="shared" si="46"/>
        <v>0</v>
      </c>
      <c r="R54" s="147">
        <f t="shared" si="46"/>
        <v>0</v>
      </c>
      <c r="S54" s="147">
        <f t="shared" si="46"/>
        <v>0</v>
      </c>
      <c r="T54" s="147">
        <f t="shared" si="46"/>
        <v>0</v>
      </c>
      <c r="U54" s="147">
        <f t="shared" si="46"/>
        <v>0</v>
      </c>
      <c r="V54" s="147">
        <f t="shared" si="46"/>
        <v>0</v>
      </c>
      <c r="W54" s="151">
        <v>0</v>
      </c>
      <c r="X54" s="152">
        <f t="shared" ref="X54:AF54" si="47">W54+($AG54-$W54)/10</f>
        <v>30</v>
      </c>
      <c r="Y54" s="152">
        <f t="shared" si="47"/>
        <v>60</v>
      </c>
      <c r="Z54" s="152">
        <f t="shared" si="47"/>
        <v>90</v>
      </c>
      <c r="AA54" s="152">
        <f t="shared" si="47"/>
        <v>120</v>
      </c>
      <c r="AB54" s="152">
        <f t="shared" si="47"/>
        <v>150</v>
      </c>
      <c r="AC54" s="152">
        <f t="shared" si="47"/>
        <v>180</v>
      </c>
      <c r="AD54" s="152">
        <f t="shared" si="47"/>
        <v>210</v>
      </c>
      <c r="AE54" s="152">
        <f t="shared" si="47"/>
        <v>240</v>
      </c>
      <c r="AF54" s="152">
        <f t="shared" si="47"/>
        <v>270</v>
      </c>
      <c r="AG54" s="151">
        <v>300</v>
      </c>
    </row>
    <row r="55" spans="1:35" x14ac:dyDescent="0.3">
      <c r="A55" s="147" t="s">
        <v>165</v>
      </c>
      <c r="B55" s="147">
        <v>0</v>
      </c>
      <c r="C55" s="151">
        <v>0</v>
      </c>
      <c r="D55" s="152">
        <f t="shared" si="40"/>
        <v>0</v>
      </c>
      <c r="E55" s="152">
        <f t="shared" si="40"/>
        <v>0</v>
      </c>
      <c r="F55" s="152">
        <f t="shared" si="40"/>
        <v>0</v>
      </c>
      <c r="G55" s="152">
        <f t="shared" si="40"/>
        <v>0</v>
      </c>
      <c r="H55" s="151">
        <v>0</v>
      </c>
      <c r="I55" s="152">
        <f t="shared" si="41"/>
        <v>0</v>
      </c>
      <c r="J55" s="152">
        <f t="shared" si="41"/>
        <v>0</v>
      </c>
      <c r="K55" s="152">
        <f t="shared" si="41"/>
        <v>0</v>
      </c>
      <c r="L55" s="152">
        <f t="shared" si="41"/>
        <v>0</v>
      </c>
      <c r="M55" s="151">
        <v>0</v>
      </c>
      <c r="N55" s="147">
        <f t="shared" ref="N55:V55" si="48">M55+($W55-$M55)/10</f>
        <v>50</v>
      </c>
      <c r="O55" s="147">
        <f t="shared" si="48"/>
        <v>100</v>
      </c>
      <c r="P55" s="147">
        <f t="shared" si="48"/>
        <v>150</v>
      </c>
      <c r="Q55" s="147">
        <f t="shared" si="48"/>
        <v>200</v>
      </c>
      <c r="R55" s="147">
        <f t="shared" si="48"/>
        <v>250</v>
      </c>
      <c r="S55" s="147">
        <f t="shared" si="48"/>
        <v>300</v>
      </c>
      <c r="T55" s="147">
        <f t="shared" si="48"/>
        <v>350</v>
      </c>
      <c r="U55" s="147">
        <f t="shared" si="48"/>
        <v>400</v>
      </c>
      <c r="V55" s="147">
        <f t="shared" si="48"/>
        <v>450</v>
      </c>
      <c r="W55" s="151">
        <v>500</v>
      </c>
      <c r="X55" s="152">
        <f t="shared" ref="X55:AF55" si="49">W55+($AG55-$W55)/10</f>
        <v>520</v>
      </c>
      <c r="Y55" s="152">
        <f t="shared" si="49"/>
        <v>540</v>
      </c>
      <c r="Z55" s="152">
        <f t="shared" si="49"/>
        <v>560</v>
      </c>
      <c r="AA55" s="152">
        <f t="shared" si="49"/>
        <v>580</v>
      </c>
      <c r="AB55" s="152">
        <f t="shared" si="49"/>
        <v>600</v>
      </c>
      <c r="AC55" s="152">
        <f t="shared" si="49"/>
        <v>620</v>
      </c>
      <c r="AD55" s="152">
        <f t="shared" si="49"/>
        <v>640</v>
      </c>
      <c r="AE55" s="152">
        <f t="shared" si="49"/>
        <v>660</v>
      </c>
      <c r="AF55" s="152">
        <f t="shared" si="49"/>
        <v>680</v>
      </c>
      <c r="AG55" s="151">
        <v>700</v>
      </c>
      <c r="AI55" s="147" t="s">
        <v>296</v>
      </c>
    </row>
    <row r="58" spans="1:35" x14ac:dyDescent="0.3">
      <c r="A58" s="348" t="s">
        <v>164</v>
      </c>
      <c r="B58" s="348"/>
      <c r="C58" s="348"/>
      <c r="D58" s="147" t="s">
        <v>163</v>
      </c>
    </row>
    <row r="59" spans="1:35" x14ac:dyDescent="0.3">
      <c r="A59" s="147" t="s">
        <v>162</v>
      </c>
    </row>
    <row r="60" spans="1:35" x14ac:dyDescent="0.3">
      <c r="A60" s="147" t="s">
        <v>157</v>
      </c>
      <c r="B60" s="149">
        <v>327.50735160636299</v>
      </c>
      <c r="H60" s="149">
        <v>311.87162440409401</v>
      </c>
      <c r="M60" s="149">
        <v>272.70977292298102</v>
      </c>
      <c r="W60" s="149">
        <v>230.14754993649899</v>
      </c>
      <c r="AG60" s="149">
        <v>207.86164891203299</v>
      </c>
    </row>
    <row r="61" spans="1:35" x14ac:dyDescent="0.3">
      <c r="A61" s="147" t="s">
        <v>156</v>
      </c>
      <c r="B61" s="149">
        <v>327.50735160636299</v>
      </c>
      <c r="H61" s="149">
        <v>311.87162440409401</v>
      </c>
      <c r="M61" s="149">
        <v>272.70977292298102</v>
      </c>
      <c r="W61" s="149">
        <v>230.14754993649899</v>
      </c>
      <c r="AG61" s="149">
        <v>207.86164891203299</v>
      </c>
    </row>
    <row r="62" spans="1:35" x14ac:dyDescent="0.3">
      <c r="A62" s="147" t="s">
        <v>155</v>
      </c>
      <c r="B62" s="149">
        <v>386.22451597517698</v>
      </c>
      <c r="H62" s="149">
        <v>344.785074202386</v>
      </c>
      <c r="M62" s="149">
        <v>319.29747667881998</v>
      </c>
      <c r="W62" s="149">
        <v>264.56785937298298</v>
      </c>
      <c r="AG62" s="149">
        <v>229.72484210526301</v>
      </c>
    </row>
    <row r="63" spans="1:35" x14ac:dyDescent="0.3">
      <c r="A63" s="147" t="s">
        <v>154</v>
      </c>
      <c r="B63" s="149">
        <v>230.43600000000001</v>
      </c>
      <c r="H63" s="149">
        <v>227.62106821787401</v>
      </c>
      <c r="M63" s="149">
        <v>204.174003776044</v>
      </c>
      <c r="W63" s="149">
        <v>181.16205937500001</v>
      </c>
      <c r="AG63" s="149">
        <v>169.83</v>
      </c>
    </row>
    <row r="64" spans="1:35" x14ac:dyDescent="0.3">
      <c r="A64" s="147" t="s">
        <v>153</v>
      </c>
      <c r="B64" s="149">
        <v>144</v>
      </c>
      <c r="H64" s="149">
        <v>137.073653371646</v>
      </c>
      <c r="M64" s="149">
        <v>132.91520555270299</v>
      </c>
      <c r="W64" s="149">
        <v>121.15818452380999</v>
      </c>
      <c r="AG64" s="149">
        <v>115</v>
      </c>
    </row>
    <row r="66" spans="1:33" x14ac:dyDescent="0.3">
      <c r="A66" s="147" t="s">
        <v>161</v>
      </c>
      <c r="B66" s="147">
        <f>'[2]Autres conso ag'!B21/EN_tracteurs!B60*10000000/B12</f>
        <v>0</v>
      </c>
      <c r="H66" s="150">
        <v>1.03</v>
      </c>
      <c r="I66" s="150"/>
      <c r="J66" s="150"/>
      <c r="K66" s="150"/>
      <c r="L66" s="150"/>
      <c r="M66" s="150">
        <v>1.06</v>
      </c>
      <c r="W66" s="149">
        <v>1.1200000000000001</v>
      </c>
      <c r="AG66" s="149">
        <v>1.18</v>
      </c>
    </row>
    <row r="69" spans="1:33" x14ac:dyDescent="0.3">
      <c r="A69" s="348" t="s">
        <v>160</v>
      </c>
      <c r="B69" s="348"/>
      <c r="C69" s="348"/>
      <c r="D69" s="147" t="s">
        <v>159</v>
      </c>
    </row>
    <row r="70" spans="1:33" x14ac:dyDescent="0.3">
      <c r="A70" s="147" t="s">
        <v>158</v>
      </c>
      <c r="B70" s="148">
        <f t="shared" ref="B70:AG70" si="50">SUM(B71:B75)</f>
        <v>0</v>
      </c>
      <c r="C70" s="148">
        <f t="shared" si="50"/>
        <v>0</v>
      </c>
      <c r="D70" s="148">
        <f t="shared" si="50"/>
        <v>0</v>
      </c>
      <c r="E70" s="148">
        <f t="shared" si="50"/>
        <v>0</v>
      </c>
      <c r="F70" s="148">
        <f t="shared" si="50"/>
        <v>0</v>
      </c>
      <c r="G70" s="148">
        <f t="shared" si="50"/>
        <v>0</v>
      </c>
      <c r="H70" s="148">
        <f t="shared" si="50"/>
        <v>25.364713136921981</v>
      </c>
      <c r="I70" s="148">
        <f t="shared" si="50"/>
        <v>0</v>
      </c>
      <c r="J70" s="148">
        <f t="shared" si="50"/>
        <v>0</v>
      </c>
      <c r="K70" s="148">
        <f t="shared" si="50"/>
        <v>0</v>
      </c>
      <c r="L70" s="148">
        <f t="shared" si="50"/>
        <v>0</v>
      </c>
      <c r="M70" s="148">
        <f t="shared" si="50"/>
        <v>21.960681164471872</v>
      </c>
      <c r="N70" s="148">
        <f t="shared" si="50"/>
        <v>0</v>
      </c>
      <c r="O70" s="148">
        <f t="shared" si="50"/>
        <v>0</v>
      </c>
      <c r="P70" s="148">
        <f t="shared" si="50"/>
        <v>0</v>
      </c>
      <c r="Q70" s="148">
        <f t="shared" si="50"/>
        <v>0</v>
      </c>
      <c r="R70" s="148">
        <f t="shared" si="50"/>
        <v>0</v>
      </c>
      <c r="S70" s="148">
        <f t="shared" si="50"/>
        <v>0</v>
      </c>
      <c r="T70" s="148">
        <f t="shared" si="50"/>
        <v>0</v>
      </c>
      <c r="U70" s="148">
        <f t="shared" si="50"/>
        <v>0</v>
      </c>
      <c r="V70" s="148">
        <f t="shared" si="50"/>
        <v>0</v>
      </c>
      <c r="W70" s="148">
        <f t="shared" si="50"/>
        <v>16.4521735407222</v>
      </c>
      <c r="X70" s="148">
        <f t="shared" si="50"/>
        <v>0</v>
      </c>
      <c r="Y70" s="148">
        <f t="shared" si="50"/>
        <v>0</v>
      </c>
      <c r="Z70" s="148">
        <f t="shared" si="50"/>
        <v>0</v>
      </c>
      <c r="AA70" s="148">
        <f t="shared" si="50"/>
        <v>0</v>
      </c>
      <c r="AB70" s="148">
        <f t="shared" si="50"/>
        <v>0</v>
      </c>
      <c r="AC70" s="148">
        <f t="shared" si="50"/>
        <v>0</v>
      </c>
      <c r="AD70" s="148">
        <f t="shared" si="50"/>
        <v>0</v>
      </c>
      <c r="AE70" s="148">
        <f t="shared" si="50"/>
        <v>0</v>
      </c>
      <c r="AF70" s="148">
        <f t="shared" si="50"/>
        <v>0</v>
      </c>
      <c r="AG70" s="148">
        <f t="shared" si="50"/>
        <v>11.136087526867424</v>
      </c>
    </row>
    <row r="71" spans="1:33" x14ac:dyDescent="0.3">
      <c r="A71" s="147" t="s">
        <v>157</v>
      </c>
      <c r="B71" s="148">
        <f t="shared" ref="B71:AG71" si="51">B60*B20*B$66/10000000</f>
        <v>0</v>
      </c>
      <c r="C71" s="148">
        <f t="shared" si="51"/>
        <v>0</v>
      </c>
      <c r="D71" s="148">
        <f t="shared" si="51"/>
        <v>0</v>
      </c>
      <c r="E71" s="148">
        <f t="shared" si="51"/>
        <v>0</v>
      </c>
      <c r="F71" s="148">
        <f t="shared" si="51"/>
        <v>0</v>
      </c>
      <c r="G71" s="148">
        <f t="shared" si="51"/>
        <v>0</v>
      </c>
      <c r="H71" s="148">
        <f t="shared" si="51"/>
        <v>25.182454393475357</v>
      </c>
      <c r="I71" s="148">
        <f t="shared" si="51"/>
        <v>0</v>
      </c>
      <c r="J71" s="148">
        <f t="shared" si="51"/>
        <v>0</v>
      </c>
      <c r="K71" s="148">
        <f t="shared" si="51"/>
        <v>0</v>
      </c>
      <c r="L71" s="148">
        <f t="shared" si="51"/>
        <v>0</v>
      </c>
      <c r="M71" s="148">
        <f t="shared" si="51"/>
        <v>20.453134944512591</v>
      </c>
      <c r="N71" s="148">
        <f t="shared" si="51"/>
        <v>0</v>
      </c>
      <c r="O71" s="148">
        <f t="shared" si="51"/>
        <v>0</v>
      </c>
      <c r="P71" s="148">
        <f t="shared" si="51"/>
        <v>0</v>
      </c>
      <c r="Q71" s="148">
        <f t="shared" si="51"/>
        <v>0</v>
      </c>
      <c r="R71" s="148">
        <f t="shared" si="51"/>
        <v>0</v>
      </c>
      <c r="S71" s="148">
        <f t="shared" si="51"/>
        <v>0</v>
      </c>
      <c r="T71" s="148">
        <f t="shared" si="51"/>
        <v>0</v>
      </c>
      <c r="U71" s="148">
        <f t="shared" si="51"/>
        <v>0</v>
      </c>
      <c r="V71" s="148">
        <f t="shared" si="51"/>
        <v>0</v>
      </c>
      <c r="W71" s="148">
        <f t="shared" si="51"/>
        <v>10.183818239837901</v>
      </c>
      <c r="X71" s="148">
        <f t="shared" si="51"/>
        <v>0</v>
      </c>
      <c r="Y71" s="148">
        <f t="shared" si="51"/>
        <v>0</v>
      </c>
      <c r="Z71" s="148">
        <f t="shared" si="51"/>
        <v>0</v>
      </c>
      <c r="AA71" s="148">
        <f t="shared" si="51"/>
        <v>0</v>
      </c>
      <c r="AB71" s="148">
        <f t="shared" si="51"/>
        <v>0</v>
      </c>
      <c r="AC71" s="148">
        <f t="shared" si="51"/>
        <v>0</v>
      </c>
      <c r="AD71" s="148">
        <f t="shared" si="51"/>
        <v>0</v>
      </c>
      <c r="AE71" s="148">
        <f t="shared" si="51"/>
        <v>0</v>
      </c>
      <c r="AF71" s="148">
        <f t="shared" si="51"/>
        <v>0</v>
      </c>
      <c r="AG71" s="148">
        <f t="shared" si="51"/>
        <v>0.16615996213187598</v>
      </c>
    </row>
    <row r="72" spans="1:33" x14ac:dyDescent="0.3">
      <c r="A72" s="147" t="s">
        <v>156</v>
      </c>
      <c r="B72" s="148">
        <f t="shared" ref="B72:AG72" si="52">B61*B21*B$66/10000000</f>
        <v>0</v>
      </c>
      <c r="C72" s="148">
        <f t="shared" si="52"/>
        <v>0</v>
      </c>
      <c r="D72" s="148">
        <f t="shared" si="52"/>
        <v>0</v>
      </c>
      <c r="E72" s="148">
        <f t="shared" si="52"/>
        <v>0</v>
      </c>
      <c r="F72" s="148">
        <f t="shared" si="52"/>
        <v>0</v>
      </c>
      <c r="G72" s="148">
        <f t="shared" si="52"/>
        <v>0</v>
      </c>
      <c r="H72" s="148">
        <f t="shared" si="52"/>
        <v>0.1263742626388886</v>
      </c>
      <c r="I72" s="148">
        <f t="shared" si="52"/>
        <v>0</v>
      </c>
      <c r="J72" s="148">
        <f t="shared" si="52"/>
        <v>0</v>
      </c>
      <c r="K72" s="148">
        <f t="shared" si="52"/>
        <v>0</v>
      </c>
      <c r="L72" s="148">
        <f t="shared" si="52"/>
        <v>0</v>
      </c>
      <c r="M72" s="148">
        <f t="shared" si="52"/>
        <v>1.1919505757114905</v>
      </c>
      <c r="N72" s="148">
        <f t="shared" si="52"/>
        <v>0</v>
      </c>
      <c r="O72" s="148">
        <f t="shared" si="52"/>
        <v>0</v>
      </c>
      <c r="P72" s="148">
        <f t="shared" si="52"/>
        <v>0</v>
      </c>
      <c r="Q72" s="148">
        <f t="shared" si="52"/>
        <v>0</v>
      </c>
      <c r="R72" s="148">
        <f t="shared" si="52"/>
        <v>0</v>
      </c>
      <c r="S72" s="148">
        <f t="shared" si="52"/>
        <v>0</v>
      </c>
      <c r="T72" s="148">
        <f t="shared" si="52"/>
        <v>0</v>
      </c>
      <c r="U72" s="148">
        <f t="shared" si="52"/>
        <v>0</v>
      </c>
      <c r="V72" s="148">
        <f t="shared" si="52"/>
        <v>0</v>
      </c>
      <c r="W72" s="148">
        <f t="shared" si="52"/>
        <v>4.8866448261169939</v>
      </c>
      <c r="X72" s="148">
        <f t="shared" si="52"/>
        <v>0</v>
      </c>
      <c r="Y72" s="148">
        <f t="shared" si="52"/>
        <v>0</v>
      </c>
      <c r="Z72" s="148">
        <f t="shared" si="52"/>
        <v>0</v>
      </c>
      <c r="AA72" s="148">
        <f t="shared" si="52"/>
        <v>0</v>
      </c>
      <c r="AB72" s="148">
        <f t="shared" si="52"/>
        <v>0</v>
      </c>
      <c r="AC72" s="148">
        <f t="shared" si="52"/>
        <v>0</v>
      </c>
      <c r="AD72" s="148">
        <f t="shared" si="52"/>
        <v>0</v>
      </c>
      <c r="AE72" s="148">
        <f t="shared" si="52"/>
        <v>0</v>
      </c>
      <c r="AF72" s="148">
        <f t="shared" si="52"/>
        <v>0</v>
      </c>
      <c r="AG72" s="148">
        <f t="shared" si="52"/>
        <v>8.3752434956845878</v>
      </c>
    </row>
    <row r="73" spans="1:33" x14ac:dyDescent="0.3">
      <c r="A73" s="147" t="s">
        <v>155</v>
      </c>
      <c r="B73" s="148">
        <f t="shared" ref="B73:AG73" si="53">B62*B22*B$66/10000000</f>
        <v>0</v>
      </c>
      <c r="C73" s="148">
        <f t="shared" si="53"/>
        <v>0</v>
      </c>
      <c r="D73" s="148">
        <f t="shared" si="53"/>
        <v>0</v>
      </c>
      <c r="E73" s="148">
        <f t="shared" si="53"/>
        <v>0</v>
      </c>
      <c r="F73" s="148">
        <f t="shared" si="53"/>
        <v>0</v>
      </c>
      <c r="G73" s="148">
        <f t="shared" si="53"/>
        <v>0</v>
      </c>
      <c r="H73" s="148">
        <f t="shared" si="53"/>
        <v>5.588448080773719E-2</v>
      </c>
      <c r="I73" s="148">
        <f t="shared" si="53"/>
        <v>0</v>
      </c>
      <c r="J73" s="148">
        <f t="shared" si="53"/>
        <v>0</v>
      </c>
      <c r="K73" s="148">
        <f t="shared" si="53"/>
        <v>0</v>
      </c>
      <c r="L73" s="148">
        <f t="shared" si="53"/>
        <v>0</v>
      </c>
      <c r="M73" s="148">
        <f t="shared" si="53"/>
        <v>0.28552371986935532</v>
      </c>
      <c r="N73" s="148">
        <f t="shared" si="53"/>
        <v>0</v>
      </c>
      <c r="O73" s="148">
        <f t="shared" si="53"/>
        <v>0</v>
      </c>
      <c r="P73" s="148">
        <f t="shared" si="53"/>
        <v>0</v>
      </c>
      <c r="Q73" s="148">
        <f t="shared" si="53"/>
        <v>0</v>
      </c>
      <c r="R73" s="148">
        <f t="shared" si="53"/>
        <v>0</v>
      </c>
      <c r="S73" s="148">
        <f t="shared" si="53"/>
        <v>0</v>
      </c>
      <c r="T73" s="148">
        <f t="shared" si="53"/>
        <v>0</v>
      </c>
      <c r="U73" s="148">
        <f t="shared" si="53"/>
        <v>0</v>
      </c>
      <c r="V73" s="148">
        <f t="shared" si="53"/>
        <v>0</v>
      </c>
      <c r="W73" s="148">
        <f t="shared" si="53"/>
        <v>1.0142200354616224</v>
      </c>
      <c r="X73" s="148">
        <f t="shared" si="53"/>
        <v>0</v>
      </c>
      <c r="Y73" s="148">
        <f t="shared" si="53"/>
        <v>0</v>
      </c>
      <c r="Z73" s="148">
        <f t="shared" si="53"/>
        <v>0</v>
      </c>
      <c r="AA73" s="148">
        <f t="shared" si="53"/>
        <v>0</v>
      </c>
      <c r="AB73" s="148">
        <f t="shared" si="53"/>
        <v>0</v>
      </c>
      <c r="AC73" s="148">
        <f t="shared" si="53"/>
        <v>0</v>
      </c>
      <c r="AD73" s="148">
        <f t="shared" si="53"/>
        <v>0</v>
      </c>
      <c r="AE73" s="148">
        <f t="shared" si="53"/>
        <v>0</v>
      </c>
      <c r="AF73" s="148">
        <f t="shared" si="53"/>
        <v>0</v>
      </c>
      <c r="AG73" s="148">
        <f t="shared" si="53"/>
        <v>1.626666993483217</v>
      </c>
    </row>
    <row r="74" spans="1:33" x14ac:dyDescent="0.3">
      <c r="A74" s="147" t="s">
        <v>154</v>
      </c>
      <c r="B74" s="148">
        <f t="shared" ref="B74:AG74" si="54">B63*B23*B$66/10000000</f>
        <v>0</v>
      </c>
      <c r="C74" s="148">
        <f t="shared" si="54"/>
        <v>0</v>
      </c>
      <c r="D74" s="148">
        <f t="shared" si="54"/>
        <v>0</v>
      </c>
      <c r="E74" s="148">
        <f t="shared" si="54"/>
        <v>0</v>
      </c>
      <c r="F74" s="148">
        <f t="shared" si="54"/>
        <v>0</v>
      </c>
      <c r="G74" s="148">
        <f t="shared" si="54"/>
        <v>0</v>
      </c>
      <c r="H74" s="148">
        <f t="shared" si="54"/>
        <v>0</v>
      </c>
      <c r="I74" s="148">
        <f t="shared" si="54"/>
        <v>0</v>
      </c>
      <c r="J74" s="148">
        <f t="shared" si="54"/>
        <v>0</v>
      </c>
      <c r="K74" s="148">
        <f t="shared" si="54"/>
        <v>0</v>
      </c>
      <c r="L74" s="148">
        <f t="shared" si="54"/>
        <v>0</v>
      </c>
      <c r="M74" s="148">
        <f t="shared" si="54"/>
        <v>0</v>
      </c>
      <c r="N74" s="148">
        <f t="shared" si="54"/>
        <v>0</v>
      </c>
      <c r="O74" s="148">
        <f t="shared" si="54"/>
        <v>0</v>
      </c>
      <c r="P74" s="148">
        <f t="shared" si="54"/>
        <v>0</v>
      </c>
      <c r="Q74" s="148">
        <f t="shared" si="54"/>
        <v>0</v>
      </c>
      <c r="R74" s="148">
        <f t="shared" si="54"/>
        <v>0</v>
      </c>
      <c r="S74" s="148">
        <f t="shared" si="54"/>
        <v>0</v>
      </c>
      <c r="T74" s="148">
        <f t="shared" si="54"/>
        <v>0</v>
      </c>
      <c r="U74" s="148">
        <f t="shared" si="54"/>
        <v>0</v>
      </c>
      <c r="V74" s="148">
        <f t="shared" si="54"/>
        <v>0</v>
      </c>
      <c r="W74" s="148">
        <f t="shared" si="54"/>
        <v>0</v>
      </c>
      <c r="X74" s="148">
        <f t="shared" si="54"/>
        <v>0</v>
      </c>
      <c r="Y74" s="148">
        <f t="shared" si="54"/>
        <v>0</v>
      </c>
      <c r="Z74" s="148">
        <f t="shared" si="54"/>
        <v>0</v>
      </c>
      <c r="AA74" s="148">
        <f t="shared" si="54"/>
        <v>0</v>
      </c>
      <c r="AB74" s="148">
        <f t="shared" si="54"/>
        <v>0</v>
      </c>
      <c r="AC74" s="148">
        <f t="shared" si="54"/>
        <v>0</v>
      </c>
      <c r="AD74" s="148">
        <f t="shared" si="54"/>
        <v>0</v>
      </c>
      <c r="AE74" s="148">
        <f t="shared" si="54"/>
        <v>0</v>
      </c>
      <c r="AF74" s="148">
        <f t="shared" si="54"/>
        <v>0</v>
      </c>
      <c r="AG74" s="148">
        <f t="shared" si="54"/>
        <v>0.14499219814838701</v>
      </c>
    </row>
    <row r="75" spans="1:33" x14ac:dyDescent="0.3">
      <c r="A75" s="147" t="s">
        <v>153</v>
      </c>
      <c r="B75" s="148">
        <f t="shared" ref="B75:AG75" si="55">B64*B24*B$66/10000000</f>
        <v>0</v>
      </c>
      <c r="C75" s="148">
        <f t="shared" si="55"/>
        <v>0</v>
      </c>
      <c r="D75" s="148">
        <f t="shared" si="55"/>
        <v>0</v>
      </c>
      <c r="E75" s="148">
        <f t="shared" si="55"/>
        <v>0</v>
      </c>
      <c r="F75" s="148">
        <f t="shared" si="55"/>
        <v>0</v>
      </c>
      <c r="G75" s="148">
        <f t="shared" si="55"/>
        <v>0</v>
      </c>
      <c r="H75" s="148">
        <f t="shared" si="55"/>
        <v>0</v>
      </c>
      <c r="I75" s="148">
        <f t="shared" si="55"/>
        <v>0</v>
      </c>
      <c r="J75" s="148">
        <f t="shared" si="55"/>
        <v>0</v>
      </c>
      <c r="K75" s="148">
        <f t="shared" si="55"/>
        <v>0</v>
      </c>
      <c r="L75" s="148">
        <f t="shared" si="55"/>
        <v>0</v>
      </c>
      <c r="M75" s="148">
        <f t="shared" si="55"/>
        <v>3.0071924378431415E-2</v>
      </c>
      <c r="N75" s="148">
        <f t="shared" si="55"/>
        <v>0</v>
      </c>
      <c r="O75" s="148">
        <f t="shared" si="55"/>
        <v>0</v>
      </c>
      <c r="P75" s="148">
        <f t="shared" si="55"/>
        <v>0</v>
      </c>
      <c r="Q75" s="148">
        <f t="shared" si="55"/>
        <v>0</v>
      </c>
      <c r="R75" s="148">
        <f t="shared" si="55"/>
        <v>0</v>
      </c>
      <c r="S75" s="148">
        <f t="shared" si="55"/>
        <v>0</v>
      </c>
      <c r="T75" s="148">
        <f t="shared" si="55"/>
        <v>0</v>
      </c>
      <c r="U75" s="148">
        <f t="shared" si="55"/>
        <v>0</v>
      </c>
      <c r="V75" s="148">
        <f t="shared" si="55"/>
        <v>0</v>
      </c>
      <c r="W75" s="148">
        <f t="shared" si="55"/>
        <v>0.36749043930568492</v>
      </c>
      <c r="X75" s="148">
        <f t="shared" si="55"/>
        <v>0</v>
      </c>
      <c r="Y75" s="148">
        <f t="shared" si="55"/>
        <v>0</v>
      </c>
      <c r="Z75" s="148">
        <f t="shared" si="55"/>
        <v>0</v>
      </c>
      <c r="AA75" s="148">
        <f t="shared" si="55"/>
        <v>0</v>
      </c>
      <c r="AB75" s="148">
        <f t="shared" si="55"/>
        <v>0</v>
      </c>
      <c r="AC75" s="148">
        <f t="shared" si="55"/>
        <v>0</v>
      </c>
      <c r="AD75" s="148">
        <f t="shared" si="55"/>
        <v>0</v>
      </c>
      <c r="AE75" s="148">
        <f t="shared" si="55"/>
        <v>0</v>
      </c>
      <c r="AF75" s="148">
        <f t="shared" si="55"/>
        <v>0</v>
      </c>
      <c r="AG75" s="148">
        <f t="shared" si="55"/>
        <v>0.82302487741935426</v>
      </c>
    </row>
  </sheetData>
  <mergeCells count="6">
    <mergeCell ref="A69:C69"/>
    <mergeCell ref="A11:C11"/>
    <mergeCell ref="A26:C26"/>
    <mergeCell ref="A41:C41"/>
    <mergeCell ref="A50:C50"/>
    <mergeCell ref="A58:C5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Roman,Normal"&amp;A</oddHeader>
    <oddFooter>&amp;C&amp;"Times New Roman,Normal"Page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8"/>
  <sheetViews>
    <sheetView zoomScale="76" zoomScaleNormal="76" workbookViewId="0">
      <selection activeCell="G42" sqref="G42"/>
    </sheetView>
  </sheetViews>
  <sheetFormatPr baseColWidth="10" defaultColWidth="8.796875" defaultRowHeight="15.6" x14ac:dyDescent="0.3"/>
  <cols>
    <col min="1" max="1" width="39" style="165" customWidth="1"/>
    <col min="2" max="2" width="29.3984375" style="165" customWidth="1"/>
    <col min="3" max="3" width="16.5" style="166" customWidth="1"/>
    <col min="4" max="4" width="9.8984375" style="167" customWidth="1"/>
    <col min="5" max="5" width="8.5" style="192" customWidth="1"/>
    <col min="6" max="6" width="9" style="192" customWidth="1"/>
    <col min="7" max="1025" width="10.3984375" style="147" customWidth="1"/>
    <col min="1026" max="16384" width="8.796875" style="147"/>
  </cols>
  <sheetData>
    <row r="1" spans="1:10" ht="15.75" customHeight="1" x14ac:dyDescent="0.3">
      <c r="E1" s="349" t="s">
        <v>195</v>
      </c>
      <c r="F1" s="349"/>
      <c r="H1" s="350" t="s">
        <v>196</v>
      </c>
      <c r="I1" s="350"/>
    </row>
    <row r="2" spans="1:10" ht="27.6" x14ac:dyDescent="0.3">
      <c r="A2" s="168" t="s">
        <v>197</v>
      </c>
      <c r="B2" s="168" t="s">
        <v>198</v>
      </c>
      <c r="C2" s="168" t="s">
        <v>199</v>
      </c>
      <c r="D2" s="169" t="s">
        <v>200</v>
      </c>
      <c r="E2" s="170" t="s">
        <v>201</v>
      </c>
      <c r="F2" s="170" t="s">
        <v>202</v>
      </c>
      <c r="H2" s="257" t="s">
        <v>203</v>
      </c>
      <c r="I2" s="258" t="s">
        <v>202</v>
      </c>
      <c r="J2" s="147" t="s">
        <v>204</v>
      </c>
    </row>
    <row r="3" spans="1:10" x14ac:dyDescent="0.3">
      <c r="A3" s="171" t="s">
        <v>205</v>
      </c>
      <c r="B3" s="171" t="s">
        <v>206</v>
      </c>
      <c r="C3" s="172" t="s">
        <v>207</v>
      </c>
      <c r="D3" s="173">
        <v>321</v>
      </c>
      <c r="E3" s="173">
        <v>256.8</v>
      </c>
      <c r="F3" s="173">
        <v>150</v>
      </c>
      <c r="H3" s="259">
        <f>E3</f>
        <v>256.8</v>
      </c>
      <c r="I3" s="258">
        <f>0.25*D3</f>
        <v>80.25</v>
      </c>
      <c r="J3" s="147" t="s">
        <v>208</v>
      </c>
    </row>
    <row r="4" spans="1:10" x14ac:dyDescent="0.3">
      <c r="A4" s="171" t="s">
        <v>205</v>
      </c>
      <c r="B4" s="171" t="s">
        <v>209</v>
      </c>
      <c r="C4" s="172" t="s">
        <v>207</v>
      </c>
      <c r="D4" s="174">
        <v>160</v>
      </c>
      <c r="E4" s="174">
        <v>128</v>
      </c>
      <c r="F4" s="174">
        <v>80</v>
      </c>
      <c r="H4" s="259">
        <f>E4</f>
        <v>128</v>
      </c>
      <c r="I4" s="258">
        <f>D4*0.25</f>
        <v>40</v>
      </c>
      <c r="J4" s="147" t="s">
        <v>208</v>
      </c>
    </row>
    <row r="5" spans="1:10" x14ac:dyDescent="0.3">
      <c r="A5" s="171" t="s">
        <v>210</v>
      </c>
      <c r="B5" s="171" t="s">
        <v>211</v>
      </c>
      <c r="C5" s="172" t="s">
        <v>212</v>
      </c>
      <c r="D5" s="173">
        <v>97</v>
      </c>
      <c r="E5" s="173">
        <v>77.599999999999994</v>
      </c>
      <c r="F5" s="173">
        <v>78</v>
      </c>
      <c r="H5" s="259">
        <f>D5</f>
        <v>97</v>
      </c>
      <c r="I5" s="260">
        <f>D5*0.635</f>
        <v>61.594999999999999</v>
      </c>
      <c r="J5" s="147" t="s">
        <v>213</v>
      </c>
    </row>
    <row r="6" spans="1:10" x14ac:dyDescent="0.3">
      <c r="A6" s="171" t="s">
        <v>210</v>
      </c>
      <c r="B6" s="171" t="s">
        <v>214</v>
      </c>
      <c r="C6" s="172" t="s">
        <v>212</v>
      </c>
      <c r="D6" s="173">
        <v>54</v>
      </c>
      <c r="E6" s="173">
        <v>43.2</v>
      </c>
      <c r="F6" s="173">
        <v>43.2</v>
      </c>
      <c r="H6" s="259">
        <f>D6</f>
        <v>54</v>
      </c>
      <c r="I6" s="260">
        <f>D6*0.635</f>
        <v>34.29</v>
      </c>
      <c r="J6" s="147" t="s">
        <v>213</v>
      </c>
    </row>
    <row r="7" spans="1:10" x14ac:dyDescent="0.3">
      <c r="A7" s="171" t="s">
        <v>210</v>
      </c>
      <c r="B7" s="171" t="s">
        <v>215</v>
      </c>
      <c r="C7" s="172" t="s">
        <v>212</v>
      </c>
      <c r="D7" s="173">
        <v>54</v>
      </c>
      <c r="E7" s="173">
        <v>43.2</v>
      </c>
      <c r="F7" s="173">
        <v>43.2</v>
      </c>
      <c r="H7" s="259">
        <f>D7</f>
        <v>54</v>
      </c>
      <c r="I7" s="260">
        <f>D7*0.635</f>
        <v>34.29</v>
      </c>
      <c r="J7" s="147" t="s">
        <v>213</v>
      </c>
    </row>
    <row r="8" spans="1:10" x14ac:dyDescent="0.3">
      <c r="A8" s="171" t="s">
        <v>210</v>
      </c>
      <c r="B8" s="171" t="s">
        <v>216</v>
      </c>
      <c r="C8" s="172" t="s">
        <v>212</v>
      </c>
      <c r="D8" s="175">
        <v>5</v>
      </c>
      <c r="E8" s="175">
        <v>4.5</v>
      </c>
      <c r="F8" s="175">
        <v>4.5</v>
      </c>
      <c r="H8" s="259">
        <f>D8</f>
        <v>5</v>
      </c>
      <c r="I8" s="260">
        <f>D8*0.635</f>
        <v>3.1749999999999998</v>
      </c>
      <c r="J8" s="147" t="s">
        <v>213</v>
      </c>
    </row>
    <row r="9" spans="1:10" x14ac:dyDescent="0.3">
      <c r="A9" s="171" t="s">
        <v>210</v>
      </c>
      <c r="B9" s="171" t="s">
        <v>217</v>
      </c>
      <c r="C9" s="172" t="s">
        <v>212</v>
      </c>
      <c r="D9" s="174">
        <v>190</v>
      </c>
      <c r="E9" s="174">
        <v>152</v>
      </c>
      <c r="F9" s="174">
        <v>152</v>
      </c>
      <c r="H9" s="259">
        <f>D9</f>
        <v>190</v>
      </c>
      <c r="I9" s="260">
        <f>D9*0.635</f>
        <v>120.65</v>
      </c>
      <c r="J9" s="147" t="s">
        <v>213</v>
      </c>
    </row>
    <row r="10" spans="1:10" x14ac:dyDescent="0.3">
      <c r="A10" s="171" t="s">
        <v>218</v>
      </c>
      <c r="B10" s="171" t="s">
        <v>34</v>
      </c>
      <c r="C10" s="172" t="s">
        <v>219</v>
      </c>
      <c r="D10" s="173">
        <v>442</v>
      </c>
      <c r="E10" s="173">
        <v>428.74</v>
      </c>
      <c r="F10" s="173">
        <v>141.44</v>
      </c>
      <c r="H10" s="259">
        <f t="shared" ref="H10:I16" si="0">E10</f>
        <v>428.74</v>
      </c>
      <c r="I10" s="260">
        <f t="shared" si="0"/>
        <v>141.44</v>
      </c>
      <c r="J10" s="147" t="s">
        <v>220</v>
      </c>
    </row>
    <row r="11" spans="1:10" x14ac:dyDescent="0.3">
      <c r="A11" s="171" t="s">
        <v>218</v>
      </c>
      <c r="B11" s="171" t="s">
        <v>33</v>
      </c>
      <c r="C11" s="172" t="s">
        <v>219</v>
      </c>
      <c r="D11" s="173">
        <v>93</v>
      </c>
      <c r="E11" s="173">
        <v>83.7</v>
      </c>
      <c r="F11" s="173">
        <v>74.400000000000006</v>
      </c>
      <c r="H11" s="259">
        <f t="shared" si="0"/>
        <v>83.7</v>
      </c>
      <c r="I11" s="260">
        <f t="shared" si="0"/>
        <v>74.400000000000006</v>
      </c>
      <c r="J11" s="147" t="s">
        <v>221</v>
      </c>
    </row>
    <row r="12" spans="1:10" x14ac:dyDescent="0.3">
      <c r="A12" s="176" t="s">
        <v>222</v>
      </c>
      <c r="B12" s="176" t="s">
        <v>223</v>
      </c>
      <c r="C12" s="172" t="s">
        <v>224</v>
      </c>
      <c r="D12" s="173">
        <v>403</v>
      </c>
      <c r="E12" s="173">
        <v>362.7</v>
      </c>
      <c r="F12" s="173">
        <v>322.39999999999998</v>
      </c>
      <c r="H12" s="259">
        <f t="shared" si="0"/>
        <v>362.7</v>
      </c>
      <c r="I12" s="260">
        <f t="shared" si="0"/>
        <v>322.39999999999998</v>
      </c>
      <c r="J12" s="147" t="s">
        <v>221</v>
      </c>
    </row>
    <row r="13" spans="1:10" x14ac:dyDescent="0.3">
      <c r="A13" s="176" t="s">
        <v>222</v>
      </c>
      <c r="B13" s="176" t="s">
        <v>225</v>
      </c>
      <c r="C13" s="172" t="s">
        <v>226</v>
      </c>
      <c r="D13" s="175">
        <v>25</v>
      </c>
      <c r="E13" s="175">
        <v>22.5</v>
      </c>
      <c r="F13" s="175">
        <v>20</v>
      </c>
      <c r="H13" s="259">
        <f t="shared" si="0"/>
        <v>22.5</v>
      </c>
      <c r="I13" s="260">
        <f t="shared" si="0"/>
        <v>20</v>
      </c>
      <c r="J13" s="147" t="s">
        <v>221</v>
      </c>
    </row>
    <row r="14" spans="1:10" x14ac:dyDescent="0.3">
      <c r="A14" s="176" t="s">
        <v>222</v>
      </c>
      <c r="B14" s="176" t="s">
        <v>227</v>
      </c>
      <c r="C14" s="172" t="s">
        <v>228</v>
      </c>
      <c r="D14" s="177">
        <v>3.15</v>
      </c>
      <c r="E14" s="177">
        <v>2.835</v>
      </c>
      <c r="F14" s="177">
        <v>2.52</v>
      </c>
      <c r="H14" s="259">
        <f t="shared" si="0"/>
        <v>2.835</v>
      </c>
      <c r="I14" s="260">
        <f t="shared" si="0"/>
        <v>2.52</v>
      </c>
      <c r="J14" s="147" t="s">
        <v>221</v>
      </c>
    </row>
    <row r="15" spans="1:10" x14ac:dyDescent="0.3">
      <c r="A15" s="176" t="s">
        <v>222</v>
      </c>
      <c r="B15" s="176" t="s">
        <v>229</v>
      </c>
      <c r="C15" s="172" t="s">
        <v>230</v>
      </c>
      <c r="D15" s="177">
        <v>0.52</v>
      </c>
      <c r="E15" s="177">
        <v>0.46800000000000003</v>
      </c>
      <c r="F15" s="177">
        <v>0.41599999999999998</v>
      </c>
      <c r="H15" s="259">
        <f t="shared" si="0"/>
        <v>0.46800000000000003</v>
      </c>
      <c r="I15" s="260">
        <f t="shared" si="0"/>
        <v>0.41599999999999998</v>
      </c>
      <c r="J15" s="147" t="s">
        <v>221</v>
      </c>
    </row>
    <row r="16" spans="1:10" x14ac:dyDescent="0.3">
      <c r="A16" s="171" t="s">
        <v>218</v>
      </c>
      <c r="B16" s="171" t="s">
        <v>231</v>
      </c>
      <c r="C16" s="172" t="s">
        <v>232</v>
      </c>
      <c r="D16" s="173">
        <v>108</v>
      </c>
      <c r="E16" s="173">
        <v>97.2</v>
      </c>
      <c r="F16" s="173">
        <v>86.4</v>
      </c>
      <c r="H16" s="259">
        <f t="shared" si="0"/>
        <v>97.2</v>
      </c>
      <c r="I16" s="260">
        <f t="shared" si="0"/>
        <v>86.4</v>
      </c>
      <c r="J16" s="147" t="s">
        <v>221</v>
      </c>
    </row>
    <row r="17" spans="1:10" x14ac:dyDescent="0.3">
      <c r="A17" s="171" t="s">
        <v>233</v>
      </c>
      <c r="B17" s="171"/>
      <c r="C17" s="172" t="s">
        <v>232</v>
      </c>
      <c r="D17" s="178">
        <v>0.98</v>
      </c>
      <c r="E17" s="178">
        <v>0.8</v>
      </c>
      <c r="F17" s="178">
        <v>0.4</v>
      </c>
      <c r="H17" s="257">
        <v>0.8</v>
      </c>
      <c r="I17" s="258">
        <v>0.4</v>
      </c>
    </row>
    <row r="18" spans="1:10" x14ac:dyDescent="0.3">
      <c r="A18" s="171" t="s">
        <v>234</v>
      </c>
      <c r="B18" s="171"/>
      <c r="C18" s="172" t="s">
        <v>232</v>
      </c>
      <c r="D18" s="178">
        <v>0.02</v>
      </c>
      <c r="E18" s="178">
        <v>0.2</v>
      </c>
      <c r="F18" s="178">
        <v>0.6</v>
      </c>
      <c r="H18" s="257">
        <v>0.2</v>
      </c>
      <c r="I18" s="258">
        <v>0.6</v>
      </c>
    </row>
    <row r="19" spans="1:10" x14ac:dyDescent="0.3">
      <c r="A19" s="176" t="s">
        <v>235</v>
      </c>
      <c r="B19" s="176" t="s">
        <v>236</v>
      </c>
      <c r="C19" s="172" t="s">
        <v>237</v>
      </c>
      <c r="D19" s="179">
        <v>3.5999999999999999E-3</v>
      </c>
      <c r="E19" s="179">
        <v>3.5999999999999999E-3</v>
      </c>
      <c r="F19" s="179">
        <v>3.5999999999999999E-3</v>
      </c>
      <c r="H19" s="257">
        <v>3.5999999999999999E-3</v>
      </c>
      <c r="I19" s="258">
        <v>3.5999999999999999E-3</v>
      </c>
      <c r="J19" s="147" t="s">
        <v>221</v>
      </c>
    </row>
    <row r="20" spans="1:10" x14ac:dyDescent="0.3">
      <c r="A20" s="176" t="s">
        <v>238</v>
      </c>
      <c r="B20" s="176" t="s">
        <v>236</v>
      </c>
      <c r="C20" s="172" t="s">
        <v>237</v>
      </c>
      <c r="D20" s="180">
        <v>1.04E-2</v>
      </c>
      <c r="E20" s="180">
        <v>1.04E-2</v>
      </c>
      <c r="F20" s="180">
        <v>1.1412E-2</v>
      </c>
      <c r="H20" s="257">
        <v>1.04E-2</v>
      </c>
      <c r="I20" s="258">
        <v>1.1412E-2</v>
      </c>
      <c r="J20" s="147" t="s">
        <v>221</v>
      </c>
    </row>
    <row r="21" spans="1:10" x14ac:dyDescent="0.3">
      <c r="A21" s="176" t="s">
        <v>239</v>
      </c>
      <c r="B21" s="176" t="s">
        <v>236</v>
      </c>
      <c r="C21" s="172" t="s">
        <v>240</v>
      </c>
      <c r="D21" s="181">
        <v>5.5000000000000002E-5</v>
      </c>
      <c r="E21" s="182">
        <v>4.3999999999999999E-5</v>
      </c>
      <c r="F21" s="182">
        <v>8.6731199999999995E-7</v>
      </c>
      <c r="H21" s="261">
        <f t="shared" ref="H21:I35" si="1">E21</f>
        <v>4.3999999999999999E-5</v>
      </c>
      <c r="I21" s="262">
        <f t="shared" si="1"/>
        <v>8.6731199999999995E-7</v>
      </c>
      <c r="J21" s="147" t="s">
        <v>221</v>
      </c>
    </row>
    <row r="22" spans="1:10" x14ac:dyDescent="0.3">
      <c r="A22" s="176" t="s">
        <v>239</v>
      </c>
      <c r="B22" s="176" t="s">
        <v>241</v>
      </c>
      <c r="C22" s="172" t="s">
        <v>242</v>
      </c>
      <c r="D22" s="181">
        <v>3.2000000000000002E-3</v>
      </c>
      <c r="E22" s="181">
        <v>2.5600000000000002E-3</v>
      </c>
      <c r="F22" s="181">
        <v>6.4000000000000005E-4</v>
      </c>
      <c r="H22" s="263">
        <f t="shared" si="1"/>
        <v>2.5600000000000002E-3</v>
      </c>
      <c r="I22" s="262">
        <f t="shared" si="1"/>
        <v>6.4000000000000005E-4</v>
      </c>
      <c r="J22" s="147" t="s">
        <v>221</v>
      </c>
    </row>
    <row r="23" spans="1:10" x14ac:dyDescent="0.3">
      <c r="A23" s="176" t="s">
        <v>243</v>
      </c>
      <c r="B23" s="176" t="s">
        <v>244</v>
      </c>
      <c r="C23" s="172" t="s">
        <v>245</v>
      </c>
      <c r="D23" s="181">
        <v>1.9266000000000001E-3</v>
      </c>
      <c r="E23" s="181">
        <v>1.5412799999999999E-3</v>
      </c>
      <c r="F23" s="181">
        <v>3.8531999999999998E-4</v>
      </c>
      <c r="H23" s="263">
        <f t="shared" si="1"/>
        <v>1.5412799999999999E-3</v>
      </c>
      <c r="I23" s="262">
        <f t="shared" si="1"/>
        <v>3.8531999999999998E-4</v>
      </c>
      <c r="J23" s="147" t="s">
        <v>221</v>
      </c>
    </row>
    <row r="24" spans="1:10" x14ac:dyDescent="0.3">
      <c r="A24" s="176" t="s">
        <v>239</v>
      </c>
      <c r="B24" s="176" t="s">
        <v>246</v>
      </c>
      <c r="C24" s="172" t="s">
        <v>247</v>
      </c>
      <c r="D24" s="181">
        <v>2.944E-3</v>
      </c>
      <c r="E24" s="181">
        <v>2.3552E-3</v>
      </c>
      <c r="F24" s="181">
        <v>5.888E-4</v>
      </c>
      <c r="H24" s="263">
        <f t="shared" si="1"/>
        <v>2.3552E-3</v>
      </c>
      <c r="I24" s="262">
        <f t="shared" si="1"/>
        <v>5.888E-4</v>
      </c>
      <c r="J24" s="147" t="s">
        <v>221</v>
      </c>
    </row>
    <row r="25" spans="1:10" x14ac:dyDescent="0.3">
      <c r="A25" s="176" t="s">
        <v>239</v>
      </c>
      <c r="B25" s="176" t="s">
        <v>248</v>
      </c>
      <c r="C25" s="172" t="s">
        <v>249</v>
      </c>
      <c r="D25" s="181">
        <v>7.8625134264231997E-2</v>
      </c>
      <c r="E25" s="181">
        <v>7.0762620837808807E-2</v>
      </c>
      <c r="F25" s="181">
        <v>1.5725026852846401E-2</v>
      </c>
      <c r="H25" s="263">
        <f t="shared" si="1"/>
        <v>7.0762620837808807E-2</v>
      </c>
      <c r="I25" s="262">
        <f t="shared" si="1"/>
        <v>1.5725026852846401E-2</v>
      </c>
      <c r="J25" s="147" t="s">
        <v>221</v>
      </c>
    </row>
    <row r="26" spans="1:10" x14ac:dyDescent="0.3">
      <c r="A26" s="176" t="s">
        <v>250</v>
      </c>
      <c r="B26" s="176" t="s">
        <v>251</v>
      </c>
      <c r="C26" s="172" t="s">
        <v>252</v>
      </c>
      <c r="D26" s="183">
        <v>5.94E-3</v>
      </c>
      <c r="E26" s="184">
        <v>4.7528000000000002E-4</v>
      </c>
      <c r="F26" s="183">
        <v>4.7528000000000002E-4</v>
      </c>
      <c r="H26" s="263">
        <f t="shared" ref="H26:H34" si="2">D26</f>
        <v>5.94E-3</v>
      </c>
      <c r="I26" s="262">
        <f t="shared" si="1"/>
        <v>4.7528000000000002E-4</v>
      </c>
      <c r="J26" s="147" t="s">
        <v>221</v>
      </c>
    </row>
    <row r="27" spans="1:10" x14ac:dyDescent="0.3">
      <c r="A27" s="176" t="s">
        <v>250</v>
      </c>
      <c r="B27" s="185" t="s">
        <v>253</v>
      </c>
      <c r="C27" s="172" t="s">
        <v>252</v>
      </c>
      <c r="D27" s="183">
        <v>1.1650000000000001E-2</v>
      </c>
      <c r="E27" s="184">
        <v>9.3134328358209005E-4</v>
      </c>
      <c r="F27" s="183">
        <v>9.3134328358209005E-4</v>
      </c>
      <c r="H27" s="263">
        <f t="shared" si="2"/>
        <v>1.1650000000000001E-2</v>
      </c>
      <c r="I27" s="262">
        <f t="shared" si="1"/>
        <v>9.3134328358209005E-4</v>
      </c>
      <c r="J27" s="147" t="s">
        <v>254</v>
      </c>
    </row>
    <row r="28" spans="1:10" x14ac:dyDescent="0.3">
      <c r="A28" s="176" t="s">
        <v>239</v>
      </c>
      <c r="B28" s="176" t="s">
        <v>251</v>
      </c>
      <c r="C28" s="172" t="s">
        <v>255</v>
      </c>
      <c r="D28" s="186">
        <v>3.2010000000000001</v>
      </c>
      <c r="E28" s="187">
        <v>2.6364800000000002</v>
      </c>
      <c r="F28" s="186">
        <v>2.6364800000000002</v>
      </c>
      <c r="H28" s="264">
        <f t="shared" si="2"/>
        <v>3.2010000000000001</v>
      </c>
      <c r="I28" s="265">
        <f t="shared" si="1"/>
        <v>2.6364800000000002</v>
      </c>
      <c r="J28" s="147" t="s">
        <v>254</v>
      </c>
    </row>
    <row r="29" spans="1:10" x14ac:dyDescent="0.3">
      <c r="A29" s="176" t="s">
        <v>239</v>
      </c>
      <c r="B29" s="176" t="s">
        <v>256</v>
      </c>
      <c r="C29" s="172" t="s">
        <v>255</v>
      </c>
      <c r="D29" s="186">
        <v>3.4540000000000002</v>
      </c>
      <c r="E29" s="187">
        <v>2.9072</v>
      </c>
      <c r="F29" s="186">
        <v>2.9072</v>
      </c>
      <c r="H29" s="264">
        <f t="shared" si="2"/>
        <v>3.4540000000000002</v>
      </c>
      <c r="I29" s="265">
        <f t="shared" si="1"/>
        <v>2.9072</v>
      </c>
      <c r="J29" s="147" t="s">
        <v>254</v>
      </c>
    </row>
    <row r="30" spans="1:10" x14ac:dyDescent="0.3">
      <c r="A30" s="176" t="s">
        <v>239</v>
      </c>
      <c r="B30" s="176" t="s">
        <v>253</v>
      </c>
      <c r="C30" s="172" t="s">
        <v>255</v>
      </c>
      <c r="D30" s="186">
        <v>2.5605000000000002</v>
      </c>
      <c r="E30" s="187">
        <v>1.9926925373134301</v>
      </c>
      <c r="F30" s="186">
        <v>1.9926925373134301</v>
      </c>
      <c r="H30" s="264">
        <f t="shared" si="2"/>
        <v>2.5605000000000002</v>
      </c>
      <c r="I30" s="265">
        <f t="shared" si="1"/>
        <v>1.9926925373134301</v>
      </c>
      <c r="J30" s="147" t="s">
        <v>254</v>
      </c>
    </row>
    <row r="31" spans="1:10" x14ac:dyDescent="0.3">
      <c r="A31" s="176" t="s">
        <v>239</v>
      </c>
      <c r="B31" s="176" t="s">
        <v>257</v>
      </c>
      <c r="C31" s="172" t="s">
        <v>255</v>
      </c>
      <c r="D31" s="186">
        <v>2.9950000000000001</v>
      </c>
      <c r="E31" s="187">
        <v>4.2439999999999998</v>
      </c>
      <c r="F31" s="186">
        <v>4.2439999999999998</v>
      </c>
      <c r="H31" s="264">
        <f t="shared" si="2"/>
        <v>2.9950000000000001</v>
      </c>
      <c r="I31" s="265">
        <f t="shared" si="1"/>
        <v>4.2439999999999998</v>
      </c>
      <c r="J31" s="147" t="s">
        <v>258</v>
      </c>
    </row>
    <row r="32" spans="1:10" x14ac:dyDescent="0.3">
      <c r="A32" s="176" t="s">
        <v>238</v>
      </c>
      <c r="B32" s="176" t="s">
        <v>251</v>
      </c>
      <c r="C32" s="172" t="s">
        <v>259</v>
      </c>
      <c r="D32" s="188">
        <v>58.81</v>
      </c>
      <c r="E32" s="189">
        <v>47.048000000000002</v>
      </c>
      <c r="F32" s="188">
        <v>47.048000000000002</v>
      </c>
      <c r="H32" s="266">
        <f t="shared" si="2"/>
        <v>58.81</v>
      </c>
      <c r="I32" s="267">
        <f t="shared" si="1"/>
        <v>47.048000000000002</v>
      </c>
      <c r="J32" s="147" t="s">
        <v>221</v>
      </c>
    </row>
    <row r="33" spans="1:10" x14ac:dyDescent="0.3">
      <c r="A33" s="176" t="s">
        <v>238</v>
      </c>
      <c r="B33" s="176" t="s">
        <v>256</v>
      </c>
      <c r="C33" s="172" t="s">
        <v>259</v>
      </c>
      <c r="D33" s="188">
        <v>62.91</v>
      </c>
      <c r="E33" s="189">
        <v>50.328000000000003</v>
      </c>
      <c r="F33" s="188">
        <v>50.328000000000003</v>
      </c>
      <c r="H33" s="266">
        <f t="shared" si="2"/>
        <v>62.91</v>
      </c>
      <c r="I33" s="267">
        <f t="shared" si="1"/>
        <v>50.328000000000003</v>
      </c>
      <c r="J33" s="147" t="s">
        <v>221</v>
      </c>
    </row>
    <row r="34" spans="1:10" x14ac:dyDescent="0.3">
      <c r="A34" s="176" t="s">
        <v>238</v>
      </c>
      <c r="B34" s="176" t="s">
        <v>253</v>
      </c>
      <c r="C34" s="172" t="s">
        <v>259</v>
      </c>
      <c r="D34" s="188">
        <v>47.47</v>
      </c>
      <c r="E34" s="189">
        <v>37.975999999999999</v>
      </c>
      <c r="F34" s="188">
        <v>37.975999999999999</v>
      </c>
      <c r="H34" s="266">
        <f t="shared" si="2"/>
        <v>47.47</v>
      </c>
      <c r="I34" s="267">
        <f t="shared" si="1"/>
        <v>37.975999999999999</v>
      </c>
      <c r="J34" s="147" t="s">
        <v>221</v>
      </c>
    </row>
    <row r="35" spans="1:10" x14ac:dyDescent="0.3">
      <c r="A35" s="176" t="s">
        <v>238</v>
      </c>
      <c r="B35" s="176" t="s">
        <v>257</v>
      </c>
      <c r="C35" s="172" t="s">
        <v>259</v>
      </c>
      <c r="D35" s="188">
        <v>54.36</v>
      </c>
      <c r="E35" s="189">
        <v>48.923999999999999</v>
      </c>
      <c r="F35" s="188">
        <v>43.488</v>
      </c>
      <c r="H35" s="266">
        <f>E35</f>
        <v>48.923999999999999</v>
      </c>
      <c r="I35" s="267">
        <f t="shared" si="1"/>
        <v>43.488</v>
      </c>
      <c r="J35" s="147" t="s">
        <v>221</v>
      </c>
    </row>
    <row r="36" spans="1:10" x14ac:dyDescent="0.3">
      <c r="A36" s="190"/>
      <c r="B36" s="190"/>
      <c r="C36" s="191"/>
      <c r="D36" s="190"/>
      <c r="E36" s="190"/>
      <c r="F36" s="190"/>
    </row>
    <row r="37" spans="1:10" x14ac:dyDescent="0.3">
      <c r="F37" s="190"/>
    </row>
    <row r="38" spans="1:10" x14ac:dyDescent="0.3">
      <c r="F38" s="190"/>
    </row>
  </sheetData>
  <mergeCells count="2">
    <mergeCell ref="E1:F1"/>
    <mergeCell ref="H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AK28"/>
  <sheetViews>
    <sheetView topLeftCell="A4" workbookViewId="0">
      <selection activeCell="AI11" sqref="AI11"/>
    </sheetView>
  </sheetViews>
  <sheetFormatPr baseColWidth="10" defaultRowHeight="15.6" x14ac:dyDescent="0.3"/>
  <cols>
    <col min="2" max="2" width="42.796875" customWidth="1"/>
    <col min="3" max="3" width="9.09765625" bestFit="1" customWidth="1"/>
    <col min="4" max="12" width="11.19921875" style="304" hidden="1" customWidth="1"/>
    <col min="14" max="22" width="0" style="304" hidden="1" customWidth="1"/>
    <col min="24" max="32" width="0" style="304" hidden="1" customWidth="1"/>
    <col min="35" max="35" width="35.69921875" customWidth="1"/>
  </cols>
  <sheetData>
    <row r="4" spans="2:37" x14ac:dyDescent="0.3">
      <c r="B4" t="s">
        <v>299</v>
      </c>
    </row>
    <row r="5" spans="2:37" ht="16.2" thickBot="1" x14ac:dyDescent="0.35"/>
    <row r="6" spans="2:37" ht="16.2" thickBot="1" x14ac:dyDescent="0.35">
      <c r="B6" s="289" t="s">
        <v>326</v>
      </c>
      <c r="C6" s="278">
        <v>2020</v>
      </c>
      <c r="D6" s="278">
        <f>C6+1</f>
        <v>2021</v>
      </c>
      <c r="E6" s="278">
        <f t="shared" ref="E6:L6" si="0">D6+1</f>
        <v>2022</v>
      </c>
      <c r="F6" s="278">
        <f t="shared" si="0"/>
        <v>2023</v>
      </c>
      <c r="G6" s="278">
        <f t="shared" si="0"/>
        <v>2024</v>
      </c>
      <c r="H6" s="278">
        <f t="shared" si="0"/>
        <v>2025</v>
      </c>
      <c r="I6" s="278">
        <f t="shared" si="0"/>
        <v>2026</v>
      </c>
      <c r="J6" s="278">
        <f t="shared" si="0"/>
        <v>2027</v>
      </c>
      <c r="K6" s="278">
        <f t="shared" si="0"/>
        <v>2028</v>
      </c>
      <c r="L6" s="278">
        <f t="shared" si="0"/>
        <v>2029</v>
      </c>
      <c r="M6" s="278">
        <v>2030</v>
      </c>
      <c r="N6" s="278">
        <f>M6+1</f>
        <v>2031</v>
      </c>
      <c r="O6" s="278">
        <f t="shared" ref="O6:V6" si="1">N6+1</f>
        <v>2032</v>
      </c>
      <c r="P6" s="278">
        <f t="shared" si="1"/>
        <v>2033</v>
      </c>
      <c r="Q6" s="278">
        <f t="shared" si="1"/>
        <v>2034</v>
      </c>
      <c r="R6" s="278">
        <f t="shared" si="1"/>
        <v>2035</v>
      </c>
      <c r="S6" s="278">
        <f t="shared" si="1"/>
        <v>2036</v>
      </c>
      <c r="T6" s="278">
        <f t="shared" si="1"/>
        <v>2037</v>
      </c>
      <c r="U6" s="278">
        <f t="shared" si="1"/>
        <v>2038</v>
      </c>
      <c r="V6" s="278">
        <f t="shared" si="1"/>
        <v>2039</v>
      </c>
      <c r="W6" s="278">
        <v>2040</v>
      </c>
      <c r="X6" s="278">
        <f>W6+1</f>
        <v>2041</v>
      </c>
      <c r="Y6" s="278">
        <f t="shared" ref="Y6:AF6" si="2">X6+1</f>
        <v>2042</v>
      </c>
      <c r="Z6" s="278">
        <f t="shared" si="2"/>
        <v>2043</v>
      </c>
      <c r="AA6" s="278">
        <f t="shared" si="2"/>
        <v>2044</v>
      </c>
      <c r="AB6" s="278">
        <f t="shared" si="2"/>
        <v>2045</v>
      </c>
      <c r="AC6" s="278">
        <f t="shared" si="2"/>
        <v>2046</v>
      </c>
      <c r="AD6" s="278">
        <f t="shared" si="2"/>
        <v>2047</v>
      </c>
      <c r="AE6" s="278">
        <f t="shared" si="2"/>
        <v>2048</v>
      </c>
      <c r="AF6" s="278">
        <f t="shared" si="2"/>
        <v>2049</v>
      </c>
      <c r="AG6" s="292">
        <v>2050</v>
      </c>
    </row>
    <row r="7" spans="2:37" x14ac:dyDescent="0.3">
      <c r="B7" s="285" t="s">
        <v>297</v>
      </c>
      <c r="C7" s="290">
        <v>22353</v>
      </c>
      <c r="D7" s="290">
        <f>C7+($M7-$C7)/10</f>
        <v>21193.270780085553</v>
      </c>
      <c r="E7" s="290">
        <f t="shared" ref="E7:L7" si="3">D7+($M7-$C7)/10</f>
        <v>20033.541560171107</v>
      </c>
      <c r="F7" s="290">
        <f t="shared" si="3"/>
        <v>18873.81234025666</v>
      </c>
      <c r="G7" s="290">
        <f t="shared" si="3"/>
        <v>17714.083120342213</v>
      </c>
      <c r="H7" s="290">
        <f t="shared" si="3"/>
        <v>16554.353900427766</v>
      </c>
      <c r="I7" s="290">
        <f t="shared" si="3"/>
        <v>15394.624680513318</v>
      </c>
      <c r="J7" s="290">
        <f t="shared" si="3"/>
        <v>14234.895460598869</v>
      </c>
      <c r="K7" s="290">
        <f t="shared" si="3"/>
        <v>13075.166240684421</v>
      </c>
      <c r="L7" s="290">
        <f t="shared" si="3"/>
        <v>11915.437020769972</v>
      </c>
      <c r="M7" s="290">
        <v>10755.707800855516</v>
      </c>
      <c r="N7" s="290">
        <f>M7+($W7-$M7)/10</f>
        <v>10199.313108283181</v>
      </c>
      <c r="O7" s="290">
        <f t="shared" ref="O7:V7" si="4">N7+($W7-$M7)/10</f>
        <v>9642.9184157108448</v>
      </c>
      <c r="P7" s="290">
        <f t="shared" si="4"/>
        <v>9086.523723138509</v>
      </c>
      <c r="Q7" s="290">
        <f t="shared" si="4"/>
        <v>8530.1290305661732</v>
      </c>
      <c r="R7" s="290">
        <f t="shared" si="4"/>
        <v>7973.7343379938384</v>
      </c>
      <c r="S7" s="290">
        <f t="shared" si="4"/>
        <v>7417.3396454215035</v>
      </c>
      <c r="T7" s="290">
        <f t="shared" si="4"/>
        <v>6860.9449528491687</v>
      </c>
      <c r="U7" s="290">
        <f t="shared" si="4"/>
        <v>6304.5502602768338</v>
      </c>
      <c r="V7" s="290">
        <f t="shared" si="4"/>
        <v>5748.1555677044989</v>
      </c>
      <c r="W7" s="290">
        <v>5191.7608751321668</v>
      </c>
      <c r="X7" s="290">
        <f>W7+($AG7-$W7)/10</f>
        <v>4670.3883812201902</v>
      </c>
      <c r="Y7" s="290">
        <f t="shared" ref="Y7:AF7" si="5">X7+($AG7-$W7)/10</f>
        <v>4149.0158873082137</v>
      </c>
      <c r="Z7" s="290">
        <f t="shared" si="5"/>
        <v>3627.6433933962371</v>
      </c>
      <c r="AA7" s="290">
        <f t="shared" si="5"/>
        <v>3106.2708994842606</v>
      </c>
      <c r="AB7" s="290">
        <f t="shared" si="5"/>
        <v>2584.898405572284</v>
      </c>
      <c r="AC7" s="290">
        <f t="shared" si="5"/>
        <v>2063.5259116603074</v>
      </c>
      <c r="AD7" s="290">
        <f t="shared" si="5"/>
        <v>1542.1534177483309</v>
      </c>
      <c r="AE7" s="290">
        <f t="shared" si="5"/>
        <v>1020.7809238363544</v>
      </c>
      <c r="AF7" s="290">
        <f t="shared" si="5"/>
        <v>499.40842992437797</v>
      </c>
      <c r="AG7" s="280">
        <v>-21.964063987597569</v>
      </c>
      <c r="AI7" t="s">
        <v>298</v>
      </c>
    </row>
    <row r="8" spans="2:37" ht="16.2" thickBot="1" x14ac:dyDescent="0.35">
      <c r="B8" s="303" t="s">
        <v>321</v>
      </c>
      <c r="C8" s="286">
        <f>C7/1000</f>
        <v>22.353000000000002</v>
      </c>
      <c r="D8" s="286">
        <f>C8+D7/1000</f>
        <v>43.54627078008555</v>
      </c>
      <c r="E8" s="286">
        <f t="shared" ref="E8:AG8" si="6">D8+E7/1000</f>
        <v>63.579812340256652</v>
      </c>
      <c r="F8" s="286">
        <f t="shared" si="6"/>
        <v>82.453624680513315</v>
      </c>
      <c r="G8" s="286">
        <f t="shared" si="6"/>
        <v>100.16770780085552</v>
      </c>
      <c r="H8" s="286">
        <f t="shared" si="6"/>
        <v>116.72206170128329</v>
      </c>
      <c r="I8" s="286">
        <f t="shared" si="6"/>
        <v>132.11668638179663</v>
      </c>
      <c r="J8" s="286">
        <f t="shared" si="6"/>
        <v>146.35158184239549</v>
      </c>
      <c r="K8" s="286">
        <f t="shared" si="6"/>
        <v>159.4267480830799</v>
      </c>
      <c r="L8" s="286">
        <f t="shared" si="6"/>
        <v>171.34218510384989</v>
      </c>
      <c r="M8" s="286">
        <f t="shared" si="6"/>
        <v>182.09789290470539</v>
      </c>
      <c r="N8" s="286">
        <f t="shared" si="6"/>
        <v>192.29720601298857</v>
      </c>
      <c r="O8" s="286">
        <f t="shared" si="6"/>
        <v>201.94012442869942</v>
      </c>
      <c r="P8" s="286">
        <f t="shared" si="6"/>
        <v>211.02664815183792</v>
      </c>
      <c r="Q8" s="286">
        <f t="shared" si="6"/>
        <v>219.55677718240409</v>
      </c>
      <c r="R8" s="286">
        <f t="shared" si="6"/>
        <v>227.53051152039794</v>
      </c>
      <c r="S8" s="286">
        <f t="shared" si="6"/>
        <v>234.94785116581943</v>
      </c>
      <c r="T8" s="286">
        <f t="shared" si="6"/>
        <v>241.8087961186686</v>
      </c>
      <c r="U8" s="286">
        <f t="shared" si="6"/>
        <v>248.11334637894544</v>
      </c>
      <c r="V8" s="286">
        <f t="shared" si="6"/>
        <v>253.86150194664992</v>
      </c>
      <c r="W8" s="286">
        <f t="shared" si="6"/>
        <v>259.05326282178208</v>
      </c>
      <c r="X8" s="286">
        <f t="shared" si="6"/>
        <v>263.72365120300225</v>
      </c>
      <c r="Y8" s="286">
        <f t="shared" si="6"/>
        <v>267.87266709031047</v>
      </c>
      <c r="Z8" s="286">
        <f t="shared" si="6"/>
        <v>271.5003104837067</v>
      </c>
      <c r="AA8" s="286">
        <f t="shared" si="6"/>
        <v>274.60658138319098</v>
      </c>
      <c r="AB8" s="286">
        <f t="shared" si="6"/>
        <v>277.19147978876327</v>
      </c>
      <c r="AC8" s="286">
        <f t="shared" si="6"/>
        <v>279.25500570042357</v>
      </c>
      <c r="AD8" s="286">
        <f t="shared" si="6"/>
        <v>280.79715911817192</v>
      </c>
      <c r="AE8" s="286">
        <f t="shared" si="6"/>
        <v>281.81794004200827</v>
      </c>
      <c r="AF8" s="286">
        <f t="shared" si="6"/>
        <v>282.31734847193263</v>
      </c>
      <c r="AG8" s="276">
        <f t="shared" si="6"/>
        <v>282.29538440794505</v>
      </c>
    </row>
    <row r="9" spans="2:37" s="304" customFormat="1" ht="16.2" thickBot="1" x14ac:dyDescent="0.35">
      <c r="D9" s="270"/>
      <c r="E9" s="270"/>
      <c r="F9" s="270"/>
      <c r="G9" s="270"/>
      <c r="H9" s="270"/>
      <c r="I9" s="270"/>
      <c r="J9" s="270"/>
      <c r="K9" s="270"/>
      <c r="L9" s="270"/>
      <c r="N9" s="270"/>
      <c r="O9" s="270"/>
      <c r="P9" s="270"/>
      <c r="Q9" s="270"/>
      <c r="R9" s="270"/>
      <c r="S9" s="270"/>
      <c r="T9" s="270"/>
      <c r="U9" s="270"/>
      <c r="V9" s="270"/>
      <c r="X9" s="270"/>
      <c r="Y9" s="270"/>
      <c r="Z9" s="270"/>
      <c r="AA9" s="270"/>
      <c r="AB9" s="270"/>
      <c r="AC9" s="270"/>
      <c r="AD9" s="270"/>
      <c r="AE9" s="270"/>
      <c r="AF9" s="270"/>
    </row>
    <row r="10" spans="2:37" ht="16.2" thickBot="1" x14ac:dyDescent="0.35">
      <c r="B10" s="289" t="s">
        <v>327</v>
      </c>
      <c r="C10" s="278">
        <v>2020</v>
      </c>
      <c r="D10" s="278">
        <f>C10+1</f>
        <v>2021</v>
      </c>
      <c r="E10" s="278">
        <f t="shared" ref="E10:L10" si="7">D10+1</f>
        <v>2022</v>
      </c>
      <c r="F10" s="278">
        <f t="shared" si="7"/>
        <v>2023</v>
      </c>
      <c r="G10" s="278">
        <f t="shared" si="7"/>
        <v>2024</v>
      </c>
      <c r="H10" s="278">
        <f t="shared" si="7"/>
        <v>2025</v>
      </c>
      <c r="I10" s="278">
        <f t="shared" si="7"/>
        <v>2026</v>
      </c>
      <c r="J10" s="278">
        <f t="shared" si="7"/>
        <v>2027</v>
      </c>
      <c r="K10" s="278">
        <f t="shared" si="7"/>
        <v>2028</v>
      </c>
      <c r="L10" s="278">
        <f t="shared" si="7"/>
        <v>2029</v>
      </c>
      <c r="M10" s="278">
        <v>2030</v>
      </c>
      <c r="N10" s="278">
        <f>M10+1</f>
        <v>2031</v>
      </c>
      <c r="O10" s="278">
        <f t="shared" ref="O10:V10" si="8">N10+1</f>
        <v>2032</v>
      </c>
      <c r="P10" s="278">
        <f t="shared" si="8"/>
        <v>2033</v>
      </c>
      <c r="Q10" s="278">
        <f t="shared" si="8"/>
        <v>2034</v>
      </c>
      <c r="R10" s="278">
        <f t="shared" si="8"/>
        <v>2035</v>
      </c>
      <c r="S10" s="278">
        <f t="shared" si="8"/>
        <v>2036</v>
      </c>
      <c r="T10" s="278">
        <f t="shared" si="8"/>
        <v>2037</v>
      </c>
      <c r="U10" s="278">
        <f t="shared" si="8"/>
        <v>2038</v>
      </c>
      <c r="V10" s="278">
        <f t="shared" si="8"/>
        <v>2039</v>
      </c>
      <c r="W10" s="278">
        <v>2040</v>
      </c>
      <c r="X10" s="278">
        <f>W10+1</f>
        <v>2041</v>
      </c>
      <c r="Y10" s="278">
        <f t="shared" ref="Y10:AF10" si="9">X10+1</f>
        <v>2042</v>
      </c>
      <c r="Z10" s="278">
        <f t="shared" si="9"/>
        <v>2043</v>
      </c>
      <c r="AA10" s="278">
        <f t="shared" si="9"/>
        <v>2044</v>
      </c>
      <c r="AB10" s="278">
        <f t="shared" si="9"/>
        <v>2045</v>
      </c>
      <c r="AC10" s="278">
        <f t="shared" si="9"/>
        <v>2046</v>
      </c>
      <c r="AD10" s="278">
        <f t="shared" si="9"/>
        <v>2047</v>
      </c>
      <c r="AE10" s="278">
        <f t="shared" si="9"/>
        <v>2048</v>
      </c>
      <c r="AF10" s="278">
        <f t="shared" si="9"/>
        <v>2049</v>
      </c>
      <c r="AG10" s="292">
        <v>2050</v>
      </c>
    </row>
    <row r="11" spans="2:37" x14ac:dyDescent="0.3">
      <c r="B11" s="285" t="s">
        <v>328</v>
      </c>
      <c r="C11" s="284">
        <v>0</v>
      </c>
      <c r="D11" s="284"/>
      <c r="E11" s="284"/>
      <c r="F11" s="284"/>
      <c r="G11" s="284"/>
      <c r="H11" s="284"/>
      <c r="I11" s="284"/>
      <c r="J11" s="284"/>
      <c r="K11" s="284"/>
      <c r="L11" s="284"/>
      <c r="M11" s="284">
        <v>100</v>
      </c>
      <c r="N11" s="284"/>
      <c r="O11" s="284"/>
      <c r="P11" s="284"/>
      <c r="Q11" s="284"/>
      <c r="R11" s="284"/>
      <c r="S11" s="284"/>
      <c r="T11" s="284"/>
      <c r="U11" s="284"/>
      <c r="V11" s="284"/>
      <c r="W11" s="284">
        <v>300</v>
      </c>
      <c r="X11" s="284"/>
      <c r="Y11" s="284"/>
      <c r="Z11" s="284"/>
      <c r="AA11" s="284"/>
      <c r="AB11" s="284"/>
      <c r="AC11" s="284"/>
      <c r="AD11" s="284"/>
      <c r="AE11" s="284"/>
      <c r="AF11" s="284"/>
      <c r="AG11" s="291">
        <v>600</v>
      </c>
    </row>
    <row r="12" spans="2:37" x14ac:dyDescent="0.3">
      <c r="B12" s="285" t="s">
        <v>329</v>
      </c>
      <c r="C12" s="284">
        <f>C11*0.5</f>
        <v>0</v>
      </c>
      <c r="D12" s="284">
        <f t="shared" ref="D12:AG12" si="10">D11*0.5</f>
        <v>0</v>
      </c>
      <c r="E12" s="284">
        <f t="shared" si="10"/>
        <v>0</v>
      </c>
      <c r="F12" s="284">
        <f t="shared" si="10"/>
        <v>0</v>
      </c>
      <c r="G12" s="284">
        <f t="shared" si="10"/>
        <v>0</v>
      </c>
      <c r="H12" s="284">
        <f t="shared" si="10"/>
        <v>0</v>
      </c>
      <c r="I12" s="284">
        <f t="shared" si="10"/>
        <v>0</v>
      </c>
      <c r="J12" s="284">
        <f t="shared" si="10"/>
        <v>0</v>
      </c>
      <c r="K12" s="284">
        <f t="shared" si="10"/>
        <v>0</v>
      </c>
      <c r="L12" s="284">
        <f t="shared" si="10"/>
        <v>0</v>
      </c>
      <c r="M12" s="284">
        <f t="shared" si="10"/>
        <v>50</v>
      </c>
      <c r="N12" s="284">
        <f t="shared" si="10"/>
        <v>0</v>
      </c>
      <c r="O12" s="284">
        <f t="shared" si="10"/>
        <v>0</v>
      </c>
      <c r="P12" s="284">
        <f t="shared" si="10"/>
        <v>0</v>
      </c>
      <c r="Q12" s="284">
        <f t="shared" si="10"/>
        <v>0</v>
      </c>
      <c r="R12" s="284">
        <f t="shared" si="10"/>
        <v>0</v>
      </c>
      <c r="S12" s="284">
        <f t="shared" si="10"/>
        <v>0</v>
      </c>
      <c r="T12" s="284">
        <f t="shared" si="10"/>
        <v>0</v>
      </c>
      <c r="U12" s="284">
        <f t="shared" si="10"/>
        <v>0</v>
      </c>
      <c r="V12" s="284">
        <f t="shared" si="10"/>
        <v>0</v>
      </c>
      <c r="W12" s="284">
        <f t="shared" si="10"/>
        <v>150</v>
      </c>
      <c r="X12" s="284">
        <f t="shared" si="10"/>
        <v>0</v>
      </c>
      <c r="Y12" s="284">
        <f t="shared" si="10"/>
        <v>0</v>
      </c>
      <c r="Z12" s="284">
        <f t="shared" si="10"/>
        <v>0</v>
      </c>
      <c r="AA12" s="284">
        <f t="shared" si="10"/>
        <v>0</v>
      </c>
      <c r="AB12" s="284">
        <f t="shared" si="10"/>
        <v>0</v>
      </c>
      <c r="AC12" s="284">
        <f t="shared" si="10"/>
        <v>0</v>
      </c>
      <c r="AD12" s="284">
        <f t="shared" si="10"/>
        <v>0</v>
      </c>
      <c r="AE12" s="284">
        <f t="shared" si="10"/>
        <v>0</v>
      </c>
      <c r="AF12" s="284">
        <f t="shared" si="10"/>
        <v>0</v>
      </c>
      <c r="AG12" s="291">
        <f t="shared" si="10"/>
        <v>300</v>
      </c>
      <c r="AI12" t="s">
        <v>334</v>
      </c>
    </row>
    <row r="13" spans="2:37" ht="16.2" thickBot="1" x14ac:dyDescent="0.35">
      <c r="B13" s="303" t="s">
        <v>330</v>
      </c>
      <c r="C13" s="283">
        <f>C11-C12</f>
        <v>0</v>
      </c>
      <c r="D13" s="283">
        <f t="shared" ref="D13:AG13" si="11">D11-D12</f>
        <v>0</v>
      </c>
      <c r="E13" s="283">
        <f t="shared" si="11"/>
        <v>0</v>
      </c>
      <c r="F13" s="283">
        <f t="shared" si="11"/>
        <v>0</v>
      </c>
      <c r="G13" s="283">
        <f t="shared" si="11"/>
        <v>0</v>
      </c>
      <c r="H13" s="283">
        <f t="shared" si="11"/>
        <v>0</v>
      </c>
      <c r="I13" s="283">
        <f t="shared" si="11"/>
        <v>0</v>
      </c>
      <c r="J13" s="283">
        <f t="shared" si="11"/>
        <v>0</v>
      </c>
      <c r="K13" s="283">
        <f t="shared" si="11"/>
        <v>0</v>
      </c>
      <c r="L13" s="283">
        <f t="shared" si="11"/>
        <v>0</v>
      </c>
      <c r="M13" s="283">
        <f t="shared" si="11"/>
        <v>50</v>
      </c>
      <c r="N13" s="283">
        <f t="shared" si="11"/>
        <v>0</v>
      </c>
      <c r="O13" s="283">
        <f t="shared" si="11"/>
        <v>0</v>
      </c>
      <c r="P13" s="283">
        <f t="shared" si="11"/>
        <v>0</v>
      </c>
      <c r="Q13" s="283">
        <f t="shared" si="11"/>
        <v>0</v>
      </c>
      <c r="R13" s="283">
        <f t="shared" si="11"/>
        <v>0</v>
      </c>
      <c r="S13" s="283">
        <f t="shared" si="11"/>
        <v>0</v>
      </c>
      <c r="T13" s="283">
        <f t="shared" si="11"/>
        <v>0</v>
      </c>
      <c r="U13" s="283">
        <f t="shared" si="11"/>
        <v>0</v>
      </c>
      <c r="V13" s="283">
        <f t="shared" si="11"/>
        <v>0</v>
      </c>
      <c r="W13" s="283">
        <f t="shared" si="11"/>
        <v>150</v>
      </c>
      <c r="X13" s="283">
        <f t="shared" si="11"/>
        <v>0</v>
      </c>
      <c r="Y13" s="283">
        <f t="shared" si="11"/>
        <v>0</v>
      </c>
      <c r="Z13" s="283">
        <f t="shared" si="11"/>
        <v>0</v>
      </c>
      <c r="AA13" s="283">
        <f t="shared" si="11"/>
        <v>0</v>
      </c>
      <c r="AB13" s="283">
        <f t="shared" si="11"/>
        <v>0</v>
      </c>
      <c r="AC13" s="283">
        <f t="shared" si="11"/>
        <v>0</v>
      </c>
      <c r="AD13" s="283">
        <f t="shared" si="11"/>
        <v>0</v>
      </c>
      <c r="AE13" s="283">
        <f t="shared" si="11"/>
        <v>0</v>
      </c>
      <c r="AF13" s="283">
        <f t="shared" si="11"/>
        <v>0</v>
      </c>
      <c r="AG13" s="279">
        <f t="shared" si="11"/>
        <v>300</v>
      </c>
    </row>
    <row r="14" spans="2:37" ht="16.2" thickBot="1" x14ac:dyDescent="0.35">
      <c r="AI14" t="s">
        <v>323</v>
      </c>
      <c r="AJ14">
        <v>75</v>
      </c>
    </row>
    <row r="15" spans="2:37" ht="16.2" thickBot="1" x14ac:dyDescent="0.35">
      <c r="B15" s="289" t="s">
        <v>325</v>
      </c>
      <c r="C15" s="278">
        <v>2020</v>
      </c>
      <c r="D15" s="281">
        <f t="shared" ref="D15:L15" si="12">C15+($M15-$C15)/10</f>
        <v>2021</v>
      </c>
      <c r="E15" s="281">
        <f t="shared" si="12"/>
        <v>2022</v>
      </c>
      <c r="F15" s="281">
        <f t="shared" si="12"/>
        <v>2023</v>
      </c>
      <c r="G15" s="281">
        <f t="shared" si="12"/>
        <v>2024</v>
      </c>
      <c r="H15" s="281">
        <f t="shared" si="12"/>
        <v>2025</v>
      </c>
      <c r="I15" s="281">
        <f t="shared" si="12"/>
        <v>2026</v>
      </c>
      <c r="J15" s="281">
        <f t="shared" si="12"/>
        <v>2027</v>
      </c>
      <c r="K15" s="281">
        <f t="shared" si="12"/>
        <v>2028</v>
      </c>
      <c r="L15" s="281">
        <f t="shared" si="12"/>
        <v>2029</v>
      </c>
      <c r="M15" s="278">
        <v>2030</v>
      </c>
      <c r="N15" s="281">
        <f t="shared" ref="N15:V15" si="13">M15+($M15-$C15)/10</f>
        <v>2031</v>
      </c>
      <c r="O15" s="281">
        <f t="shared" si="13"/>
        <v>2032</v>
      </c>
      <c r="P15" s="281">
        <f t="shared" si="13"/>
        <v>2033</v>
      </c>
      <c r="Q15" s="281">
        <f t="shared" si="13"/>
        <v>2034</v>
      </c>
      <c r="R15" s="281">
        <f t="shared" si="13"/>
        <v>2035</v>
      </c>
      <c r="S15" s="281">
        <f t="shared" si="13"/>
        <v>2036</v>
      </c>
      <c r="T15" s="281">
        <f t="shared" si="13"/>
        <v>2037</v>
      </c>
      <c r="U15" s="281">
        <f t="shared" si="13"/>
        <v>2038</v>
      </c>
      <c r="V15" s="281">
        <f t="shared" si="13"/>
        <v>2039</v>
      </c>
      <c r="W15" s="278">
        <v>2040</v>
      </c>
      <c r="X15" s="281">
        <f t="shared" ref="X15:AF15" si="14">W15+($M15-$C15)/10</f>
        <v>2041</v>
      </c>
      <c r="Y15" s="281">
        <f t="shared" si="14"/>
        <v>2042</v>
      </c>
      <c r="Z15" s="281">
        <f t="shared" si="14"/>
        <v>2043</v>
      </c>
      <c r="AA15" s="281">
        <f t="shared" si="14"/>
        <v>2044</v>
      </c>
      <c r="AB15" s="281">
        <f t="shared" si="14"/>
        <v>2045</v>
      </c>
      <c r="AC15" s="281">
        <f t="shared" si="14"/>
        <v>2046</v>
      </c>
      <c r="AD15" s="281">
        <f t="shared" si="14"/>
        <v>2047</v>
      </c>
      <c r="AE15" s="281">
        <f t="shared" si="14"/>
        <v>2048</v>
      </c>
      <c r="AF15" s="281">
        <f t="shared" si="14"/>
        <v>2049</v>
      </c>
      <c r="AG15" s="292">
        <v>2050</v>
      </c>
      <c r="AI15" t="s">
        <v>304</v>
      </c>
      <c r="AJ15">
        <f>AJ$14*AK15</f>
        <v>37.5</v>
      </c>
      <c r="AK15" s="268">
        <v>0.5</v>
      </c>
    </row>
    <row r="16" spans="2:37" x14ac:dyDescent="0.3">
      <c r="B16" s="285" t="s">
        <v>331</v>
      </c>
      <c r="C16" s="284">
        <v>77</v>
      </c>
      <c r="D16" s="290">
        <f t="shared" ref="D16:L16" si="15">C16+($M16-$C16)/10</f>
        <v>71.8</v>
      </c>
      <c r="E16" s="290">
        <f t="shared" si="15"/>
        <v>66.599999999999994</v>
      </c>
      <c r="F16" s="290">
        <f t="shared" si="15"/>
        <v>61.399999999999991</v>
      </c>
      <c r="G16" s="290">
        <f t="shared" si="15"/>
        <v>56.199999999999989</v>
      </c>
      <c r="H16" s="290">
        <f t="shared" si="15"/>
        <v>50.999999999999986</v>
      </c>
      <c r="I16" s="290">
        <f t="shared" si="15"/>
        <v>45.799999999999983</v>
      </c>
      <c r="J16" s="290">
        <f t="shared" si="15"/>
        <v>40.59999999999998</v>
      </c>
      <c r="K16" s="290">
        <f t="shared" si="15"/>
        <v>35.399999999999977</v>
      </c>
      <c r="L16" s="290">
        <f t="shared" si="15"/>
        <v>30.199999999999978</v>
      </c>
      <c r="M16" s="284">
        <v>25</v>
      </c>
      <c r="N16" s="290">
        <f t="shared" ref="N16:V16" si="16">M16+($W16-$M16)/10</f>
        <v>24.5</v>
      </c>
      <c r="O16" s="290">
        <f t="shared" si="16"/>
        <v>24</v>
      </c>
      <c r="P16" s="290">
        <f t="shared" si="16"/>
        <v>23.5</v>
      </c>
      <c r="Q16" s="290">
        <f t="shared" si="16"/>
        <v>23</v>
      </c>
      <c r="R16" s="290">
        <f t="shared" si="16"/>
        <v>22.5</v>
      </c>
      <c r="S16" s="290">
        <f t="shared" si="16"/>
        <v>22</v>
      </c>
      <c r="T16" s="290">
        <f t="shared" si="16"/>
        <v>21.5</v>
      </c>
      <c r="U16" s="290">
        <f t="shared" si="16"/>
        <v>21</v>
      </c>
      <c r="V16" s="290">
        <f t="shared" si="16"/>
        <v>20.5</v>
      </c>
      <c r="W16" s="284">
        <v>20</v>
      </c>
      <c r="X16" s="290">
        <f t="shared" ref="X16:AF16" si="17">W16+($AG16-$W16)/10</f>
        <v>19.5</v>
      </c>
      <c r="Y16" s="290">
        <f t="shared" si="17"/>
        <v>19</v>
      </c>
      <c r="Z16" s="290">
        <f t="shared" si="17"/>
        <v>18.5</v>
      </c>
      <c r="AA16" s="290">
        <f t="shared" si="17"/>
        <v>18</v>
      </c>
      <c r="AB16" s="290">
        <f t="shared" si="17"/>
        <v>17.5</v>
      </c>
      <c r="AC16" s="290">
        <f t="shared" si="17"/>
        <v>17</v>
      </c>
      <c r="AD16" s="290">
        <f t="shared" si="17"/>
        <v>16.5</v>
      </c>
      <c r="AE16" s="290">
        <f t="shared" si="17"/>
        <v>16</v>
      </c>
      <c r="AF16" s="290">
        <f t="shared" si="17"/>
        <v>15.5</v>
      </c>
      <c r="AG16" s="291">
        <v>15</v>
      </c>
      <c r="AI16" t="s">
        <v>305</v>
      </c>
      <c r="AJ16">
        <f>AJ$14*AK16</f>
        <v>18.75</v>
      </c>
      <c r="AK16" s="268">
        <v>0.25</v>
      </c>
    </row>
    <row r="17" spans="2:37" s="304" customFormat="1" x14ac:dyDescent="0.3">
      <c r="B17" s="285" t="s">
        <v>332</v>
      </c>
      <c r="C17" s="284">
        <v>0</v>
      </c>
      <c r="D17" s="290">
        <f t="shared" ref="D17:L17" si="18">C17+($M17-$C17)/10</f>
        <v>44.8</v>
      </c>
      <c r="E17" s="290">
        <f t="shared" si="18"/>
        <v>89.6</v>
      </c>
      <c r="F17" s="290">
        <f t="shared" si="18"/>
        <v>134.39999999999998</v>
      </c>
      <c r="G17" s="290">
        <f t="shared" si="18"/>
        <v>179.2</v>
      </c>
      <c r="H17" s="290">
        <f t="shared" si="18"/>
        <v>224</v>
      </c>
      <c r="I17" s="290">
        <f t="shared" si="18"/>
        <v>268.8</v>
      </c>
      <c r="J17" s="290">
        <f t="shared" si="18"/>
        <v>313.60000000000002</v>
      </c>
      <c r="K17" s="290">
        <f t="shared" si="18"/>
        <v>358.40000000000003</v>
      </c>
      <c r="L17" s="290">
        <f t="shared" si="18"/>
        <v>403.20000000000005</v>
      </c>
      <c r="M17" s="284">
        <v>448</v>
      </c>
      <c r="N17" s="290">
        <f t="shared" ref="N17:V17" si="19">M17+($W17-$M17)/10</f>
        <v>470.2</v>
      </c>
      <c r="O17" s="290">
        <f t="shared" si="19"/>
        <v>492.4</v>
      </c>
      <c r="P17" s="290">
        <f t="shared" si="19"/>
        <v>514.6</v>
      </c>
      <c r="Q17" s="290">
        <f t="shared" si="19"/>
        <v>536.80000000000007</v>
      </c>
      <c r="R17" s="290">
        <f t="shared" si="19"/>
        <v>559.00000000000011</v>
      </c>
      <c r="S17" s="290">
        <f t="shared" si="19"/>
        <v>581.20000000000016</v>
      </c>
      <c r="T17" s="290">
        <f t="shared" si="19"/>
        <v>603.4000000000002</v>
      </c>
      <c r="U17" s="290">
        <f t="shared" si="19"/>
        <v>625.60000000000025</v>
      </c>
      <c r="V17" s="290">
        <f t="shared" si="19"/>
        <v>647.8000000000003</v>
      </c>
      <c r="W17" s="284">
        <v>670</v>
      </c>
      <c r="X17" s="290">
        <f t="shared" ref="X17:AF17" si="20">W17+($AG17-$W17)/10</f>
        <v>687.2</v>
      </c>
      <c r="Y17" s="290">
        <f t="shared" si="20"/>
        <v>704.40000000000009</v>
      </c>
      <c r="Z17" s="290">
        <f t="shared" si="20"/>
        <v>721.60000000000014</v>
      </c>
      <c r="AA17" s="290">
        <f t="shared" si="20"/>
        <v>738.80000000000018</v>
      </c>
      <c r="AB17" s="290">
        <f t="shared" si="20"/>
        <v>756.00000000000023</v>
      </c>
      <c r="AC17" s="290">
        <f t="shared" si="20"/>
        <v>773.20000000000027</v>
      </c>
      <c r="AD17" s="290">
        <f t="shared" si="20"/>
        <v>790.40000000000032</v>
      </c>
      <c r="AE17" s="290">
        <f t="shared" si="20"/>
        <v>807.60000000000036</v>
      </c>
      <c r="AF17" s="290">
        <f t="shared" si="20"/>
        <v>824.80000000000041</v>
      </c>
      <c r="AG17" s="291">
        <v>842</v>
      </c>
      <c r="AK17" s="309"/>
    </row>
    <row r="18" spans="2:37" x14ac:dyDescent="0.3">
      <c r="B18" s="285" t="s">
        <v>333</v>
      </c>
      <c r="C18" s="284">
        <f>C17-C13</f>
        <v>0</v>
      </c>
      <c r="D18" s="284">
        <f t="shared" ref="D18:AG18" si="21">D17-D13</f>
        <v>44.8</v>
      </c>
      <c r="E18" s="284">
        <f t="shared" si="21"/>
        <v>89.6</v>
      </c>
      <c r="F18" s="284">
        <f t="shared" si="21"/>
        <v>134.39999999999998</v>
      </c>
      <c r="G18" s="284">
        <f t="shared" si="21"/>
        <v>179.2</v>
      </c>
      <c r="H18" s="284">
        <f t="shared" si="21"/>
        <v>224</v>
      </c>
      <c r="I18" s="284">
        <f t="shared" si="21"/>
        <v>268.8</v>
      </c>
      <c r="J18" s="284">
        <f t="shared" si="21"/>
        <v>313.60000000000002</v>
      </c>
      <c r="K18" s="284">
        <f t="shared" si="21"/>
        <v>358.40000000000003</v>
      </c>
      <c r="L18" s="284">
        <f t="shared" si="21"/>
        <v>403.20000000000005</v>
      </c>
      <c r="M18" s="284">
        <f t="shared" si="21"/>
        <v>398</v>
      </c>
      <c r="N18" s="284">
        <f t="shared" si="21"/>
        <v>470.2</v>
      </c>
      <c r="O18" s="284">
        <f t="shared" si="21"/>
        <v>492.4</v>
      </c>
      <c r="P18" s="284">
        <f t="shared" si="21"/>
        <v>514.6</v>
      </c>
      <c r="Q18" s="284">
        <f t="shared" si="21"/>
        <v>536.80000000000007</v>
      </c>
      <c r="R18" s="284">
        <f t="shared" si="21"/>
        <v>559.00000000000011</v>
      </c>
      <c r="S18" s="284">
        <f t="shared" si="21"/>
        <v>581.20000000000016</v>
      </c>
      <c r="T18" s="284">
        <f t="shared" si="21"/>
        <v>603.4000000000002</v>
      </c>
      <c r="U18" s="284">
        <f t="shared" si="21"/>
        <v>625.60000000000025</v>
      </c>
      <c r="V18" s="284">
        <f t="shared" si="21"/>
        <v>647.8000000000003</v>
      </c>
      <c r="W18" s="284">
        <f t="shared" si="21"/>
        <v>520</v>
      </c>
      <c r="X18" s="284">
        <f t="shared" si="21"/>
        <v>687.2</v>
      </c>
      <c r="Y18" s="284">
        <f t="shared" si="21"/>
        <v>704.40000000000009</v>
      </c>
      <c r="Z18" s="284">
        <f t="shared" si="21"/>
        <v>721.60000000000014</v>
      </c>
      <c r="AA18" s="284">
        <f t="shared" si="21"/>
        <v>738.80000000000018</v>
      </c>
      <c r="AB18" s="284">
        <f t="shared" si="21"/>
        <v>756.00000000000023</v>
      </c>
      <c r="AC18" s="284">
        <f t="shared" si="21"/>
        <v>773.20000000000027</v>
      </c>
      <c r="AD18" s="284">
        <f t="shared" si="21"/>
        <v>790.40000000000032</v>
      </c>
      <c r="AE18" s="284">
        <f t="shared" si="21"/>
        <v>807.60000000000036</v>
      </c>
      <c r="AF18" s="284">
        <f t="shared" si="21"/>
        <v>824.80000000000041</v>
      </c>
      <c r="AG18" s="291">
        <f t="shared" si="21"/>
        <v>542</v>
      </c>
      <c r="AI18" t="s">
        <v>306</v>
      </c>
      <c r="AJ18">
        <f>AJ$14*AK18</f>
        <v>18.75</v>
      </c>
      <c r="AK18" s="268">
        <v>0.25</v>
      </c>
    </row>
    <row r="19" spans="2:37" x14ac:dyDescent="0.3">
      <c r="B19" s="285" t="s">
        <v>300</v>
      </c>
      <c r="C19" s="284">
        <v>2</v>
      </c>
      <c r="D19" s="290">
        <f t="shared" ref="D19:L19" si="22">C19+($M19-$C19)/10</f>
        <v>3.3</v>
      </c>
      <c r="E19" s="290">
        <f t="shared" si="22"/>
        <v>4.5999999999999996</v>
      </c>
      <c r="F19" s="290">
        <f t="shared" si="22"/>
        <v>5.8999999999999995</v>
      </c>
      <c r="G19" s="290">
        <f t="shared" si="22"/>
        <v>7.1999999999999993</v>
      </c>
      <c r="H19" s="290">
        <f t="shared" si="22"/>
        <v>8.5</v>
      </c>
      <c r="I19" s="290">
        <f t="shared" si="22"/>
        <v>9.8000000000000007</v>
      </c>
      <c r="J19" s="290">
        <f t="shared" si="22"/>
        <v>11.100000000000001</v>
      </c>
      <c r="K19" s="290">
        <f t="shared" si="22"/>
        <v>12.400000000000002</v>
      </c>
      <c r="L19" s="290">
        <f t="shared" si="22"/>
        <v>13.700000000000003</v>
      </c>
      <c r="M19" s="284">
        <v>15</v>
      </c>
      <c r="N19" s="290">
        <f t="shared" ref="N19:V19" si="23">M19+($W19-$M19)/10</f>
        <v>14.85</v>
      </c>
      <c r="O19" s="290">
        <f t="shared" si="23"/>
        <v>14.7</v>
      </c>
      <c r="P19" s="290">
        <f t="shared" si="23"/>
        <v>14.549999999999999</v>
      </c>
      <c r="Q19" s="290">
        <f t="shared" si="23"/>
        <v>14.399999999999999</v>
      </c>
      <c r="R19" s="290">
        <f t="shared" si="23"/>
        <v>14.249999999999998</v>
      </c>
      <c r="S19" s="290">
        <f t="shared" si="23"/>
        <v>14.099999999999998</v>
      </c>
      <c r="T19" s="290">
        <f t="shared" si="23"/>
        <v>13.949999999999998</v>
      </c>
      <c r="U19" s="290">
        <f t="shared" si="23"/>
        <v>13.799999999999997</v>
      </c>
      <c r="V19" s="290">
        <f t="shared" si="23"/>
        <v>13.649999999999997</v>
      </c>
      <c r="W19" s="284">
        <v>13.5</v>
      </c>
      <c r="X19" s="290">
        <f t="shared" ref="X19:AF19" si="24">W19+($AG19-$W19)/10</f>
        <v>13.35</v>
      </c>
      <c r="Y19" s="290">
        <f t="shared" si="24"/>
        <v>13.2</v>
      </c>
      <c r="Z19" s="290">
        <f t="shared" si="24"/>
        <v>13.049999999999999</v>
      </c>
      <c r="AA19" s="290">
        <f t="shared" si="24"/>
        <v>12.899999999999999</v>
      </c>
      <c r="AB19" s="290">
        <f t="shared" si="24"/>
        <v>12.749999999999998</v>
      </c>
      <c r="AC19" s="290">
        <f t="shared" si="24"/>
        <v>12.599999999999998</v>
      </c>
      <c r="AD19" s="290">
        <f t="shared" si="24"/>
        <v>12.449999999999998</v>
      </c>
      <c r="AE19" s="290">
        <f t="shared" si="24"/>
        <v>12.299999999999997</v>
      </c>
      <c r="AF19" s="290">
        <f t="shared" si="24"/>
        <v>12.149999999999997</v>
      </c>
      <c r="AG19" s="291">
        <v>12</v>
      </c>
    </row>
    <row r="20" spans="2:37" x14ac:dyDescent="0.3">
      <c r="B20" s="285" t="s">
        <v>302</v>
      </c>
      <c r="C20" s="284">
        <v>0</v>
      </c>
      <c r="D20" s="290">
        <f t="shared" ref="D20:L20" si="25">C20+($M20-$C20)/10</f>
        <v>7.2</v>
      </c>
      <c r="E20" s="290">
        <f t="shared" si="25"/>
        <v>14.4</v>
      </c>
      <c r="F20" s="290">
        <f t="shared" si="25"/>
        <v>21.6</v>
      </c>
      <c r="G20" s="290">
        <f t="shared" si="25"/>
        <v>28.8</v>
      </c>
      <c r="H20" s="290">
        <f t="shared" si="25"/>
        <v>36</v>
      </c>
      <c r="I20" s="290">
        <f t="shared" si="25"/>
        <v>43.2</v>
      </c>
      <c r="J20" s="290">
        <f t="shared" si="25"/>
        <v>50.400000000000006</v>
      </c>
      <c r="K20" s="290">
        <f t="shared" si="25"/>
        <v>57.600000000000009</v>
      </c>
      <c r="L20" s="290">
        <f t="shared" si="25"/>
        <v>64.800000000000011</v>
      </c>
      <c r="M20" s="284">
        <v>72</v>
      </c>
      <c r="N20" s="290">
        <f t="shared" ref="N20:V20" si="26">M20+($W20-$M20)/10</f>
        <v>86.2</v>
      </c>
      <c r="O20" s="290">
        <f t="shared" si="26"/>
        <v>100.4</v>
      </c>
      <c r="P20" s="290">
        <f t="shared" si="26"/>
        <v>114.60000000000001</v>
      </c>
      <c r="Q20" s="290">
        <f t="shared" si="26"/>
        <v>128.80000000000001</v>
      </c>
      <c r="R20" s="290">
        <f t="shared" si="26"/>
        <v>143</v>
      </c>
      <c r="S20" s="290">
        <f t="shared" si="26"/>
        <v>157.19999999999999</v>
      </c>
      <c r="T20" s="290">
        <f t="shared" si="26"/>
        <v>171.39999999999998</v>
      </c>
      <c r="U20" s="290">
        <f t="shared" si="26"/>
        <v>185.59999999999997</v>
      </c>
      <c r="V20" s="290">
        <f t="shared" si="26"/>
        <v>199.79999999999995</v>
      </c>
      <c r="W20" s="284">
        <v>214</v>
      </c>
      <c r="X20" s="290">
        <f t="shared" ref="X20:AF20" si="27">W20+($AG20-$W20)/10</f>
        <v>226.7</v>
      </c>
      <c r="Y20" s="290">
        <f t="shared" si="27"/>
        <v>239.39999999999998</v>
      </c>
      <c r="Z20" s="290">
        <f t="shared" si="27"/>
        <v>252.09999999999997</v>
      </c>
      <c r="AA20" s="290">
        <f t="shared" si="27"/>
        <v>264.79999999999995</v>
      </c>
      <c r="AB20" s="290">
        <f t="shared" si="27"/>
        <v>277.49999999999994</v>
      </c>
      <c r="AC20" s="290">
        <f t="shared" si="27"/>
        <v>290.19999999999993</v>
      </c>
      <c r="AD20" s="290">
        <f t="shared" si="27"/>
        <v>302.89999999999992</v>
      </c>
      <c r="AE20" s="290">
        <f t="shared" si="27"/>
        <v>315.59999999999991</v>
      </c>
      <c r="AF20" s="290">
        <f t="shared" si="27"/>
        <v>328.2999999999999</v>
      </c>
      <c r="AG20" s="291">
        <v>341</v>
      </c>
    </row>
    <row r="21" spans="2:37" x14ac:dyDescent="0.3">
      <c r="B21" s="285" t="s">
        <v>301</v>
      </c>
      <c r="C21" s="284">
        <f>C16+C19</f>
        <v>79</v>
      </c>
      <c r="D21" s="290">
        <f t="shared" ref="D21:L21" si="28">C21+($M21-$C21)/10</f>
        <v>75.099999999999994</v>
      </c>
      <c r="E21" s="290">
        <f t="shared" si="28"/>
        <v>71.199999999999989</v>
      </c>
      <c r="F21" s="290">
        <f t="shared" si="28"/>
        <v>67.299999999999983</v>
      </c>
      <c r="G21" s="290">
        <f t="shared" si="28"/>
        <v>63.399999999999984</v>
      </c>
      <c r="H21" s="290">
        <f t="shared" si="28"/>
        <v>59.499999999999986</v>
      </c>
      <c r="I21" s="290">
        <f t="shared" si="28"/>
        <v>55.599999999999987</v>
      </c>
      <c r="J21" s="290">
        <f t="shared" si="28"/>
        <v>51.699999999999989</v>
      </c>
      <c r="K21" s="290">
        <f t="shared" si="28"/>
        <v>47.79999999999999</v>
      </c>
      <c r="L21" s="290">
        <f t="shared" si="28"/>
        <v>43.899999999999991</v>
      </c>
      <c r="M21" s="284">
        <f>M16+M19</f>
        <v>40</v>
      </c>
      <c r="N21" s="290">
        <f t="shared" ref="N21:V21" si="29">M21+($W21-$M21)/10</f>
        <v>39.35</v>
      </c>
      <c r="O21" s="290">
        <f t="shared" si="29"/>
        <v>38.700000000000003</v>
      </c>
      <c r="P21" s="290">
        <f t="shared" si="29"/>
        <v>38.050000000000004</v>
      </c>
      <c r="Q21" s="290">
        <f t="shared" si="29"/>
        <v>37.400000000000006</v>
      </c>
      <c r="R21" s="290">
        <f t="shared" si="29"/>
        <v>36.750000000000007</v>
      </c>
      <c r="S21" s="290">
        <f t="shared" si="29"/>
        <v>36.100000000000009</v>
      </c>
      <c r="T21" s="290">
        <f t="shared" si="29"/>
        <v>35.45000000000001</v>
      </c>
      <c r="U21" s="290">
        <f t="shared" si="29"/>
        <v>34.800000000000011</v>
      </c>
      <c r="V21" s="290">
        <f t="shared" si="29"/>
        <v>34.150000000000013</v>
      </c>
      <c r="W21" s="284">
        <f t="shared" ref="W21:AG21" si="30">W16+W19</f>
        <v>33.5</v>
      </c>
      <c r="X21" s="290">
        <f t="shared" ref="X21:AF21" si="31">W21+($AG21-$W21)/10</f>
        <v>32.85</v>
      </c>
      <c r="Y21" s="290">
        <f t="shared" si="31"/>
        <v>32.200000000000003</v>
      </c>
      <c r="Z21" s="290">
        <f t="shared" si="31"/>
        <v>31.550000000000004</v>
      </c>
      <c r="AA21" s="290">
        <f t="shared" si="31"/>
        <v>30.900000000000006</v>
      </c>
      <c r="AB21" s="290">
        <f t="shared" si="31"/>
        <v>30.250000000000007</v>
      </c>
      <c r="AC21" s="290">
        <f t="shared" si="31"/>
        <v>29.600000000000009</v>
      </c>
      <c r="AD21" s="290">
        <f t="shared" si="31"/>
        <v>28.95000000000001</v>
      </c>
      <c r="AE21" s="290">
        <f t="shared" si="31"/>
        <v>28.300000000000011</v>
      </c>
      <c r="AF21" s="290">
        <f t="shared" si="31"/>
        <v>27.650000000000013</v>
      </c>
      <c r="AG21" s="291">
        <f t="shared" si="30"/>
        <v>27</v>
      </c>
    </row>
    <row r="22" spans="2:37" x14ac:dyDescent="0.3">
      <c r="B22" s="285" t="s">
        <v>303</v>
      </c>
      <c r="C22" s="284">
        <f>C18+C20</f>
        <v>0</v>
      </c>
      <c r="D22" s="290">
        <f t="shared" ref="D22:L22" si="32">C22+($M22-$C22)/10</f>
        <v>47</v>
      </c>
      <c r="E22" s="290">
        <f t="shared" si="32"/>
        <v>94</v>
      </c>
      <c r="F22" s="290">
        <f t="shared" si="32"/>
        <v>141</v>
      </c>
      <c r="G22" s="290">
        <f t="shared" si="32"/>
        <v>188</v>
      </c>
      <c r="H22" s="290">
        <f t="shared" si="32"/>
        <v>235</v>
      </c>
      <c r="I22" s="290">
        <f t="shared" si="32"/>
        <v>282</v>
      </c>
      <c r="J22" s="290">
        <f t="shared" si="32"/>
        <v>329</v>
      </c>
      <c r="K22" s="290">
        <f t="shared" si="32"/>
        <v>376</v>
      </c>
      <c r="L22" s="290">
        <f t="shared" si="32"/>
        <v>423</v>
      </c>
      <c r="M22" s="284">
        <f>M18+M20</f>
        <v>470</v>
      </c>
      <c r="N22" s="290">
        <f t="shared" ref="N22:V22" si="33">M22+($W22-$M22)/10</f>
        <v>496.4</v>
      </c>
      <c r="O22" s="290">
        <f t="shared" si="33"/>
        <v>522.79999999999995</v>
      </c>
      <c r="P22" s="290">
        <f t="shared" si="33"/>
        <v>549.19999999999993</v>
      </c>
      <c r="Q22" s="290">
        <f t="shared" si="33"/>
        <v>575.59999999999991</v>
      </c>
      <c r="R22" s="290">
        <f t="shared" si="33"/>
        <v>601.99999999999989</v>
      </c>
      <c r="S22" s="290">
        <f t="shared" si="33"/>
        <v>628.39999999999986</v>
      </c>
      <c r="T22" s="290">
        <f t="shared" si="33"/>
        <v>654.79999999999984</v>
      </c>
      <c r="U22" s="290">
        <f t="shared" si="33"/>
        <v>681.19999999999982</v>
      </c>
      <c r="V22" s="290">
        <f t="shared" si="33"/>
        <v>707.5999999999998</v>
      </c>
      <c r="W22" s="284">
        <f t="shared" ref="W22:AG22" si="34">W18+W20</f>
        <v>734</v>
      </c>
      <c r="X22" s="290">
        <f t="shared" ref="X22:AF22" si="35">W22+($AG22-$W22)/10</f>
        <v>748.9</v>
      </c>
      <c r="Y22" s="290">
        <f t="shared" si="35"/>
        <v>763.8</v>
      </c>
      <c r="Z22" s="290">
        <f t="shared" si="35"/>
        <v>778.69999999999993</v>
      </c>
      <c r="AA22" s="290">
        <f t="shared" si="35"/>
        <v>793.59999999999991</v>
      </c>
      <c r="AB22" s="290">
        <f t="shared" si="35"/>
        <v>808.49999999999989</v>
      </c>
      <c r="AC22" s="290">
        <f t="shared" si="35"/>
        <v>823.39999999999986</v>
      </c>
      <c r="AD22" s="290">
        <f t="shared" si="35"/>
        <v>838.29999999999984</v>
      </c>
      <c r="AE22" s="290">
        <f t="shared" si="35"/>
        <v>853.19999999999982</v>
      </c>
      <c r="AF22" s="290">
        <f t="shared" si="35"/>
        <v>868.0999999999998</v>
      </c>
      <c r="AG22" s="291">
        <f t="shared" si="34"/>
        <v>883</v>
      </c>
    </row>
    <row r="23" spans="2:37" s="304" customFormat="1" x14ac:dyDescent="0.3">
      <c r="B23" s="285"/>
      <c r="C23" s="284"/>
      <c r="D23" s="290"/>
      <c r="E23" s="290"/>
      <c r="F23" s="290"/>
      <c r="G23" s="290"/>
      <c r="H23" s="290"/>
      <c r="I23" s="290"/>
      <c r="J23" s="290"/>
      <c r="K23" s="290"/>
      <c r="L23" s="290"/>
      <c r="M23" s="284"/>
      <c r="N23" s="290"/>
      <c r="O23" s="290"/>
      <c r="P23" s="290"/>
      <c r="Q23" s="290"/>
      <c r="R23" s="290"/>
      <c r="S23" s="290"/>
      <c r="T23" s="290"/>
      <c r="U23" s="290"/>
      <c r="V23" s="290"/>
      <c r="W23" s="284"/>
      <c r="X23" s="290"/>
      <c r="Y23" s="290"/>
      <c r="Z23" s="290"/>
      <c r="AA23" s="290"/>
      <c r="AB23" s="290"/>
      <c r="AC23" s="290"/>
      <c r="AD23" s="290"/>
      <c r="AE23" s="290"/>
      <c r="AF23" s="290"/>
      <c r="AG23" s="291"/>
    </row>
    <row r="24" spans="2:37" ht="16.2" thickBot="1" x14ac:dyDescent="0.35">
      <c r="B24" s="303" t="s">
        <v>324</v>
      </c>
      <c r="C24" s="283">
        <v>0</v>
      </c>
      <c r="D24" s="275">
        <f t="shared" ref="D24:L24" si="36">C24+($M24-$C24)/10</f>
        <v>45.8</v>
      </c>
      <c r="E24" s="275">
        <f t="shared" si="36"/>
        <v>91.6</v>
      </c>
      <c r="F24" s="275">
        <f t="shared" si="36"/>
        <v>137.39999999999998</v>
      </c>
      <c r="G24" s="275">
        <f t="shared" si="36"/>
        <v>183.2</v>
      </c>
      <c r="H24" s="275">
        <f t="shared" si="36"/>
        <v>229</v>
      </c>
      <c r="I24" s="275">
        <f t="shared" si="36"/>
        <v>274.8</v>
      </c>
      <c r="J24" s="275">
        <f t="shared" si="36"/>
        <v>320.60000000000002</v>
      </c>
      <c r="K24" s="275">
        <f t="shared" si="36"/>
        <v>366.40000000000003</v>
      </c>
      <c r="L24" s="275">
        <f t="shared" si="36"/>
        <v>412.20000000000005</v>
      </c>
      <c r="M24" s="283">
        <f>M22-12</f>
        <v>458</v>
      </c>
      <c r="N24" s="275">
        <f t="shared" ref="N24:V24" si="37">M24+($W24-$M24)/10</f>
        <v>484.4</v>
      </c>
      <c r="O24" s="275">
        <f t="shared" si="37"/>
        <v>510.79999999999995</v>
      </c>
      <c r="P24" s="275">
        <f t="shared" si="37"/>
        <v>537.19999999999993</v>
      </c>
      <c r="Q24" s="275">
        <f t="shared" si="37"/>
        <v>563.59999999999991</v>
      </c>
      <c r="R24" s="275">
        <f t="shared" si="37"/>
        <v>589.99999999999989</v>
      </c>
      <c r="S24" s="275">
        <f t="shared" si="37"/>
        <v>616.39999999999986</v>
      </c>
      <c r="T24" s="275">
        <f t="shared" si="37"/>
        <v>642.79999999999984</v>
      </c>
      <c r="U24" s="275">
        <f t="shared" si="37"/>
        <v>669.19999999999982</v>
      </c>
      <c r="V24" s="275">
        <f t="shared" si="37"/>
        <v>695.5999999999998</v>
      </c>
      <c r="W24" s="283">
        <f>W22-12</f>
        <v>722</v>
      </c>
      <c r="X24" s="275">
        <f t="shared" ref="X24:AF24" si="38">W24+($AG24-$W24)/10</f>
        <v>736.9</v>
      </c>
      <c r="Y24" s="275">
        <f t="shared" si="38"/>
        <v>751.8</v>
      </c>
      <c r="Z24" s="275">
        <f t="shared" si="38"/>
        <v>766.69999999999993</v>
      </c>
      <c r="AA24" s="275">
        <f t="shared" si="38"/>
        <v>781.59999999999991</v>
      </c>
      <c r="AB24" s="275">
        <f t="shared" si="38"/>
        <v>796.49999999999989</v>
      </c>
      <c r="AC24" s="275">
        <f t="shared" si="38"/>
        <v>811.39999999999986</v>
      </c>
      <c r="AD24" s="275">
        <f t="shared" si="38"/>
        <v>826.29999999999984</v>
      </c>
      <c r="AE24" s="275">
        <f t="shared" si="38"/>
        <v>841.19999999999982</v>
      </c>
      <c r="AF24" s="275">
        <f t="shared" si="38"/>
        <v>856.0999999999998</v>
      </c>
      <c r="AG24" s="279">
        <f>AG22-12</f>
        <v>871</v>
      </c>
    </row>
    <row r="26" spans="2:37" x14ac:dyDescent="0.3">
      <c r="C26" s="306">
        <v>2020</v>
      </c>
      <c r="D26" s="322">
        <f t="shared" ref="D26:L26" si="39">C26+($M26-$C26)/10</f>
        <v>2021</v>
      </c>
      <c r="E26" s="322">
        <f t="shared" si="39"/>
        <v>2022</v>
      </c>
      <c r="F26" s="322">
        <f t="shared" si="39"/>
        <v>2023</v>
      </c>
      <c r="G26" s="322">
        <f t="shared" si="39"/>
        <v>2024</v>
      </c>
      <c r="H26" s="322">
        <f t="shared" si="39"/>
        <v>2025</v>
      </c>
      <c r="I26" s="322">
        <f t="shared" si="39"/>
        <v>2026</v>
      </c>
      <c r="J26" s="322">
        <f t="shared" si="39"/>
        <v>2027</v>
      </c>
      <c r="K26" s="322">
        <f t="shared" si="39"/>
        <v>2028</v>
      </c>
      <c r="L26" s="322">
        <f t="shared" si="39"/>
        <v>2029</v>
      </c>
      <c r="M26" s="305">
        <v>2030</v>
      </c>
      <c r="N26" s="323">
        <f t="shared" ref="N26:V26" si="40">M26+($M26-$C26)/10</f>
        <v>2031</v>
      </c>
      <c r="O26" s="323">
        <f t="shared" si="40"/>
        <v>2032</v>
      </c>
      <c r="P26" s="323">
        <f t="shared" si="40"/>
        <v>2033</v>
      </c>
      <c r="Q26" s="323">
        <f t="shared" si="40"/>
        <v>2034</v>
      </c>
      <c r="R26" s="323">
        <f t="shared" si="40"/>
        <v>2035</v>
      </c>
      <c r="S26" s="323">
        <f t="shared" si="40"/>
        <v>2036</v>
      </c>
      <c r="T26" s="323">
        <f t="shared" si="40"/>
        <v>2037</v>
      </c>
      <c r="U26" s="323">
        <f t="shared" si="40"/>
        <v>2038</v>
      </c>
      <c r="V26" s="323">
        <f t="shared" si="40"/>
        <v>2039</v>
      </c>
      <c r="W26" s="323">
        <v>2040</v>
      </c>
      <c r="X26" s="323">
        <f t="shared" ref="X26:AF26" si="41">W26+($M26-$C26)/10</f>
        <v>2041</v>
      </c>
      <c r="Y26" s="323">
        <f t="shared" si="41"/>
        <v>2042</v>
      </c>
      <c r="Z26" s="323">
        <f t="shared" si="41"/>
        <v>2043</v>
      </c>
      <c r="AA26" s="323">
        <f t="shared" si="41"/>
        <v>2044</v>
      </c>
      <c r="AB26" s="323">
        <f t="shared" si="41"/>
        <v>2045</v>
      </c>
      <c r="AC26" s="323">
        <f t="shared" si="41"/>
        <v>2046</v>
      </c>
      <c r="AD26" s="323">
        <f t="shared" si="41"/>
        <v>2047</v>
      </c>
      <c r="AE26" s="323">
        <f t="shared" si="41"/>
        <v>2048</v>
      </c>
      <c r="AF26" s="323">
        <f t="shared" si="41"/>
        <v>2049</v>
      </c>
      <c r="AG26" s="305">
        <v>2050</v>
      </c>
    </row>
    <row r="27" spans="2:37" x14ac:dyDescent="0.3">
      <c r="B27" s="308" t="s">
        <v>322</v>
      </c>
      <c r="C27" s="308">
        <f>C28</f>
        <v>28356</v>
      </c>
      <c r="D27" s="320">
        <f t="shared" ref="D27:AG27" si="42">$C27-D8-D24</f>
        <v>28266.653729219914</v>
      </c>
      <c r="E27" s="320">
        <f t="shared" si="42"/>
        <v>28200.820187659745</v>
      </c>
      <c r="F27" s="320">
        <f t="shared" si="42"/>
        <v>28136.146375319484</v>
      </c>
      <c r="G27" s="320">
        <f t="shared" si="42"/>
        <v>28072.632292199145</v>
      </c>
      <c r="H27" s="320">
        <f t="shared" si="42"/>
        <v>28010.277938298717</v>
      </c>
      <c r="I27" s="320">
        <f t="shared" si="42"/>
        <v>27949.083313618205</v>
      </c>
      <c r="J27" s="320">
        <f t="shared" si="42"/>
        <v>27889.048418157607</v>
      </c>
      <c r="K27" s="320">
        <f t="shared" si="42"/>
        <v>27830.17325191692</v>
      </c>
      <c r="L27" s="320">
        <f t="shared" si="42"/>
        <v>27772.457814896148</v>
      </c>
      <c r="M27" s="321">
        <f t="shared" si="42"/>
        <v>27715.902107095295</v>
      </c>
      <c r="N27" s="321">
        <f t="shared" si="42"/>
        <v>27679.302793987012</v>
      </c>
      <c r="O27" s="321">
        <f t="shared" si="42"/>
        <v>27643.259875571301</v>
      </c>
      <c r="P27" s="321">
        <f t="shared" si="42"/>
        <v>27607.773351848162</v>
      </c>
      <c r="Q27" s="321">
        <f t="shared" si="42"/>
        <v>27572.843222817599</v>
      </c>
      <c r="R27" s="321">
        <f t="shared" si="42"/>
        <v>27538.469488479601</v>
      </c>
      <c r="S27" s="321">
        <f t="shared" si="42"/>
        <v>27504.652148834179</v>
      </c>
      <c r="T27" s="321">
        <f t="shared" si="42"/>
        <v>27471.391203881332</v>
      </c>
      <c r="U27" s="321">
        <f t="shared" si="42"/>
        <v>27438.686653621055</v>
      </c>
      <c r="V27" s="321">
        <f t="shared" si="42"/>
        <v>27406.538498053353</v>
      </c>
      <c r="W27" s="321">
        <f t="shared" si="42"/>
        <v>27374.946737178219</v>
      </c>
      <c r="X27" s="321">
        <f t="shared" si="42"/>
        <v>27355.376348796995</v>
      </c>
      <c r="Y27" s="321">
        <f t="shared" si="42"/>
        <v>27336.327332909692</v>
      </c>
      <c r="Z27" s="321">
        <f t="shared" si="42"/>
        <v>27317.799689516294</v>
      </c>
      <c r="AA27" s="321">
        <f t="shared" si="42"/>
        <v>27299.79341861681</v>
      </c>
      <c r="AB27" s="321">
        <f t="shared" si="42"/>
        <v>27282.308520211238</v>
      </c>
      <c r="AC27" s="321">
        <f t="shared" si="42"/>
        <v>27265.344994299576</v>
      </c>
      <c r="AD27" s="321">
        <f t="shared" si="42"/>
        <v>27248.90284088183</v>
      </c>
      <c r="AE27" s="321">
        <f t="shared" si="42"/>
        <v>27232.982059957991</v>
      </c>
      <c r="AF27" s="321">
        <f t="shared" si="42"/>
        <v>27217.582651528068</v>
      </c>
      <c r="AG27" s="321">
        <f t="shared" si="42"/>
        <v>27202.704615592054</v>
      </c>
    </row>
    <row r="28" spans="2:37" x14ac:dyDescent="0.3">
      <c r="B28" t="s">
        <v>320</v>
      </c>
      <c r="C28" s="306">
        <v>28356</v>
      </c>
      <c r="D28" s="322">
        <f t="shared" ref="D28:L28" si="43">C28+($M28-$C28)/10</f>
        <v>28283.599999999999</v>
      </c>
      <c r="E28" s="322">
        <f t="shared" si="43"/>
        <v>28211.199999999997</v>
      </c>
      <c r="F28" s="322">
        <f t="shared" si="43"/>
        <v>28138.799999999996</v>
      </c>
      <c r="G28" s="322">
        <f t="shared" si="43"/>
        <v>28066.399999999994</v>
      </c>
      <c r="H28" s="322">
        <f t="shared" si="43"/>
        <v>27993.999999999993</v>
      </c>
      <c r="I28" s="322">
        <f t="shared" si="43"/>
        <v>27921.599999999991</v>
      </c>
      <c r="J28" s="322">
        <f t="shared" si="43"/>
        <v>27849.19999999999</v>
      </c>
      <c r="K28" s="322">
        <f t="shared" si="43"/>
        <v>27776.799999999988</v>
      </c>
      <c r="L28" s="322">
        <f t="shared" si="43"/>
        <v>27704.399999999987</v>
      </c>
      <c r="M28" s="305">
        <v>27632</v>
      </c>
      <c r="N28" s="323">
        <f t="shared" ref="N28:V28" si="44">M28+($W28-$M28)/10</f>
        <v>27598.75</v>
      </c>
      <c r="O28" s="323">
        <f t="shared" si="44"/>
        <v>27565.5</v>
      </c>
      <c r="P28" s="323">
        <f t="shared" si="44"/>
        <v>27532.25</v>
      </c>
      <c r="Q28" s="323">
        <f t="shared" si="44"/>
        <v>27499</v>
      </c>
      <c r="R28" s="323">
        <f t="shared" si="44"/>
        <v>27465.75</v>
      </c>
      <c r="S28" s="323">
        <f t="shared" si="44"/>
        <v>27432.5</v>
      </c>
      <c r="T28" s="323">
        <f t="shared" si="44"/>
        <v>27399.25</v>
      </c>
      <c r="U28" s="323">
        <f t="shared" si="44"/>
        <v>27366</v>
      </c>
      <c r="V28" s="323">
        <f t="shared" si="44"/>
        <v>27332.75</v>
      </c>
      <c r="W28" s="323">
        <f>(M28+AG28)/2</f>
        <v>27299.5</v>
      </c>
      <c r="X28" s="323">
        <f t="shared" ref="X28:AF28" si="45">W28+($AG28-$W28)/10</f>
        <v>27266.25</v>
      </c>
      <c r="Y28" s="323">
        <f t="shared" si="45"/>
        <v>27233</v>
      </c>
      <c r="Z28" s="323">
        <f t="shared" si="45"/>
        <v>27199.75</v>
      </c>
      <c r="AA28" s="323">
        <f t="shared" si="45"/>
        <v>27166.5</v>
      </c>
      <c r="AB28" s="323">
        <f t="shared" si="45"/>
        <v>27133.25</v>
      </c>
      <c r="AC28" s="323">
        <f t="shared" si="45"/>
        <v>27100</v>
      </c>
      <c r="AD28" s="323">
        <f t="shared" si="45"/>
        <v>27066.75</v>
      </c>
      <c r="AE28" s="323">
        <f t="shared" si="45"/>
        <v>27033.5</v>
      </c>
      <c r="AF28" s="323">
        <f t="shared" si="45"/>
        <v>27000.25</v>
      </c>
      <c r="AG28" s="305">
        <v>26967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V57"/>
  <sheetViews>
    <sheetView tabSelected="1" workbookViewId="0">
      <selection activeCell="Q6" sqref="Q6"/>
    </sheetView>
  </sheetViews>
  <sheetFormatPr baseColWidth="10" defaultRowHeight="15.6" x14ac:dyDescent="0.3"/>
  <cols>
    <col min="2" max="2" width="24.09765625" customWidth="1"/>
  </cols>
  <sheetData>
    <row r="2" spans="1:17" ht="16.2" thickBot="1" x14ac:dyDescent="0.35">
      <c r="A2" s="202" t="s">
        <v>274</v>
      </c>
    </row>
    <row r="3" spans="1:17" ht="16.2" thickBot="1" x14ac:dyDescent="0.35">
      <c r="C3" s="213" t="s">
        <v>263</v>
      </c>
      <c r="D3" s="359" t="s">
        <v>17</v>
      </c>
      <c r="E3" s="360"/>
      <c r="F3" s="360"/>
      <c r="G3" s="361"/>
      <c r="H3" s="362"/>
      <c r="I3" s="363" t="s">
        <v>264</v>
      </c>
      <c r="J3" s="364"/>
      <c r="K3" s="364"/>
      <c r="L3" s="365"/>
      <c r="M3" s="353" t="s">
        <v>275</v>
      </c>
      <c r="N3" s="354"/>
      <c r="O3" s="354"/>
      <c r="P3" s="355"/>
    </row>
    <row r="4" spans="1:17" ht="16.2" thickBot="1" x14ac:dyDescent="0.35">
      <c r="A4" s="108"/>
      <c r="B4" s="203"/>
      <c r="C4" s="213">
        <v>2021</v>
      </c>
      <c r="D4" s="204">
        <v>2019</v>
      </c>
      <c r="E4" s="198">
        <v>2025</v>
      </c>
      <c r="F4" s="198">
        <v>2030</v>
      </c>
      <c r="G4" s="211">
        <v>2040</v>
      </c>
      <c r="H4" s="212">
        <v>2050</v>
      </c>
      <c r="I4" s="210">
        <v>2025</v>
      </c>
      <c r="J4" s="211">
        <v>2030</v>
      </c>
      <c r="K4" s="211">
        <v>2040</v>
      </c>
      <c r="L4" s="212">
        <v>2050</v>
      </c>
      <c r="M4" s="231">
        <v>2025</v>
      </c>
      <c r="N4" s="232">
        <v>2030</v>
      </c>
      <c r="O4" s="232">
        <v>2040</v>
      </c>
      <c r="P4" s="233">
        <v>2050</v>
      </c>
    </row>
    <row r="5" spans="1:17" x14ac:dyDescent="0.3">
      <c r="A5" s="366" t="s">
        <v>265</v>
      </c>
      <c r="B5" s="203" t="s">
        <v>266</v>
      </c>
      <c r="C5" s="214">
        <v>25.7</v>
      </c>
      <c r="D5" s="205">
        <v>26.6</v>
      </c>
      <c r="E5" s="199">
        <v>27.15</v>
      </c>
      <c r="F5" s="199">
        <v>28.6</v>
      </c>
      <c r="G5" s="199">
        <v>28.6</v>
      </c>
      <c r="H5" s="206">
        <v>28.6</v>
      </c>
      <c r="I5" s="205">
        <v>28.15</v>
      </c>
      <c r="J5" s="199">
        <v>29.7</v>
      </c>
      <c r="K5" s="199">
        <v>37.200000000000003</v>
      </c>
      <c r="L5" s="206">
        <v>44.7</v>
      </c>
      <c r="M5" s="234" t="s">
        <v>276</v>
      </c>
      <c r="N5" s="235" t="s">
        <v>276</v>
      </c>
      <c r="O5" s="235" t="s">
        <v>276</v>
      </c>
      <c r="P5" s="236" t="s">
        <v>276</v>
      </c>
      <c r="Q5" s="216" t="s">
        <v>277</v>
      </c>
    </row>
    <row r="6" spans="1:17" x14ac:dyDescent="0.3">
      <c r="A6" s="366"/>
      <c r="B6" s="203" t="s">
        <v>267</v>
      </c>
      <c r="C6" s="214">
        <v>8.3126758237303395</v>
      </c>
      <c r="D6" s="205">
        <v>8.3126758237303395</v>
      </c>
      <c r="E6" s="199">
        <v>9.5063379118651703</v>
      </c>
      <c r="F6" s="199">
        <v>10.7</v>
      </c>
      <c r="G6" s="199">
        <v>13.95</v>
      </c>
      <c r="H6" s="206">
        <v>17.2</v>
      </c>
      <c r="I6" s="205">
        <v>11.656337911865169</v>
      </c>
      <c r="J6" s="217">
        <v>15</v>
      </c>
      <c r="K6" s="218">
        <v>25</v>
      </c>
      <c r="L6" s="219">
        <v>35</v>
      </c>
      <c r="M6" s="237">
        <v>11.656337911865169</v>
      </c>
      <c r="N6" s="238">
        <v>15</v>
      </c>
      <c r="O6" s="239">
        <v>22</v>
      </c>
      <c r="P6" s="240">
        <v>30</v>
      </c>
      <c r="Q6" t="s">
        <v>279</v>
      </c>
    </row>
    <row r="7" spans="1:17" x14ac:dyDescent="0.3">
      <c r="A7" s="366"/>
      <c r="B7" s="203" t="s">
        <v>268</v>
      </c>
      <c r="C7" s="214">
        <v>0</v>
      </c>
      <c r="D7" s="205">
        <v>0</v>
      </c>
      <c r="E7" s="199">
        <v>0.6</v>
      </c>
      <c r="F7" s="199">
        <v>1.2</v>
      </c>
      <c r="G7" s="199">
        <v>1.9</v>
      </c>
      <c r="H7" s="206">
        <v>2.6</v>
      </c>
      <c r="I7" s="205">
        <v>0.4</v>
      </c>
      <c r="J7" s="218">
        <v>0.8</v>
      </c>
      <c r="K7" s="218">
        <v>2.1</v>
      </c>
      <c r="L7" s="220">
        <v>3.4</v>
      </c>
      <c r="M7" s="237">
        <v>1</v>
      </c>
      <c r="N7" s="239">
        <v>2</v>
      </c>
      <c r="O7" s="239">
        <v>3.5</v>
      </c>
      <c r="P7" s="241">
        <v>5</v>
      </c>
      <c r="Q7" t="s">
        <v>282</v>
      </c>
    </row>
    <row r="8" spans="1:17" x14ac:dyDescent="0.3">
      <c r="A8" s="366"/>
      <c r="B8" s="203" t="s">
        <v>269</v>
      </c>
      <c r="C8" s="214">
        <v>35.55702424712328</v>
      </c>
      <c r="D8" s="205">
        <v>35.55702424712328</v>
      </c>
      <c r="E8" s="199">
        <v>33.77851212356164</v>
      </c>
      <c r="F8" s="199">
        <v>32</v>
      </c>
      <c r="G8" s="199">
        <v>28.55</v>
      </c>
      <c r="H8" s="206">
        <v>25.1</v>
      </c>
      <c r="I8" s="205">
        <v>35.178512123561639</v>
      </c>
      <c r="J8" s="218">
        <v>34.799999999999997</v>
      </c>
      <c r="K8" s="218">
        <v>34.799999999999997</v>
      </c>
      <c r="L8" s="220">
        <v>34.799999999999997</v>
      </c>
      <c r="M8" s="237">
        <v>35.178512123561639</v>
      </c>
      <c r="N8" s="239">
        <v>34.799999999999997</v>
      </c>
      <c r="O8" s="239">
        <v>34.799999999999997</v>
      </c>
      <c r="P8" s="241">
        <v>34.799999999999997</v>
      </c>
      <c r="Q8" t="s">
        <v>281</v>
      </c>
    </row>
    <row r="9" spans="1:17" x14ac:dyDescent="0.3">
      <c r="A9" s="366"/>
      <c r="B9" s="203" t="s">
        <v>125</v>
      </c>
      <c r="C9" s="214">
        <v>0.198367545075464</v>
      </c>
      <c r="D9" s="205">
        <v>0.198367545075464</v>
      </c>
      <c r="E9" s="199">
        <v>2.5491837725377322</v>
      </c>
      <c r="F9" s="199">
        <v>4.9000000000000004</v>
      </c>
      <c r="G9" s="199">
        <v>7.05</v>
      </c>
      <c r="H9" s="206">
        <v>9.1999999999999993</v>
      </c>
      <c r="I9" s="205">
        <v>4.3991837725377314</v>
      </c>
      <c r="J9" s="218">
        <v>8.6</v>
      </c>
      <c r="K9" s="218">
        <v>21.75</v>
      </c>
      <c r="L9" s="220">
        <v>34.9</v>
      </c>
      <c r="M9" s="237">
        <v>8</v>
      </c>
      <c r="N9" s="239">
        <v>15.3</v>
      </c>
      <c r="O9" s="239">
        <v>21.75</v>
      </c>
      <c r="P9" s="241">
        <v>42.8</v>
      </c>
      <c r="Q9" t="s">
        <v>280</v>
      </c>
    </row>
    <row r="10" spans="1:17" x14ac:dyDescent="0.3">
      <c r="A10" s="366"/>
      <c r="B10" s="203" t="s">
        <v>270</v>
      </c>
      <c r="C10" s="214">
        <v>0</v>
      </c>
      <c r="D10" s="205">
        <v>0</v>
      </c>
      <c r="E10" s="199">
        <v>0</v>
      </c>
      <c r="F10" s="199">
        <v>0</v>
      </c>
      <c r="G10" s="199">
        <v>0</v>
      </c>
      <c r="H10" s="206">
        <v>0</v>
      </c>
      <c r="I10" s="205">
        <v>3.5</v>
      </c>
      <c r="J10" s="217">
        <v>7</v>
      </c>
      <c r="K10" s="218">
        <v>18.5</v>
      </c>
      <c r="L10" s="219">
        <v>30</v>
      </c>
      <c r="M10" s="237">
        <v>3.5</v>
      </c>
      <c r="N10" s="238">
        <v>7</v>
      </c>
      <c r="O10" s="239">
        <v>18.5</v>
      </c>
      <c r="P10" s="240">
        <v>30</v>
      </c>
      <c r="Q10" t="s">
        <v>283</v>
      </c>
    </row>
    <row r="11" spans="1:17" x14ac:dyDescent="0.3">
      <c r="A11" s="366"/>
      <c r="B11" s="203" t="s">
        <v>271</v>
      </c>
      <c r="C11" s="214">
        <v>1.8562813820541799</v>
      </c>
      <c r="D11" s="205">
        <v>1.8562813820541799</v>
      </c>
      <c r="E11" s="199">
        <v>3.0781406910270901</v>
      </c>
      <c r="F11" s="199">
        <v>4.3</v>
      </c>
      <c r="G11" s="199">
        <v>5.6</v>
      </c>
      <c r="H11" s="206">
        <v>6.9</v>
      </c>
      <c r="I11" s="205">
        <v>4.3781406910270899</v>
      </c>
      <c r="J11" s="199">
        <v>6.9</v>
      </c>
      <c r="K11" s="199">
        <v>9.25</v>
      </c>
      <c r="L11" s="206">
        <v>11.6</v>
      </c>
      <c r="M11" s="237">
        <v>5</v>
      </c>
      <c r="N11" s="239">
        <v>8</v>
      </c>
      <c r="O11" s="239">
        <v>13</v>
      </c>
      <c r="P11" s="241">
        <v>19</v>
      </c>
      <c r="Q11" t="s">
        <v>278</v>
      </c>
    </row>
    <row r="12" spans="1:17" ht="16.2" thickBot="1" x14ac:dyDescent="0.35">
      <c r="A12" s="200" t="s">
        <v>272</v>
      </c>
      <c r="B12" s="203" t="s">
        <v>272</v>
      </c>
      <c r="C12" s="215">
        <v>0</v>
      </c>
      <c r="D12" s="207">
        <v>0</v>
      </c>
      <c r="E12" s="208">
        <v>0</v>
      </c>
      <c r="F12" s="208">
        <v>0</v>
      </c>
      <c r="G12" s="208">
        <v>0</v>
      </c>
      <c r="H12" s="209">
        <v>0</v>
      </c>
      <c r="I12" s="207">
        <v>0</v>
      </c>
      <c r="J12" s="208">
        <v>0</v>
      </c>
      <c r="K12" s="208">
        <v>0</v>
      </c>
      <c r="L12" s="209">
        <v>0</v>
      </c>
      <c r="M12" s="242">
        <v>0</v>
      </c>
      <c r="N12" s="243">
        <v>0</v>
      </c>
      <c r="O12" s="243">
        <v>0</v>
      </c>
      <c r="P12" s="244">
        <v>0</v>
      </c>
    </row>
    <row r="13" spans="1:17" x14ac:dyDescent="0.3">
      <c r="B13" t="s">
        <v>273</v>
      </c>
      <c r="C13" s="201">
        <f>SUM(C5:C12)</f>
        <v>71.624348997983276</v>
      </c>
      <c r="D13" s="201">
        <f t="shared" ref="D13:P13" si="0">SUM(D5:D12)</f>
        <v>72.524348997983267</v>
      </c>
      <c r="E13" s="201">
        <f t="shared" si="0"/>
        <v>76.662174498991632</v>
      </c>
      <c r="F13" s="201">
        <f t="shared" si="0"/>
        <v>81.7</v>
      </c>
      <c r="G13" s="201">
        <f t="shared" si="0"/>
        <v>85.649999999999991</v>
      </c>
      <c r="H13" s="201">
        <f t="shared" si="0"/>
        <v>89.600000000000009</v>
      </c>
      <c r="I13" s="201">
        <f t="shared" si="0"/>
        <v>87.662174498991618</v>
      </c>
      <c r="J13" s="201">
        <f t="shared" si="0"/>
        <v>102.8</v>
      </c>
      <c r="K13" s="201">
        <f t="shared" si="0"/>
        <v>148.6</v>
      </c>
      <c r="L13" s="201">
        <f t="shared" si="0"/>
        <v>194.4</v>
      </c>
      <c r="M13" s="201">
        <f t="shared" si="0"/>
        <v>64.334850035426811</v>
      </c>
      <c r="N13" s="201">
        <f t="shared" si="0"/>
        <v>82.1</v>
      </c>
      <c r="O13" s="201">
        <f t="shared" si="0"/>
        <v>113.55</v>
      </c>
      <c r="P13" s="201">
        <f t="shared" si="0"/>
        <v>161.6</v>
      </c>
    </row>
    <row r="17" spans="1:22" x14ac:dyDescent="0.3">
      <c r="A17" s="221"/>
      <c r="B17" s="222" t="s">
        <v>284</v>
      </c>
      <c r="C17" s="356" t="s">
        <v>285</v>
      </c>
      <c r="D17" s="356"/>
      <c r="E17" s="356"/>
      <c r="F17" s="356"/>
      <c r="G17" s="367" t="s">
        <v>291</v>
      </c>
      <c r="H17" s="367"/>
      <c r="I17" s="367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67"/>
      <c r="V17" s="367"/>
    </row>
    <row r="18" spans="1:22" x14ac:dyDescent="0.3">
      <c r="A18" s="223"/>
      <c r="B18" s="223"/>
      <c r="C18" s="357">
        <v>2021</v>
      </c>
      <c r="D18" s="357"/>
      <c r="E18" s="357"/>
      <c r="F18" s="357"/>
      <c r="G18" s="368">
        <v>2025</v>
      </c>
      <c r="H18" s="368"/>
      <c r="I18" s="368"/>
      <c r="J18" s="368"/>
      <c r="K18" s="368">
        <v>2030</v>
      </c>
      <c r="L18" s="368"/>
      <c r="M18" s="368"/>
      <c r="N18" s="368"/>
      <c r="O18" s="368">
        <v>2040</v>
      </c>
      <c r="P18" s="368"/>
      <c r="Q18" s="368"/>
      <c r="R18" s="368"/>
      <c r="S18" s="368">
        <v>2050</v>
      </c>
      <c r="T18" s="368"/>
      <c r="U18" s="368"/>
      <c r="V18" s="368"/>
    </row>
    <row r="19" spans="1:22" x14ac:dyDescent="0.3">
      <c r="A19" s="223"/>
      <c r="B19" s="223"/>
      <c r="C19" s="225" t="s">
        <v>286</v>
      </c>
      <c r="D19" s="225" t="s">
        <v>287</v>
      </c>
      <c r="E19" s="225" t="s">
        <v>288</v>
      </c>
      <c r="F19" s="225" t="s">
        <v>289</v>
      </c>
      <c r="G19" s="245" t="s">
        <v>286</v>
      </c>
      <c r="H19" s="245" t="s">
        <v>287</v>
      </c>
      <c r="I19" s="245" t="s">
        <v>288</v>
      </c>
      <c r="J19" s="245" t="s">
        <v>289</v>
      </c>
      <c r="K19" s="245" t="s">
        <v>286</v>
      </c>
      <c r="L19" s="245" t="s">
        <v>287</v>
      </c>
      <c r="M19" s="245" t="s">
        <v>288</v>
      </c>
      <c r="N19" s="245" t="s">
        <v>289</v>
      </c>
      <c r="O19" s="245" t="s">
        <v>286</v>
      </c>
      <c r="P19" s="245" t="s">
        <v>287</v>
      </c>
      <c r="Q19" s="245" t="s">
        <v>288</v>
      </c>
      <c r="R19" s="245" t="s">
        <v>289</v>
      </c>
      <c r="S19" s="245" t="s">
        <v>286</v>
      </c>
      <c r="T19" s="245" t="s">
        <v>287</v>
      </c>
      <c r="U19" s="245" t="s">
        <v>288</v>
      </c>
      <c r="V19" s="245" t="s">
        <v>289</v>
      </c>
    </row>
    <row r="20" spans="1:22" x14ac:dyDescent="0.3">
      <c r="A20" s="358" t="s">
        <v>265</v>
      </c>
      <c r="B20" s="223" t="s">
        <v>266</v>
      </c>
      <c r="C20" s="227">
        <v>1</v>
      </c>
      <c r="D20" s="227"/>
      <c r="E20" s="227"/>
      <c r="F20" s="227"/>
      <c r="G20" s="246">
        <v>1</v>
      </c>
      <c r="H20" s="246"/>
      <c r="I20" s="246"/>
      <c r="J20" s="246"/>
      <c r="K20" s="246">
        <v>1</v>
      </c>
      <c r="L20" s="246"/>
      <c r="M20" s="246"/>
      <c r="N20" s="246"/>
      <c r="O20" s="246">
        <v>1</v>
      </c>
      <c r="P20" s="246"/>
      <c r="Q20" s="246"/>
      <c r="R20" s="246"/>
      <c r="S20" s="246">
        <v>1</v>
      </c>
      <c r="T20" s="246"/>
      <c r="U20" s="246"/>
      <c r="V20" s="246"/>
    </row>
    <row r="21" spans="1:22" x14ac:dyDescent="0.3">
      <c r="A21" s="358"/>
      <c r="B21" s="223" t="s">
        <v>267</v>
      </c>
      <c r="C21" s="227">
        <v>0.5</v>
      </c>
      <c r="D21" s="227">
        <v>0.2</v>
      </c>
      <c r="E21" s="227">
        <v>0.3</v>
      </c>
      <c r="F21" s="227"/>
      <c r="G21" s="247">
        <v>0.3</v>
      </c>
      <c r="H21" s="247">
        <v>0.3</v>
      </c>
      <c r="I21" s="247">
        <v>0.4</v>
      </c>
      <c r="J21" s="247"/>
      <c r="K21" s="247">
        <v>0.25</v>
      </c>
      <c r="L21" s="247">
        <v>0.25</v>
      </c>
      <c r="M21" s="247">
        <v>0.5</v>
      </c>
      <c r="N21" s="247"/>
      <c r="O21" s="247">
        <v>0.15</v>
      </c>
      <c r="P21" s="247">
        <v>0.25</v>
      </c>
      <c r="Q21" s="247">
        <v>0.6</v>
      </c>
      <c r="R21" s="247"/>
      <c r="S21" s="247">
        <v>0</v>
      </c>
      <c r="T21" s="247">
        <v>0.2</v>
      </c>
      <c r="U21" s="247">
        <v>0.8</v>
      </c>
      <c r="V21" s="247"/>
    </row>
    <row r="22" spans="1:22" x14ac:dyDescent="0.3">
      <c r="A22" s="358"/>
      <c r="B22" s="223" t="s">
        <v>268</v>
      </c>
      <c r="C22" s="227"/>
      <c r="D22" s="227"/>
      <c r="E22" s="227">
        <v>1</v>
      </c>
      <c r="F22" s="227"/>
      <c r="G22" s="246"/>
      <c r="H22" s="246"/>
      <c r="I22" s="246">
        <v>1</v>
      </c>
      <c r="J22" s="246"/>
      <c r="K22" s="246"/>
      <c r="L22" s="246"/>
      <c r="M22" s="246">
        <v>1</v>
      </c>
      <c r="N22" s="246"/>
      <c r="O22" s="246"/>
      <c r="P22" s="246"/>
      <c r="Q22" s="246">
        <v>1</v>
      </c>
      <c r="R22" s="246"/>
      <c r="S22" s="246"/>
      <c r="T22" s="246"/>
      <c r="U22" s="246">
        <v>1</v>
      </c>
      <c r="V22" s="246"/>
    </row>
    <row r="23" spans="1:22" x14ac:dyDescent="0.3">
      <c r="A23" s="358"/>
      <c r="B23" s="223" t="s">
        <v>269</v>
      </c>
      <c r="C23" s="227"/>
      <c r="D23" s="227">
        <v>0.95</v>
      </c>
      <c r="E23" s="227">
        <v>0.05</v>
      </c>
      <c r="F23" s="227"/>
      <c r="G23" s="246"/>
      <c r="H23" s="246">
        <v>1</v>
      </c>
      <c r="I23" s="246">
        <v>0</v>
      </c>
      <c r="J23" s="246"/>
      <c r="K23" s="246"/>
      <c r="L23" s="246">
        <v>1</v>
      </c>
      <c r="M23" s="246">
        <v>0</v>
      </c>
      <c r="N23" s="246"/>
      <c r="O23" s="246"/>
      <c r="P23" s="246">
        <v>1</v>
      </c>
      <c r="Q23" s="246">
        <v>0</v>
      </c>
      <c r="R23" s="246"/>
      <c r="S23" s="246"/>
      <c r="T23" s="246">
        <v>1</v>
      </c>
      <c r="U23" s="246">
        <v>0</v>
      </c>
      <c r="V23" s="246"/>
    </row>
    <row r="24" spans="1:22" x14ac:dyDescent="0.3">
      <c r="A24" s="358"/>
      <c r="B24" s="223" t="s">
        <v>125</v>
      </c>
      <c r="C24" s="227"/>
      <c r="D24" s="227"/>
      <c r="E24" s="227">
        <v>1</v>
      </c>
      <c r="F24" s="227"/>
      <c r="G24" s="246"/>
      <c r="H24" s="246">
        <v>0</v>
      </c>
      <c r="I24" s="246">
        <v>1</v>
      </c>
      <c r="J24" s="246"/>
      <c r="K24" s="246"/>
      <c r="L24" s="246">
        <v>0</v>
      </c>
      <c r="M24" s="246">
        <v>1</v>
      </c>
      <c r="N24" s="246"/>
      <c r="O24" s="246"/>
      <c r="P24" s="246">
        <v>0</v>
      </c>
      <c r="Q24" s="246">
        <v>1</v>
      </c>
      <c r="R24" s="246"/>
      <c r="S24" s="246"/>
      <c r="T24" s="246">
        <v>0</v>
      </c>
      <c r="U24" s="246">
        <v>1</v>
      </c>
      <c r="V24" s="246"/>
    </row>
    <row r="25" spans="1:22" x14ac:dyDescent="0.3">
      <c r="A25" s="358"/>
      <c r="B25" s="223" t="s">
        <v>270</v>
      </c>
      <c r="C25" s="227">
        <v>0.5</v>
      </c>
      <c r="D25" s="227">
        <v>0.5</v>
      </c>
      <c r="E25" s="227"/>
      <c r="F25" s="227"/>
      <c r="G25" s="248">
        <v>0.4</v>
      </c>
      <c r="H25" s="248">
        <v>0.6</v>
      </c>
      <c r="I25" s="248">
        <v>0</v>
      </c>
      <c r="J25" s="248"/>
      <c r="K25" s="248">
        <v>0.3</v>
      </c>
      <c r="L25" s="248">
        <v>0.7</v>
      </c>
      <c r="M25" s="248">
        <v>0</v>
      </c>
      <c r="N25" s="248"/>
      <c r="O25" s="248">
        <v>0.15</v>
      </c>
      <c r="P25" s="248">
        <v>0.85</v>
      </c>
      <c r="Q25" s="248">
        <v>0</v>
      </c>
      <c r="R25" s="248"/>
      <c r="S25" s="248">
        <v>0</v>
      </c>
      <c r="T25" s="248">
        <v>1</v>
      </c>
      <c r="U25" s="248">
        <v>0</v>
      </c>
      <c r="V25" s="248"/>
    </row>
    <row r="26" spans="1:22" x14ac:dyDescent="0.3">
      <c r="A26" s="358"/>
      <c r="B26" s="223" t="s">
        <v>271</v>
      </c>
      <c r="C26" s="227"/>
      <c r="D26" s="227"/>
      <c r="E26" s="227">
        <v>1</v>
      </c>
      <c r="F26" s="227"/>
      <c r="G26" s="246"/>
      <c r="H26" s="246"/>
      <c r="I26" s="246">
        <v>1</v>
      </c>
      <c r="J26" s="246"/>
      <c r="K26" s="246"/>
      <c r="L26" s="246"/>
      <c r="M26" s="246">
        <v>1</v>
      </c>
      <c r="N26" s="246"/>
      <c r="O26" s="246"/>
      <c r="P26" s="246"/>
      <c r="Q26" s="246">
        <v>1</v>
      </c>
      <c r="R26" s="246"/>
      <c r="S26" s="246"/>
      <c r="T26" s="246"/>
      <c r="U26" s="246">
        <v>1</v>
      </c>
      <c r="V26" s="246"/>
    </row>
    <row r="27" spans="1:22" x14ac:dyDescent="0.3">
      <c r="A27" s="224" t="s">
        <v>272</v>
      </c>
      <c r="B27" s="223" t="s">
        <v>272</v>
      </c>
      <c r="C27" s="227"/>
      <c r="D27" s="227"/>
      <c r="E27" s="227"/>
      <c r="F27" s="227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</row>
    <row r="28" spans="1:22" x14ac:dyDescent="0.3">
      <c r="G28" s="351" t="s">
        <v>290</v>
      </c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</row>
    <row r="29" spans="1:22" x14ac:dyDescent="0.3">
      <c r="G29" s="352">
        <v>2025</v>
      </c>
      <c r="H29" s="352"/>
      <c r="I29" s="352"/>
      <c r="J29" s="352"/>
      <c r="K29" s="352">
        <v>2030</v>
      </c>
      <c r="L29" s="352"/>
      <c r="M29" s="352"/>
      <c r="N29" s="352"/>
      <c r="O29" s="352">
        <v>2040</v>
      </c>
      <c r="P29" s="352"/>
      <c r="Q29" s="352"/>
      <c r="R29" s="352"/>
      <c r="S29" s="352">
        <v>2050</v>
      </c>
      <c r="T29" s="352"/>
      <c r="U29" s="352"/>
      <c r="V29" s="352"/>
    </row>
    <row r="30" spans="1:22" x14ac:dyDescent="0.3">
      <c r="G30" s="228" t="s">
        <v>286</v>
      </c>
      <c r="H30" s="228" t="s">
        <v>287</v>
      </c>
      <c r="I30" s="228" t="s">
        <v>288</v>
      </c>
      <c r="J30" s="228" t="s">
        <v>289</v>
      </c>
      <c r="K30" s="228" t="s">
        <v>286</v>
      </c>
      <c r="L30" s="228" t="s">
        <v>287</v>
      </c>
      <c r="M30" s="228" t="s">
        <v>288</v>
      </c>
      <c r="N30" s="228" t="s">
        <v>289</v>
      </c>
      <c r="O30" s="228" t="s">
        <v>286</v>
      </c>
      <c r="P30" s="228" t="s">
        <v>287</v>
      </c>
      <c r="Q30" s="228" t="s">
        <v>288</v>
      </c>
      <c r="R30" s="228" t="s">
        <v>289</v>
      </c>
      <c r="S30" s="228" t="s">
        <v>286</v>
      </c>
      <c r="T30" s="228" t="s">
        <v>287</v>
      </c>
      <c r="U30" s="228" t="s">
        <v>288</v>
      </c>
      <c r="V30" s="228" t="s">
        <v>289</v>
      </c>
    </row>
    <row r="31" spans="1:22" x14ac:dyDescent="0.3">
      <c r="G31" s="230">
        <v>1</v>
      </c>
      <c r="H31" s="230"/>
      <c r="I31" s="230"/>
      <c r="J31" s="230"/>
      <c r="K31" s="230">
        <v>1</v>
      </c>
      <c r="L31" s="230"/>
      <c r="M31" s="230"/>
      <c r="N31" s="230"/>
      <c r="O31" s="230">
        <v>1</v>
      </c>
      <c r="P31" s="230"/>
      <c r="Q31" s="230"/>
      <c r="R31" s="230"/>
      <c r="S31" s="230">
        <v>1</v>
      </c>
      <c r="T31" s="230"/>
      <c r="U31" s="230"/>
      <c r="V31" s="230"/>
    </row>
    <row r="32" spans="1:22" x14ac:dyDescent="0.3">
      <c r="G32" s="226">
        <v>0.3</v>
      </c>
      <c r="H32" s="226">
        <v>0.3</v>
      </c>
      <c r="I32" s="226">
        <v>0.4</v>
      </c>
      <c r="J32" s="226"/>
      <c r="K32" s="226">
        <v>0.25</v>
      </c>
      <c r="L32" s="226">
        <v>0.25</v>
      </c>
      <c r="M32" s="226">
        <v>0.5</v>
      </c>
      <c r="N32" s="226"/>
      <c r="O32" s="226">
        <v>0.15</v>
      </c>
      <c r="P32" s="226">
        <v>0.25</v>
      </c>
      <c r="Q32" s="226">
        <v>0.6</v>
      </c>
      <c r="R32" s="226"/>
      <c r="S32" s="226">
        <v>0</v>
      </c>
      <c r="T32" s="226">
        <v>0.2</v>
      </c>
      <c r="U32" s="226">
        <v>0.8</v>
      </c>
      <c r="V32" s="226"/>
    </row>
    <row r="33" spans="7:22" x14ac:dyDescent="0.3">
      <c r="G33" s="230"/>
      <c r="H33" s="230"/>
      <c r="I33" s="230">
        <v>1</v>
      </c>
      <c r="J33" s="230"/>
      <c r="K33" s="230"/>
      <c r="L33" s="230"/>
      <c r="M33" s="230">
        <v>1</v>
      </c>
      <c r="N33" s="230"/>
      <c r="O33" s="230"/>
      <c r="P33" s="230"/>
      <c r="Q33" s="230">
        <v>1</v>
      </c>
      <c r="R33" s="230"/>
      <c r="S33" s="230"/>
      <c r="T33" s="230"/>
      <c r="U33" s="230">
        <v>1</v>
      </c>
      <c r="V33" s="230"/>
    </row>
    <row r="34" spans="7:22" x14ac:dyDescent="0.3">
      <c r="G34" s="230"/>
      <c r="H34" s="230">
        <v>1</v>
      </c>
      <c r="I34" s="230">
        <v>0</v>
      </c>
      <c r="J34" s="230"/>
      <c r="K34" s="230"/>
      <c r="L34" s="230">
        <v>1</v>
      </c>
      <c r="M34" s="230">
        <v>0</v>
      </c>
      <c r="N34" s="230"/>
      <c r="O34" s="230"/>
      <c r="P34" s="230">
        <v>1</v>
      </c>
      <c r="Q34" s="230">
        <v>0</v>
      </c>
      <c r="R34" s="230"/>
      <c r="S34" s="230"/>
      <c r="T34" s="230">
        <v>1</v>
      </c>
      <c r="U34" s="230">
        <v>0</v>
      </c>
      <c r="V34" s="230"/>
    </row>
    <row r="35" spans="7:22" x14ac:dyDescent="0.3">
      <c r="G35" s="230"/>
      <c r="H35" s="230">
        <v>0</v>
      </c>
      <c r="I35" s="230">
        <v>1</v>
      </c>
      <c r="J35" s="230"/>
      <c r="K35" s="230"/>
      <c r="L35" s="230">
        <v>0</v>
      </c>
      <c r="M35" s="230">
        <v>1</v>
      </c>
      <c r="N35" s="230"/>
      <c r="O35" s="230"/>
      <c r="P35" s="230">
        <v>0</v>
      </c>
      <c r="Q35" s="230">
        <v>1</v>
      </c>
      <c r="R35" s="230"/>
      <c r="S35" s="230"/>
      <c r="T35" s="230">
        <v>0</v>
      </c>
      <c r="U35" s="230">
        <v>1</v>
      </c>
      <c r="V35" s="230"/>
    </row>
    <row r="36" spans="7:22" x14ac:dyDescent="0.3">
      <c r="G36" s="229">
        <v>0.4</v>
      </c>
      <c r="H36" s="229">
        <v>0.6</v>
      </c>
      <c r="I36" s="229">
        <v>0</v>
      </c>
      <c r="J36" s="229"/>
      <c r="K36" s="229">
        <v>0.3</v>
      </c>
      <c r="L36" s="229">
        <v>0.7</v>
      </c>
      <c r="M36" s="229">
        <v>0</v>
      </c>
      <c r="N36" s="229"/>
      <c r="O36" s="229">
        <v>0.15</v>
      </c>
      <c r="P36" s="229">
        <v>0.85</v>
      </c>
      <c r="Q36" s="229">
        <v>0</v>
      </c>
      <c r="R36" s="229"/>
      <c r="S36" s="229">
        <v>0</v>
      </c>
      <c r="T36" s="229">
        <v>1</v>
      </c>
      <c r="U36" s="229">
        <v>0</v>
      </c>
      <c r="V36" s="229"/>
    </row>
    <row r="37" spans="7:22" x14ac:dyDescent="0.3">
      <c r="G37" s="230"/>
      <c r="H37" s="230"/>
      <c r="I37" s="230">
        <v>1</v>
      </c>
      <c r="J37" s="230"/>
      <c r="K37" s="230"/>
      <c r="L37" s="230"/>
      <c r="M37" s="230">
        <v>1</v>
      </c>
      <c r="N37" s="230"/>
      <c r="O37" s="230"/>
      <c r="P37" s="230"/>
      <c r="Q37" s="230">
        <v>1</v>
      </c>
      <c r="R37" s="230"/>
      <c r="S37" s="230"/>
      <c r="T37" s="230"/>
      <c r="U37" s="230">
        <v>1</v>
      </c>
      <c r="V37" s="230"/>
    </row>
    <row r="38" spans="7:22" x14ac:dyDescent="0.3"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7:22" x14ac:dyDescent="0.3">
      <c r="G39" s="351" t="s">
        <v>292</v>
      </c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</row>
    <row r="40" spans="7:22" x14ac:dyDescent="0.3">
      <c r="G40" s="352">
        <v>2025</v>
      </c>
      <c r="H40" s="352"/>
      <c r="I40" s="352"/>
      <c r="J40" s="352"/>
      <c r="K40" s="352">
        <v>2030</v>
      </c>
      <c r="L40" s="352"/>
      <c r="M40" s="352"/>
      <c r="N40" s="352"/>
      <c r="O40" s="352">
        <v>2040</v>
      </c>
      <c r="P40" s="352"/>
      <c r="Q40" s="352"/>
      <c r="R40" s="352"/>
      <c r="S40" s="352">
        <v>2050</v>
      </c>
      <c r="T40" s="352"/>
      <c r="U40" s="352"/>
      <c r="V40" s="352"/>
    </row>
    <row r="41" spans="7:22" x14ac:dyDescent="0.3">
      <c r="G41" s="228" t="s">
        <v>286</v>
      </c>
      <c r="H41" s="228" t="s">
        <v>287</v>
      </c>
      <c r="I41" s="228" t="s">
        <v>288</v>
      </c>
      <c r="J41" s="228" t="s">
        <v>289</v>
      </c>
      <c r="K41" s="228" t="s">
        <v>286</v>
      </c>
      <c r="L41" s="228" t="s">
        <v>287</v>
      </c>
      <c r="M41" s="228" t="s">
        <v>288</v>
      </c>
      <c r="N41" s="228" t="s">
        <v>289</v>
      </c>
      <c r="O41" s="228" t="s">
        <v>286</v>
      </c>
      <c r="P41" s="228" t="s">
        <v>287</v>
      </c>
      <c r="Q41" s="228" t="s">
        <v>288</v>
      </c>
      <c r="R41" s="228" t="s">
        <v>289</v>
      </c>
      <c r="S41" s="228" t="s">
        <v>286</v>
      </c>
      <c r="T41" s="228" t="s">
        <v>287</v>
      </c>
      <c r="U41" s="228" t="s">
        <v>288</v>
      </c>
      <c r="V41" s="228" t="s">
        <v>289</v>
      </c>
    </row>
    <row r="42" spans="7:22" x14ac:dyDescent="0.3">
      <c r="G42" s="227">
        <v>1</v>
      </c>
      <c r="H42" s="108"/>
      <c r="I42" s="108"/>
      <c r="J42" s="108"/>
      <c r="K42" s="227">
        <v>1</v>
      </c>
      <c r="L42" s="108"/>
      <c r="M42" s="108"/>
      <c r="N42" s="108"/>
      <c r="O42" s="227">
        <v>1</v>
      </c>
      <c r="P42" s="108"/>
      <c r="Q42" s="108"/>
      <c r="R42" s="108"/>
      <c r="S42" s="227">
        <v>1</v>
      </c>
      <c r="T42" s="108"/>
      <c r="U42" s="108"/>
      <c r="V42" s="108"/>
    </row>
    <row r="43" spans="7:22" x14ac:dyDescent="0.3">
      <c r="G43" s="227">
        <v>1</v>
      </c>
      <c r="H43" s="108"/>
      <c r="I43" s="108"/>
      <c r="J43" s="108"/>
      <c r="K43" s="227">
        <v>1</v>
      </c>
      <c r="L43" s="108"/>
      <c r="M43" s="108"/>
      <c r="N43" s="108"/>
      <c r="O43" s="227">
        <v>1</v>
      </c>
      <c r="P43" s="108"/>
      <c r="Q43" s="108"/>
      <c r="R43" s="108"/>
      <c r="S43" s="227">
        <v>1</v>
      </c>
      <c r="T43" s="108"/>
      <c r="U43" s="108"/>
      <c r="V43" s="108"/>
    </row>
    <row r="44" spans="7:22" x14ac:dyDescent="0.3">
      <c r="G44" s="227">
        <v>1</v>
      </c>
      <c r="H44" s="108"/>
      <c r="I44" s="108"/>
      <c r="J44" s="108"/>
      <c r="K44" s="227">
        <v>1</v>
      </c>
      <c r="L44" s="108"/>
      <c r="M44" s="108"/>
      <c r="N44" s="108"/>
      <c r="O44" s="227">
        <v>1</v>
      </c>
      <c r="P44" s="108"/>
      <c r="Q44" s="108"/>
      <c r="R44" s="108"/>
      <c r="S44" s="227">
        <v>1</v>
      </c>
      <c r="T44" s="108"/>
      <c r="U44" s="108"/>
      <c r="V44" s="108"/>
    </row>
    <row r="45" spans="7:22" x14ac:dyDescent="0.3">
      <c r="G45" s="227">
        <v>1</v>
      </c>
      <c r="H45" s="108"/>
      <c r="I45" s="108"/>
      <c r="J45" s="108"/>
      <c r="K45" s="227">
        <v>1</v>
      </c>
      <c r="L45" s="108"/>
      <c r="M45" s="108"/>
      <c r="N45" s="108"/>
      <c r="O45" s="227">
        <v>1</v>
      </c>
      <c r="P45" s="108"/>
      <c r="Q45" s="108"/>
      <c r="R45" s="108"/>
      <c r="S45" s="227">
        <v>1</v>
      </c>
      <c r="T45" s="108"/>
      <c r="U45" s="108"/>
      <c r="V45" s="108"/>
    </row>
    <row r="46" spans="7:22" x14ac:dyDescent="0.3">
      <c r="G46" s="250">
        <v>0.50624999999999998</v>
      </c>
      <c r="H46" s="250">
        <v>0.26250000000000001</v>
      </c>
      <c r="I46" s="250">
        <v>0.23124999999999998</v>
      </c>
      <c r="J46" s="250"/>
      <c r="K46" s="250">
        <v>0.39252336448598135</v>
      </c>
      <c r="L46" s="250">
        <v>0.39252336448598135</v>
      </c>
      <c r="M46" s="250">
        <v>0.21495327102803738</v>
      </c>
      <c r="N46" s="250"/>
      <c r="O46" s="250">
        <v>0.28315412186379929</v>
      </c>
      <c r="P46" s="250">
        <v>0.44444444444444442</v>
      </c>
      <c r="Q46" s="250">
        <v>0.27240143369175629</v>
      </c>
      <c r="R46" s="250"/>
      <c r="S46" s="250">
        <v>0.21511627906976746</v>
      </c>
      <c r="T46" s="250">
        <v>0.47674418604651159</v>
      </c>
      <c r="U46" s="250">
        <v>0.30813953488372092</v>
      </c>
      <c r="V46" s="250"/>
    </row>
    <row r="47" spans="7:22" x14ac:dyDescent="0.3">
      <c r="G47" s="108"/>
      <c r="H47" s="108"/>
      <c r="I47" s="227">
        <v>1</v>
      </c>
      <c r="J47" s="108"/>
      <c r="K47" s="108"/>
      <c r="L47" s="108"/>
      <c r="M47" s="227">
        <v>1</v>
      </c>
      <c r="N47" s="108"/>
      <c r="O47" s="108"/>
      <c r="P47" s="108"/>
      <c r="Q47" s="227">
        <v>1</v>
      </c>
      <c r="R47" s="108"/>
      <c r="S47" s="108"/>
      <c r="T47" s="108"/>
      <c r="U47" s="227">
        <v>1</v>
      </c>
      <c r="V47" s="108"/>
    </row>
    <row r="48" spans="7:22" x14ac:dyDescent="0.3">
      <c r="G48" s="108"/>
      <c r="H48" s="227">
        <v>1</v>
      </c>
      <c r="I48" s="108"/>
      <c r="J48" s="108"/>
      <c r="K48" s="108"/>
      <c r="L48" s="227">
        <v>1</v>
      </c>
      <c r="M48" s="108"/>
      <c r="N48" s="108"/>
      <c r="O48" s="108"/>
      <c r="P48" s="227">
        <v>1</v>
      </c>
      <c r="Q48" s="108"/>
      <c r="R48" s="108"/>
      <c r="S48" s="108"/>
      <c r="T48" s="227">
        <v>1</v>
      </c>
      <c r="U48" s="108"/>
      <c r="V48" s="108"/>
    </row>
    <row r="49" spans="7:22" x14ac:dyDescent="0.3">
      <c r="G49" s="108"/>
      <c r="H49" s="108"/>
      <c r="I49" s="227">
        <v>1</v>
      </c>
      <c r="J49" s="108"/>
      <c r="K49" s="108"/>
      <c r="L49" s="108"/>
      <c r="M49" s="227">
        <v>1</v>
      </c>
      <c r="N49" s="108"/>
      <c r="O49" s="108"/>
      <c r="P49" s="108"/>
      <c r="Q49" s="227">
        <v>1</v>
      </c>
      <c r="R49" s="108"/>
      <c r="S49" s="108"/>
      <c r="T49" s="108"/>
      <c r="U49" s="227">
        <v>1</v>
      </c>
      <c r="V49" s="108"/>
    </row>
    <row r="50" spans="7:22" x14ac:dyDescent="0.3">
      <c r="G50" s="230">
        <v>0.5</v>
      </c>
      <c r="H50" s="230">
        <v>0.5</v>
      </c>
      <c r="I50" s="108"/>
      <c r="J50" s="108"/>
      <c r="K50" s="230">
        <v>0.5</v>
      </c>
      <c r="L50" s="230">
        <v>0.5</v>
      </c>
      <c r="M50" s="108"/>
      <c r="N50" s="108"/>
      <c r="O50" s="230">
        <v>0.5</v>
      </c>
      <c r="P50" s="230">
        <v>0.5</v>
      </c>
      <c r="Q50" s="108"/>
      <c r="R50" s="108"/>
      <c r="S50" s="230">
        <v>0.5</v>
      </c>
      <c r="T50" s="230">
        <v>0.5</v>
      </c>
      <c r="U50" s="108"/>
      <c r="V50" s="108"/>
    </row>
    <row r="51" spans="7:22" x14ac:dyDescent="0.3">
      <c r="G51" s="108"/>
      <c r="H51" s="108"/>
      <c r="I51" s="227">
        <v>1</v>
      </c>
      <c r="J51" s="108"/>
      <c r="K51" s="108"/>
      <c r="L51" s="108"/>
      <c r="M51" s="227">
        <v>1</v>
      </c>
      <c r="N51" s="108"/>
      <c r="O51" s="108"/>
      <c r="P51" s="108"/>
      <c r="Q51" s="227">
        <v>1</v>
      </c>
      <c r="R51" s="108"/>
      <c r="S51" s="108"/>
      <c r="T51" s="108"/>
      <c r="U51" s="227">
        <v>1</v>
      </c>
      <c r="V51" s="108"/>
    </row>
    <row r="52" spans="7:22" x14ac:dyDescent="0.3">
      <c r="G52" s="108"/>
      <c r="H52" s="108"/>
      <c r="I52" s="227">
        <v>1</v>
      </c>
      <c r="J52" s="108"/>
      <c r="K52" s="108"/>
      <c r="L52" s="108"/>
      <c r="M52" s="227">
        <v>1</v>
      </c>
      <c r="N52" s="108"/>
      <c r="O52" s="108"/>
      <c r="P52" s="108"/>
      <c r="Q52" s="227">
        <v>1</v>
      </c>
      <c r="R52" s="108"/>
      <c r="S52" s="108"/>
      <c r="T52" s="108"/>
      <c r="U52" s="227">
        <v>1</v>
      </c>
      <c r="V52" s="108"/>
    </row>
    <row r="53" spans="7:22" x14ac:dyDescent="0.3">
      <c r="G53" s="108"/>
      <c r="H53" s="108"/>
      <c r="I53" s="227">
        <v>1</v>
      </c>
      <c r="J53" s="108"/>
      <c r="K53" s="108"/>
      <c r="L53" s="108"/>
      <c r="M53" s="227">
        <v>1</v>
      </c>
      <c r="N53" s="108"/>
      <c r="O53" s="108"/>
      <c r="P53" s="108"/>
      <c r="Q53" s="227">
        <v>1</v>
      </c>
      <c r="R53" s="108"/>
      <c r="S53" s="108"/>
      <c r="T53" s="108"/>
      <c r="U53" s="227">
        <v>1</v>
      </c>
      <c r="V53" s="108"/>
    </row>
    <row r="54" spans="7:22" x14ac:dyDescent="0.3">
      <c r="G54" s="108"/>
      <c r="H54" s="230">
        <v>1</v>
      </c>
      <c r="I54" s="227"/>
      <c r="J54" s="108"/>
      <c r="K54" s="108"/>
      <c r="L54" s="230">
        <v>1</v>
      </c>
      <c r="M54" s="227"/>
      <c r="N54" s="108"/>
      <c r="O54" s="108"/>
      <c r="P54" s="230">
        <v>1</v>
      </c>
      <c r="Q54" s="227"/>
      <c r="R54" s="108"/>
      <c r="S54" s="108"/>
      <c r="T54" s="230">
        <v>1</v>
      </c>
      <c r="U54" s="227"/>
      <c r="V54" s="108"/>
    </row>
    <row r="55" spans="7:22" x14ac:dyDescent="0.3">
      <c r="G55" s="108"/>
      <c r="H55" s="108"/>
      <c r="I55" s="227">
        <v>1</v>
      </c>
      <c r="J55" s="108"/>
      <c r="K55" s="108"/>
      <c r="L55" s="108"/>
      <c r="M55" s="227">
        <v>1</v>
      </c>
      <c r="N55" s="108"/>
      <c r="O55" s="108"/>
      <c r="P55" s="108"/>
      <c r="Q55" s="227">
        <v>1</v>
      </c>
      <c r="R55" s="108"/>
      <c r="S55" s="108"/>
      <c r="T55" s="108"/>
      <c r="U55" s="227">
        <v>1</v>
      </c>
      <c r="V55" s="108"/>
    </row>
    <row r="56" spans="7:22" x14ac:dyDescent="0.3">
      <c r="G56" s="108"/>
      <c r="H56" s="108"/>
      <c r="I56" s="227">
        <v>1</v>
      </c>
      <c r="J56" s="108"/>
      <c r="K56" s="108"/>
      <c r="L56" s="108"/>
      <c r="M56" s="227">
        <v>1</v>
      </c>
      <c r="N56" s="108"/>
      <c r="O56" s="108"/>
      <c r="P56" s="108"/>
      <c r="Q56" s="227">
        <v>1</v>
      </c>
      <c r="R56" s="108"/>
      <c r="S56" s="108"/>
      <c r="T56" s="108"/>
      <c r="U56" s="227">
        <v>1</v>
      </c>
      <c r="V56" s="108"/>
    </row>
    <row r="57" spans="7:22" x14ac:dyDescent="0.3"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</row>
  </sheetData>
  <mergeCells count="22">
    <mergeCell ref="M3:P3"/>
    <mergeCell ref="C17:F17"/>
    <mergeCell ref="C18:F18"/>
    <mergeCell ref="A20:A26"/>
    <mergeCell ref="D3:H3"/>
    <mergeCell ref="I3:L3"/>
    <mergeCell ref="A5:A11"/>
    <mergeCell ref="G17:V17"/>
    <mergeCell ref="G18:J18"/>
    <mergeCell ref="K18:N18"/>
    <mergeCell ref="O18:R18"/>
    <mergeCell ref="S18:V18"/>
    <mergeCell ref="G28:V28"/>
    <mergeCell ref="G29:J29"/>
    <mergeCell ref="K29:N29"/>
    <mergeCell ref="O29:R29"/>
    <mergeCell ref="S29:V29"/>
    <mergeCell ref="G39:V39"/>
    <mergeCell ref="G40:J40"/>
    <mergeCell ref="K40:N40"/>
    <mergeCell ref="O40:R40"/>
    <mergeCell ref="S40:V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RUN 2 CENTRAL &gt;&gt;&gt;</vt:lpstr>
      <vt:lpstr>Agri</vt:lpstr>
      <vt:lpstr>Alim°</vt:lpstr>
      <vt:lpstr>Cultures interm</vt:lpstr>
      <vt:lpstr>EN_tracteurs</vt:lpstr>
      <vt:lpstr>EN_autres</vt:lpstr>
      <vt:lpstr>UTCATF</vt:lpstr>
      <vt:lpstr>Biomasse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CHAIGNEAU Yanis</cp:lastModifiedBy>
  <dcterms:created xsi:type="dcterms:W3CDTF">2022-07-04T14:47:04Z</dcterms:created>
  <dcterms:modified xsi:type="dcterms:W3CDTF">2023-09-26T08:49:09Z</dcterms:modified>
</cp:coreProperties>
</file>