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4_Inventaires d'émissions, prospective et évaluation\42_Prospective\421_Scénarios prospectifs DGEC\4215_Scénarios 2023\16-LULUCF\43_Hypothèses AMS run2\"/>
    </mc:Choice>
  </mc:AlternateContent>
  <bookViews>
    <workbookView xWindow="0" yWindow="0" windowWidth="16380" windowHeight="8196" tabRatio="500" activeTab="3"/>
  </bookViews>
  <sheets>
    <sheet name="Résultats" sheetId="1" r:id="rId1"/>
    <sheet name="Historique_" sheetId="2" r:id="rId2"/>
    <sheet name="AME 2023" sheetId="3" r:id="rId3"/>
    <sheet name="AMS 2023" sheetId="4" r:id="rId4"/>
    <sheet name="AME 2021" sheetId="5" r:id="rId5"/>
    <sheet name="AME 2021 bis" sheetId="6" r:id="rId6"/>
    <sheet name="AME 2018" sheetId="7" r:id="rId7"/>
    <sheet name="AMS 2018" sheetId="8" r:id="rId8"/>
    <sheet name="comparaison Agreste" sheetId="9" r:id="rId9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41" i="4" l="1"/>
  <c r="M40" i="4"/>
  <c r="J15" i="9"/>
  <c r="I15" i="9"/>
  <c r="N11" i="9"/>
  <c r="M11" i="9"/>
  <c r="K11" i="9"/>
  <c r="I11" i="9"/>
  <c r="H11" i="9"/>
  <c r="F11" i="9"/>
  <c r="E11" i="9"/>
  <c r="N9" i="9"/>
  <c r="M9" i="9"/>
  <c r="L9" i="9"/>
  <c r="L11" i="9" s="1"/>
  <c r="K9" i="9"/>
  <c r="J9" i="9"/>
  <c r="J11" i="9" s="1"/>
  <c r="I9" i="9"/>
  <c r="H9" i="9"/>
  <c r="G9" i="9"/>
  <c r="G11" i="9" s="1"/>
  <c r="F9" i="9"/>
  <c r="E9" i="9"/>
  <c r="D9" i="9"/>
  <c r="D11" i="9" s="1"/>
  <c r="C9" i="9"/>
  <c r="D4" i="9"/>
  <c r="E4" i="9" s="1"/>
  <c r="F4" i="9" s="1"/>
  <c r="G4" i="9" s="1"/>
  <c r="H4" i="9" s="1"/>
  <c r="I4" i="9" s="1"/>
  <c r="J4" i="9" s="1"/>
  <c r="K4" i="9" s="1"/>
  <c r="L4" i="9" s="1"/>
  <c r="M4" i="9" s="1"/>
  <c r="N4" i="9" s="1"/>
  <c r="O4" i="9" s="1"/>
  <c r="P4" i="9" s="1"/>
  <c r="Q4" i="9" s="1"/>
  <c r="R4" i="9" s="1"/>
  <c r="S4" i="9" s="1"/>
  <c r="T4" i="9" s="1"/>
  <c r="U4" i="9" s="1"/>
  <c r="V4" i="9" s="1"/>
  <c r="W4" i="9" s="1"/>
  <c r="X4" i="9" s="1"/>
  <c r="Y4" i="9" s="1"/>
  <c r="N47" i="8"/>
  <c r="O47" i="8" s="1"/>
  <c r="P47" i="8" s="1"/>
  <c r="Q47" i="8" s="1"/>
  <c r="R47" i="8" s="1"/>
  <c r="S47" i="8" s="1"/>
  <c r="T47" i="8" s="1"/>
  <c r="U47" i="8" s="1"/>
  <c r="G35" i="8"/>
  <c r="I34" i="8"/>
  <c r="I31" i="8" s="1"/>
  <c r="I25" i="8"/>
  <c r="H25" i="8"/>
  <c r="H15" i="8" s="1"/>
  <c r="H24" i="8"/>
  <c r="G24" i="8"/>
  <c r="G25" i="8" s="1"/>
  <c r="I22" i="8"/>
  <c r="I15" i="8" s="1"/>
  <c r="H22" i="8"/>
  <c r="H21" i="8"/>
  <c r="G21" i="8"/>
  <c r="G22" i="8" s="1"/>
  <c r="G15" i="8" s="1"/>
  <c r="G17" i="8"/>
  <c r="M10" i="8"/>
  <c r="N10" i="8" s="1"/>
  <c r="P9" i="8"/>
  <c r="O9" i="8"/>
  <c r="N9" i="8"/>
  <c r="I7" i="8"/>
  <c r="H7" i="8"/>
  <c r="G7" i="8"/>
  <c r="N47" i="7"/>
  <c r="O47" i="7" s="1"/>
  <c r="P47" i="7" s="1"/>
  <c r="Q47" i="7" s="1"/>
  <c r="R47" i="7" s="1"/>
  <c r="S47" i="7" s="1"/>
  <c r="T47" i="7" s="1"/>
  <c r="U47" i="7" s="1"/>
  <c r="I35" i="7"/>
  <c r="H35" i="7"/>
  <c r="G35" i="7"/>
  <c r="G25" i="7"/>
  <c r="G24" i="7"/>
  <c r="H24" i="7" s="1"/>
  <c r="G21" i="7"/>
  <c r="H21" i="7" s="1"/>
  <c r="G17" i="7"/>
  <c r="G22" i="7" s="1"/>
  <c r="G15" i="7" s="1"/>
  <c r="O10" i="7"/>
  <c r="N10" i="7"/>
  <c r="M10" i="7"/>
  <c r="P10" i="7" s="1"/>
  <c r="P9" i="7"/>
  <c r="O9" i="7"/>
  <c r="H7" i="7" s="1"/>
  <c r="N9" i="7"/>
  <c r="G7" i="7" s="1"/>
  <c r="I7" i="7"/>
  <c r="G41" i="6"/>
  <c r="K37" i="6"/>
  <c r="I36" i="6"/>
  <c r="I33" i="6" s="1"/>
  <c r="I42" i="6" s="1"/>
  <c r="H36" i="6"/>
  <c r="H33" i="6" s="1"/>
  <c r="H42" i="6" s="1"/>
  <c r="G31" i="6"/>
  <c r="I27" i="6"/>
  <c r="H27" i="6"/>
  <c r="G27" i="6"/>
  <c r="K26" i="6"/>
  <c r="I24" i="6"/>
  <c r="I15" i="6" s="1"/>
  <c r="H24" i="6"/>
  <c r="H15" i="6" s="1"/>
  <c r="K23" i="6"/>
  <c r="G19" i="6"/>
  <c r="G24" i="6" s="1"/>
  <c r="G15" i="6" s="1"/>
  <c r="G13" i="6"/>
  <c r="G41" i="5"/>
  <c r="K37" i="5"/>
  <c r="G36" i="5"/>
  <c r="G33" i="5" s="1"/>
  <c r="G31" i="5"/>
  <c r="I27" i="5"/>
  <c r="H27" i="5"/>
  <c r="K26" i="5"/>
  <c r="I24" i="5"/>
  <c r="H24" i="5"/>
  <c r="H15" i="5" s="1"/>
  <c r="K23" i="5"/>
  <c r="G19" i="5"/>
  <c r="G27" i="5" s="1"/>
  <c r="I15" i="5"/>
  <c r="I8" i="5" s="1"/>
  <c r="I9" i="5" s="1"/>
  <c r="G13" i="5"/>
  <c r="F44" i="4"/>
  <c r="G43" i="4"/>
  <c r="F39" i="4"/>
  <c r="F38" i="4"/>
  <c r="F34" i="4" s="1"/>
  <c r="F36" i="4" s="1"/>
  <c r="F33" i="4"/>
  <c r="G32" i="4"/>
  <c r="F27" i="4"/>
  <c r="F26" i="4"/>
  <c r="G26" i="4" s="1"/>
  <c r="F23" i="4"/>
  <c r="G23" i="4" s="1"/>
  <c r="F22" i="4"/>
  <c r="F20" i="4"/>
  <c r="F14" i="4"/>
  <c r="G13" i="4"/>
  <c r="F7" i="4"/>
  <c r="F43" i="3"/>
  <c r="G42" i="3"/>
  <c r="F38" i="3"/>
  <c r="F37" i="3"/>
  <c r="F35" i="3"/>
  <c r="F34" i="3"/>
  <c r="F33" i="3"/>
  <c r="G32" i="3"/>
  <c r="I28" i="3"/>
  <c r="H28" i="3"/>
  <c r="G28" i="3"/>
  <c r="G15" i="3" s="1"/>
  <c r="F27" i="3"/>
  <c r="F26" i="3"/>
  <c r="I25" i="3"/>
  <c r="I15" i="3" s="1"/>
  <c r="H25" i="3"/>
  <c r="H15" i="3" s="1"/>
  <c r="G25" i="3"/>
  <c r="F23" i="3"/>
  <c r="F22" i="3"/>
  <c r="F20" i="3"/>
  <c r="F14" i="3"/>
  <c r="G13" i="3"/>
  <c r="F7" i="3"/>
  <c r="AF51" i="2"/>
  <c r="P26" i="2" s="1"/>
  <c r="AE51" i="2"/>
  <c r="O26" i="2" s="1"/>
  <c r="AD51" i="2"/>
  <c r="W49" i="2"/>
  <c r="X49" i="2" s="1"/>
  <c r="Y49" i="2" s="1"/>
  <c r="Z49" i="2" s="1"/>
  <c r="AA49" i="2" s="1"/>
  <c r="AB49" i="2" s="1"/>
  <c r="AC49" i="2" s="1"/>
  <c r="V49" i="2"/>
  <c r="O44" i="2"/>
  <c r="N44" i="2"/>
  <c r="M44" i="2"/>
  <c r="L44" i="2"/>
  <c r="K44" i="2"/>
  <c r="J44" i="2"/>
  <c r="I44" i="2"/>
  <c r="H44" i="2"/>
  <c r="G44" i="2"/>
  <c r="F44" i="2"/>
  <c r="AD40" i="2"/>
  <c r="I34" i="4" s="1"/>
  <c r="AB40" i="2"/>
  <c r="I37" i="3" s="1"/>
  <c r="I34" i="3" s="1"/>
  <c r="Z40" i="2"/>
  <c r="X40" i="2"/>
  <c r="I36" i="5" s="1"/>
  <c r="I33" i="5" s="1"/>
  <c r="I42" i="5" s="1"/>
  <c r="V40" i="2"/>
  <c r="I34" i="7" s="1"/>
  <c r="I31" i="7" s="1"/>
  <c r="AD39" i="2"/>
  <c r="H34" i="4" s="1"/>
  <c r="AB39" i="2"/>
  <c r="H37" i="3" s="1"/>
  <c r="H34" i="3" s="1"/>
  <c r="Z39" i="2"/>
  <c r="H34" i="8" s="1"/>
  <c r="H31" i="8" s="1"/>
  <c r="H40" i="8" s="1"/>
  <c r="X39" i="2"/>
  <c r="H36" i="5" s="1"/>
  <c r="H33" i="5" s="1"/>
  <c r="H42" i="5" s="1"/>
  <c r="V39" i="2"/>
  <c r="H34" i="7" s="1"/>
  <c r="H31" i="7" s="1"/>
  <c r="AD38" i="2"/>
  <c r="AB38" i="2"/>
  <c r="G37" i="3" s="1"/>
  <c r="G34" i="3" s="1"/>
  <c r="Z38" i="2"/>
  <c r="G34" i="8" s="1"/>
  <c r="G31" i="8" s="1"/>
  <c r="X38" i="2"/>
  <c r="G36" i="6" s="1"/>
  <c r="G33" i="6" s="1"/>
  <c r="V38" i="2"/>
  <c r="G34" i="7" s="1"/>
  <c r="G31" i="7" s="1"/>
  <c r="P37" i="2"/>
  <c r="P33" i="2" s="1"/>
  <c r="O37" i="2"/>
  <c r="N37" i="2"/>
  <c r="M37" i="2"/>
  <c r="L37" i="2"/>
  <c r="K37" i="2"/>
  <c r="J37" i="2"/>
  <c r="I37" i="2"/>
  <c r="I33" i="2" s="1"/>
  <c r="H37" i="2"/>
  <c r="H33" i="2" s="1"/>
  <c r="G37" i="2"/>
  <c r="G33" i="2" s="1"/>
  <c r="F37" i="2"/>
  <c r="O33" i="2"/>
  <c r="N33" i="2"/>
  <c r="M33" i="2"/>
  <c r="M34" i="2" s="1"/>
  <c r="L33" i="2"/>
  <c r="L34" i="2" s="1"/>
  <c r="K33" i="2"/>
  <c r="K34" i="2" s="1"/>
  <c r="J33" i="2"/>
  <c r="J34" i="2" s="1"/>
  <c r="F33" i="2"/>
  <c r="W27" i="2"/>
  <c r="W28" i="2" s="1"/>
  <c r="V27" i="2"/>
  <c r="V28" i="2" s="1"/>
  <c r="U27" i="2"/>
  <c r="U28" i="2" s="1"/>
  <c r="X26" i="2"/>
  <c r="X27" i="2" s="1"/>
  <c r="X28" i="2" s="1"/>
  <c r="W26" i="2"/>
  <c r="V26" i="2"/>
  <c r="U26" i="2"/>
  <c r="N26" i="2"/>
  <c r="M26" i="2"/>
  <c r="L26" i="2"/>
  <c r="K26" i="2"/>
  <c r="J26" i="2"/>
  <c r="I26" i="2"/>
  <c r="H26" i="2"/>
  <c r="G26" i="2"/>
  <c r="F26" i="2"/>
  <c r="X25" i="2"/>
  <c r="W25" i="2"/>
  <c r="V25" i="2"/>
  <c r="U25" i="2"/>
  <c r="AD23" i="2"/>
  <c r="M20" i="2" s="1"/>
  <c r="AC23" i="2"/>
  <c r="L20" i="2" s="1"/>
  <c r="AB23" i="2"/>
  <c r="K20" i="2" s="1"/>
  <c r="AA23" i="2"/>
  <c r="G20" i="2" s="1"/>
  <c r="O23" i="2"/>
  <c r="N23" i="2"/>
  <c r="F24" i="3" s="1"/>
  <c r="M23" i="2"/>
  <c r="L23" i="2"/>
  <c r="K23" i="2"/>
  <c r="J23" i="2"/>
  <c r="I23" i="2"/>
  <c r="H23" i="2"/>
  <c r="G23" i="2"/>
  <c r="F23" i="2"/>
  <c r="X21" i="2"/>
  <c r="W21" i="2"/>
  <c r="V21" i="2"/>
  <c r="V22" i="2" s="1"/>
  <c r="V23" i="2" s="1"/>
  <c r="U21" i="2"/>
  <c r="U22" i="2" s="1"/>
  <c r="U23" i="2" s="1"/>
  <c r="X20" i="2"/>
  <c r="X22" i="2" s="1"/>
  <c r="X23" i="2" s="1"/>
  <c r="W20" i="2"/>
  <c r="W22" i="2" s="1"/>
  <c r="W23" i="2" s="1"/>
  <c r="V20" i="2"/>
  <c r="U20" i="2"/>
  <c r="J19" i="2"/>
  <c r="G34" i="4" l="1"/>
  <c r="G36" i="4" s="1"/>
  <c r="I24" i="7"/>
  <c r="I25" i="7" s="1"/>
  <c r="H25" i="7"/>
  <c r="L27" i="2"/>
  <c r="L24" i="2"/>
  <c r="L15" i="2" s="1"/>
  <c r="L8" i="2" s="1"/>
  <c r="L9" i="2" s="1"/>
  <c r="H43" i="3"/>
  <c r="H35" i="3"/>
  <c r="G8" i="8"/>
  <c r="G9" i="8" s="1"/>
  <c r="M24" i="2"/>
  <c r="M27" i="2"/>
  <c r="H36" i="4"/>
  <c r="G25" i="4"/>
  <c r="H23" i="4"/>
  <c r="H8" i="5"/>
  <c r="H9" i="5" s="1"/>
  <c r="H8" i="6"/>
  <c r="H9" i="6" s="1"/>
  <c r="I8" i="6"/>
  <c r="I9" i="6" s="1"/>
  <c r="H40" i="7"/>
  <c r="G34" i="6"/>
  <c r="G42" i="6"/>
  <c r="G8" i="6" s="1"/>
  <c r="G9" i="6" s="1"/>
  <c r="H8" i="3"/>
  <c r="H9" i="3" s="1"/>
  <c r="I40" i="7"/>
  <c r="G32" i="8"/>
  <c r="G40" i="8"/>
  <c r="H8" i="8"/>
  <c r="H9" i="8" s="1"/>
  <c r="H22" i="7"/>
  <c r="H15" i="7" s="1"/>
  <c r="I21" i="7"/>
  <c r="I22" i="7" s="1"/>
  <c r="I15" i="7" s="1"/>
  <c r="G24" i="2"/>
  <c r="G27" i="2"/>
  <c r="K24" i="2"/>
  <c r="K27" i="2"/>
  <c r="H26" i="4"/>
  <c r="G28" i="4"/>
  <c r="G32" i="7"/>
  <c r="G40" i="7"/>
  <c r="G8" i="7" s="1"/>
  <c r="G9" i="7" s="1"/>
  <c r="I35" i="3"/>
  <c r="I43" i="3"/>
  <c r="I36" i="4"/>
  <c r="I8" i="3"/>
  <c r="I9" i="3" s="1"/>
  <c r="G43" i="3"/>
  <c r="G8" i="3" s="1"/>
  <c r="G9" i="3" s="1"/>
  <c r="G35" i="3"/>
  <c r="G34" i="5"/>
  <c r="I40" i="8"/>
  <c r="I8" i="8" s="1"/>
  <c r="I9" i="8" s="1"/>
  <c r="O10" i="8"/>
  <c r="G24" i="5"/>
  <c r="G15" i="5" s="1"/>
  <c r="G42" i="5" s="1"/>
  <c r="P10" i="8"/>
  <c r="F24" i="4"/>
  <c r="I20" i="2"/>
  <c r="P23" i="2"/>
  <c r="AE23" i="2"/>
  <c r="AF23" i="2"/>
  <c r="O20" i="2" s="1"/>
  <c r="H20" i="2"/>
  <c r="F20" i="2"/>
  <c r="J20" i="2"/>
  <c r="J27" i="2" s="1"/>
  <c r="G35" i="4" l="1"/>
  <c r="M15" i="2"/>
  <c r="M8" i="2" s="1"/>
  <c r="M9" i="2" s="1"/>
  <c r="H8" i="7"/>
  <c r="H9" i="7" s="1"/>
  <c r="F27" i="2"/>
  <c r="F24" i="2"/>
  <c r="F15" i="2" s="1"/>
  <c r="F8" i="2" s="1"/>
  <c r="F9" i="2" s="1"/>
  <c r="K15" i="2"/>
  <c r="K8" i="2" s="1"/>
  <c r="K9" i="2" s="1"/>
  <c r="G15" i="2"/>
  <c r="G8" i="2" s="1"/>
  <c r="G9" i="2" s="1"/>
  <c r="I24" i="2"/>
  <c r="I27" i="2"/>
  <c r="G8" i="5"/>
  <c r="G9" i="5" s="1"/>
  <c r="H25" i="4"/>
  <c r="I23" i="4"/>
  <c r="I25" i="4" s="1"/>
  <c r="I26" i="4"/>
  <c r="I28" i="4" s="1"/>
  <c r="H28" i="4"/>
  <c r="I8" i="7"/>
  <c r="I9" i="7" s="1"/>
  <c r="H27" i="2"/>
  <c r="H24" i="2"/>
  <c r="H15" i="2" s="1"/>
  <c r="H8" i="2" s="1"/>
  <c r="H9" i="2" s="1"/>
  <c r="O27" i="2"/>
  <c r="O24" i="2"/>
  <c r="O15" i="2" s="1"/>
  <c r="O8" i="2" s="1"/>
  <c r="AG23" i="2"/>
  <c r="P20" i="2" s="1"/>
  <c r="N20" i="2"/>
  <c r="J24" i="2"/>
  <c r="J15" i="2" s="1"/>
  <c r="J8" i="2" s="1"/>
  <c r="J9" i="2" s="1"/>
  <c r="G15" i="4"/>
  <c r="H15" i="4" l="1"/>
  <c r="F21" i="4"/>
  <c r="N27" i="2"/>
  <c r="N24" i="2"/>
  <c r="F21" i="3"/>
  <c r="P27" i="2"/>
  <c r="P24" i="2"/>
  <c r="P15" i="2" s="1"/>
  <c r="P8" i="2" s="1"/>
  <c r="H44" i="4"/>
  <c r="I15" i="2"/>
  <c r="I8" i="2" s="1"/>
  <c r="I9" i="2" s="1"/>
  <c r="I15" i="4"/>
  <c r="G44" i="4"/>
  <c r="F25" i="3" l="1"/>
  <c r="N15" i="2"/>
  <c r="N8" i="2" s="1"/>
  <c r="F25" i="4"/>
  <c r="I44" i="4"/>
  <c r="F28" i="3"/>
  <c r="F28" i="4"/>
  <c r="F15" i="4" l="1"/>
  <c r="F15" i="3"/>
  <c r="F16" i="4" l="1"/>
  <c r="G16" i="4"/>
  <c r="G8" i="4" s="1"/>
  <c r="G9" i="4" s="1"/>
  <c r="F16" i="3"/>
  <c r="G16" i="3"/>
  <c r="F8" i="3" l="1"/>
  <c r="H16" i="3"/>
  <c r="I16" i="3"/>
  <c r="F8" i="4"/>
  <c r="H16" i="4"/>
  <c r="H8" i="4" s="1"/>
  <c r="H9" i="4" s="1"/>
  <c r="I16" i="4"/>
  <c r="I8" i="4" s="1"/>
  <c r="I9" i="4" s="1"/>
</calcChain>
</file>

<file path=xl/sharedStrings.xml><?xml version="1.0" encoding="utf-8"?>
<sst xmlns="http://schemas.openxmlformats.org/spreadsheetml/2006/main" count="303" uniqueCount="107">
  <si>
    <t>Historique calculé</t>
  </si>
  <si>
    <t>Sources</t>
  </si>
  <si>
    <t>Metropole</t>
  </si>
  <si>
    <t>Historique observatoire</t>
  </si>
  <si>
    <t>Artificialisation historique (ha/an)</t>
  </si>
  <si>
    <t>Observatoire artif</t>
  </si>
  <si>
    <t>https://artificialisation.developpement-durable.gouv.fr/suivi-consommation-espaces-naf#paragraph--2164</t>
  </si>
  <si>
    <t>Artificialisation (calculée)</t>
  </si>
  <si>
    <t>Artificialisation en ha Agrste</t>
  </si>
  <si>
    <t>1. Artificialisation - logement (ha/an)</t>
  </si>
  <si>
    <t>Surfaces logement (historiques)</t>
  </si>
  <si>
    <t>Surfaces logement (calculées)</t>
  </si>
  <si>
    <t>calcul</t>
  </si>
  <si>
    <t>population (Mhab, Fr métropolitaine)</t>
  </si>
  <si>
    <t>Taille moyenne des ménages (hab/lgt)</t>
  </si>
  <si>
    <t>Nombre de constructions neuves (milliers)</t>
  </si>
  <si>
    <t>Sitadel, logements commencés Fr métropolitaine</t>
  </si>
  <si>
    <t>prise en compte des destructions?!</t>
  </si>
  <si>
    <t>Sitadel logement</t>
  </si>
  <si>
    <t>Part des constructions neuves hors surface existante</t>
  </si>
  <si>
    <t xml:space="preserve">Sitadel </t>
  </si>
  <si>
    <t>MI =moy*2</t>
  </si>
  <si>
    <t>construction sur existant</t>
  </si>
  <si>
    <t>% MI dans les constructions neuves</t>
  </si>
  <si>
    <t>Sitadel</t>
  </si>
  <si>
    <t>LC = moy/2</t>
  </si>
  <si>
    <t>construction nouvelle</t>
  </si>
  <si>
    <t>MI</t>
  </si>
  <si>
    <t>taille moyenne des logements (m²)</t>
  </si>
  <si>
    <t>Sitdatel</t>
  </si>
  <si>
    <t>Total</t>
  </si>
  <si>
    <t>total</t>
  </si>
  <si>
    <t>surface artificialisée par m² construit</t>
  </si>
  <si>
    <t>diff</t>
  </si>
  <si>
    <t>% hors existant</t>
  </si>
  <si>
    <t>Surface artificialisée (ha)</t>
  </si>
  <si>
    <t>LC</t>
  </si>
  <si>
    <t>MI = moy*1,4</t>
  </si>
  <si>
    <t>LC =moy/1,4</t>
  </si>
  <si>
    <t>Conclusion : MI consomme 1,4 fois plus que la moyenne, et LC 1,4 fois moins</t>
  </si>
  <si>
    <t>2. Artificialisation - surfaces commerciales (ha/an)</t>
  </si>
  <si>
    <t>Surfaces commerciales (historiques)</t>
  </si>
  <si>
    <t>Surfaces commerciales (calculées)</t>
  </si>
  <si>
    <t>Surfaces commerciales (corrigées)</t>
  </si>
  <si>
    <t>ne s'applique que si on prend les surfaces périmètre modèle tertiaire</t>
  </si>
  <si>
    <t>Mm²</t>
  </si>
  <si>
    <t>périmètre modèle tertiaire AME18</t>
  </si>
  <si>
    <t>périmètre Sitadel AME18</t>
  </si>
  <si>
    <t>périm modèle tertiaire AME21</t>
  </si>
  <si>
    <t>périmètre Sitadel AME21</t>
  </si>
  <si>
    <t>périm modèle tertiaire AMS18</t>
  </si>
  <si>
    <t>perim sitadel AMS18</t>
  </si>
  <si>
    <t>AME23 périm modèle</t>
  </si>
  <si>
    <t>AME23 périm Sitadel</t>
  </si>
  <si>
    <t>AMS23 modèle</t>
  </si>
  <si>
    <t>AMS23 Sitadel</t>
  </si>
  <si>
    <t>Construction neuve tertaire (Mm²)</t>
  </si>
  <si>
    <t>Sitadel locaux commencés, date réelle</t>
  </si>
  <si>
    <t xml:space="preserve">surface artificialisée par m² construit </t>
  </si>
  <si>
    <t>3. Artificialisation - surfaces mixtes et non renseignées (ha/an)</t>
  </si>
  <si>
    <t>% surfaces artificialisées pour le logement et les surfaces commerciales</t>
  </si>
  <si>
    <t>relative stabilité depuis 2009</t>
  </si>
  <si>
    <t>Efficacité de la construction (m² construits / m² artificialisés)</t>
  </si>
  <si>
    <t>activité_obs</t>
  </si>
  <si>
    <t>habitat_obs</t>
  </si>
  <si>
    <t>activité_sitadel</t>
  </si>
  <si>
    <t>habitat_sitadel</t>
  </si>
  <si>
    <t>AME 23</t>
  </si>
  <si>
    <t>Surfaces calculées rebasées 2019</t>
  </si>
  <si>
    <t>màj 21/11/22</t>
  </si>
  <si>
    <t>Surfaces commerciales calculées rebasées 2019</t>
  </si>
  <si>
    <t>Hors déconstruction/reconstruction</t>
  </si>
  <si>
    <t>4. Dé-artificialisation - surfaces renaturées (ha/an)</t>
  </si>
  <si>
    <t>AMS 23</t>
  </si>
  <si>
    <t>à discuter</t>
  </si>
  <si>
    <t>hyp bâtiment</t>
  </si>
  <si>
    <t>AME21</t>
  </si>
  <si>
    <t>variante bis</t>
  </si>
  <si>
    <t xml:space="preserve">AME21 bis </t>
  </si>
  <si>
    <t>(en prolongeant jusqu'à 2030 les tendances sur l'efficacité de la construction)</t>
  </si>
  <si>
    <t>AME18 calculé</t>
  </si>
  <si>
    <t>AME 2018 climagri</t>
  </si>
  <si>
    <t xml:space="preserve">AME18 </t>
  </si>
  <si>
    <t>Ha agreste</t>
  </si>
  <si>
    <t>Artificialisation en ha Agreste</t>
  </si>
  <si>
    <t>Ha OAS</t>
  </si>
  <si>
    <t>Ha calculés</t>
  </si>
  <si>
    <t>% des surfaces artificialisées pour le logement et les surfaces commerciales</t>
  </si>
  <si>
    <t>activité</t>
  </si>
  <si>
    <t>habitat</t>
  </si>
  <si>
    <t>AMS18 calculé</t>
  </si>
  <si>
    <t xml:space="preserve">AMS18 </t>
  </si>
  <si>
    <t>Tendanciel DHUP</t>
  </si>
  <si>
    <t>FR entière</t>
  </si>
  <si>
    <t>Sols artificialisés (ha)</t>
  </si>
  <si>
    <t>https://agreste.agriculture.gouv.fr/agreste-saiku/?plugin=true&amp;query=query/open/SAANR_1#query/open/SAANR_1</t>
  </si>
  <si>
    <t>Augmentation annuelle Agreste</t>
  </si>
  <si>
    <t>Augmentation annuelle Observatoire</t>
  </si>
  <si>
    <t>Ratio</t>
  </si>
  <si>
    <t>moy 15-20</t>
  </si>
  <si>
    <t>Moy 25-30</t>
  </si>
  <si>
    <t>OAS</t>
  </si>
  <si>
    <t>Agreste</t>
  </si>
  <si>
    <t>màj 18/07/23, hypothèses DGEC run2</t>
  </si>
  <si>
    <t xml:space="preserve">1ha = </t>
  </si>
  <si>
    <t>Constant</t>
  </si>
  <si>
    <t>Hors déconstruction/reconstruction. 0 Mm² tertiaire + 2kha ré-industrialisation (1,5kha à 2030, 0,5 à 2040)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</si>
</sst>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_-* #,##0_-;\-* #,##0_-;_-* \-_-;_-@_-"/>
    <numFmt numFmtId="165" formatCode="_(\$* #,##0_);_(\$* \(#,##0\);_(\$* \-_);_(@_)"/>
    <numFmt numFmtId="166" formatCode="_-* #,##0.00\ _€_-;\-* #,##0.00\ _€_-;_-* \-??\ _€_-;_-@_-"/>
    <numFmt numFmtId="167" formatCode="_-* #,##0.00_-;\-* #,##0.00_-;_-* \-??_-;_-@_-"/>
    <numFmt numFmtId="168" formatCode="0\ %"/>
    <numFmt numFmtId="169" formatCode="#,##0.00\ [$€-40C];[Red]\-#,##0.00\ [$€-40C]"/>
    <numFmt numFmtId="171" formatCode="_-* #,##0_-;\-* #,##0_-;_-* \-??_-;_-@_-"/>
    <numFmt numFmtId="172" formatCode="0.00\ %"/>
    <numFmt numFmtId="173" formatCode="0.0"/>
    <numFmt numFmtId="174" formatCode="_-* #,##0.0_-;\-* #,##0.0_-;_-* \-??_-;_-@_-"/>
    <numFmt numFmtId="175" formatCode="0.000"/>
  </numFmts>
  <fonts count="15">
    <font>
      <sz val="11"/>
      <color rgb="FF000000"/>
      <name val="Calibri"/>
      <family val="2"/>
      <charset val="1"/>
    </font>
    <font>
      <sz val="11"/>
      <color rgb="FF000000"/>
      <name val="Arial1"/>
      <family val="2"/>
      <charset val="1"/>
    </font>
    <font>
      <b/>
      <sz val="11"/>
      <color rgb="FF000000"/>
      <name val="Arial"/>
      <family val="2"/>
      <charset val="1"/>
    </font>
    <font>
      <b/>
      <i/>
      <sz val="16"/>
      <color rgb="FF000000"/>
      <name val="Arial"/>
      <family val="2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10"/>
      <name val="MS Sans Serif"/>
      <family val="2"/>
      <charset val="1"/>
    </font>
    <font>
      <sz val="11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b/>
      <sz val="11"/>
      <color rgb="FF000000"/>
      <name val="Calibri"/>
      <charset val="1"/>
    </font>
    <font>
      <b/>
      <sz val="12"/>
      <color rgb="FF000000"/>
      <name val="Calibri"/>
      <charset val="1"/>
    </font>
    <font>
      <b/>
      <sz val="11"/>
      <color rgb="FFFFC000"/>
      <name val="Calibri"/>
      <charset val="1"/>
    </font>
    <font>
      <sz val="11"/>
      <color rgb="FFED7D31"/>
      <name val="Calibri"/>
      <family val="2"/>
      <charset val="1"/>
    </font>
    <font>
      <b/>
      <sz val="11"/>
      <color rgb="FFED7D31"/>
      <name val="Calibri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A6A6A6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3B3838"/>
        <bgColor rgb="FF333300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A5A5A5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1">
    <xf numFmtId="0" fontId="0" fillId="0" borderId="0"/>
    <xf numFmtId="167" fontId="14" fillId="0" borderId="0" applyBorder="0" applyProtection="0"/>
    <xf numFmtId="168" fontId="14" fillId="0" borderId="0" applyBorder="0" applyProtection="0"/>
    <xf numFmtId="0" fontId="1" fillId="0" borderId="1"/>
    <xf numFmtId="164" fontId="14" fillId="0" borderId="0" applyBorder="0" applyProtection="0"/>
    <xf numFmtId="165" fontId="14" fillId="0" borderId="0" applyBorder="0" applyProtection="0"/>
    <xf numFmtId="0" fontId="2" fillId="2" borderId="1"/>
    <xf numFmtId="0" fontId="3" fillId="0" borderId="0">
      <alignment horizontal="center" textRotation="90"/>
    </xf>
    <xf numFmtId="166" fontId="14" fillId="0" borderId="0" applyBorder="0" applyProtection="0"/>
    <xf numFmtId="166" fontId="14" fillId="0" borderId="0" applyBorder="0" applyProtection="0"/>
    <xf numFmtId="166" fontId="14" fillId="0" borderId="0" applyBorder="0" applyProtection="0"/>
    <xf numFmtId="167" fontId="14" fillId="0" borderId="0" applyBorder="0" applyProtection="0"/>
    <xf numFmtId="0" fontId="14" fillId="0" borderId="0"/>
    <xf numFmtId="0" fontId="4" fillId="0" borderId="0"/>
    <xf numFmtId="0" fontId="14" fillId="0" borderId="0"/>
    <xf numFmtId="0" fontId="5" fillId="0" borderId="0"/>
    <xf numFmtId="0" fontId="14" fillId="0" borderId="0"/>
    <xf numFmtId="0" fontId="5" fillId="0" borderId="0"/>
    <xf numFmtId="0" fontId="6" fillId="0" borderId="0"/>
    <xf numFmtId="0" fontId="14" fillId="0" borderId="0"/>
    <xf numFmtId="0" fontId="4" fillId="0" borderId="0"/>
    <xf numFmtId="0" fontId="14" fillId="0" borderId="0"/>
    <xf numFmtId="0" fontId="7" fillId="0" borderId="0"/>
    <xf numFmtId="0" fontId="4" fillId="0" borderId="0"/>
    <xf numFmtId="168" fontId="14" fillId="0" borderId="0" applyBorder="0" applyProtection="0"/>
    <xf numFmtId="168" fontId="14" fillId="0" borderId="0" applyBorder="0" applyProtection="0"/>
    <xf numFmtId="168" fontId="14" fillId="0" borderId="0" applyBorder="0" applyProtection="0"/>
    <xf numFmtId="168" fontId="14" fillId="0" borderId="0" applyBorder="0" applyProtection="0"/>
    <xf numFmtId="0" fontId="8" fillId="0" borderId="0"/>
    <xf numFmtId="169" fontId="8" fillId="0" borderId="0"/>
    <xf numFmtId="0" fontId="14" fillId="3" borderId="0">
      <alignment wrapText="1"/>
    </xf>
  </cellStyleXfs>
  <cellXfs count="95">
    <xf numFmtId="0" fontId="0" fillId="0" borderId="0" xfId="0"/>
    <xf numFmtId="0" fontId="10" fillId="4" borderId="10" xfId="0" applyFont="1" applyFill="1" applyBorder="1" applyAlignment="1">
      <alignment horizontal="left" wrapText="1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0" xfId="0" applyFont="1" applyBorder="1"/>
    <xf numFmtId="0" fontId="0" fillId="3" borderId="5" xfId="0" applyFill="1" applyBorder="1"/>
    <xf numFmtId="0" fontId="0" fillId="3" borderId="0" xfId="0" applyFont="1" applyFill="1" applyBorder="1"/>
    <xf numFmtId="0" fontId="9" fillId="3" borderId="1" xfId="0" applyFont="1" applyFill="1" applyBorder="1"/>
    <xf numFmtId="0" fontId="0" fillId="3" borderId="6" xfId="0" applyFill="1" applyBorder="1"/>
    <xf numFmtId="0" fontId="0" fillId="3" borderId="1" xfId="0" applyFont="1" applyFill="1" applyBorder="1"/>
    <xf numFmtId="171" fontId="0" fillId="3" borderId="1" xfId="1" applyNumberFormat="1" applyFont="1" applyFill="1" applyBorder="1" applyAlignment="1" applyProtection="1">
      <alignment vertical="center"/>
    </xf>
    <xf numFmtId="0" fontId="0" fillId="0" borderId="1" xfId="0" applyFont="1" applyBorder="1"/>
    <xf numFmtId="171" fontId="0" fillId="0" borderId="1" xfId="0" applyNumberFormat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10" fillId="4" borderId="0" xfId="0" applyFont="1" applyFill="1" applyBorder="1"/>
    <xf numFmtId="0" fontId="0" fillId="4" borderId="0" xfId="0" applyFill="1" applyBorder="1"/>
    <xf numFmtId="0" fontId="9" fillId="4" borderId="1" xfId="0" applyFont="1" applyFill="1" applyBorder="1"/>
    <xf numFmtId="0" fontId="0" fillId="4" borderId="6" xfId="0" applyFill="1" applyBorder="1"/>
    <xf numFmtId="0" fontId="0" fillId="4" borderId="1" xfId="0" applyFont="1" applyFill="1" applyBorder="1"/>
    <xf numFmtId="171" fontId="0" fillId="4" borderId="1" xfId="1" applyNumberFormat="1" applyFont="1" applyFill="1" applyBorder="1" applyAlignment="1" applyProtection="1"/>
    <xf numFmtId="171" fontId="0" fillId="4" borderId="1" xfId="1" applyNumberFormat="1" applyFont="1" applyFill="1" applyBorder="1" applyAlignment="1" applyProtection="1">
      <alignment horizontal="center"/>
    </xf>
    <xf numFmtId="171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168" fontId="0" fillId="4" borderId="1" xfId="2" applyFont="1" applyFill="1" applyBorder="1" applyAlignment="1" applyProtection="1"/>
    <xf numFmtId="172" fontId="0" fillId="4" borderId="1" xfId="0" applyNumberFormat="1" applyFill="1" applyBorder="1" applyAlignment="1">
      <alignment horizontal="center"/>
    </xf>
    <xf numFmtId="172" fontId="0" fillId="4" borderId="1" xfId="0" applyNumberFormat="1" applyFill="1" applyBorder="1"/>
    <xf numFmtId="173" fontId="0" fillId="4" borderId="1" xfId="0" applyNumberFormat="1" applyFill="1" applyBorder="1"/>
    <xf numFmtId="167" fontId="0" fillId="0" borderId="0" xfId="1" applyFont="1" applyBorder="1" applyAlignment="1" applyProtection="1"/>
    <xf numFmtId="2" fontId="0" fillId="4" borderId="1" xfId="0" applyNumberFormat="1" applyFill="1" applyBorder="1"/>
    <xf numFmtId="167" fontId="0" fillId="0" borderId="0" xfId="0" applyNumberFormat="1"/>
    <xf numFmtId="168" fontId="0" fillId="0" borderId="0" xfId="2" applyFont="1" applyBorder="1" applyAlignment="1" applyProtection="1"/>
    <xf numFmtId="168" fontId="0" fillId="0" borderId="0" xfId="0" applyNumberFormat="1"/>
    <xf numFmtId="0" fontId="0" fillId="4" borderId="7" xfId="0" applyFill="1" applyBorder="1"/>
    <xf numFmtId="0" fontId="0" fillId="4" borderId="8" xfId="0" applyFill="1" applyBorder="1"/>
    <xf numFmtId="0" fontId="0" fillId="4" borderId="8" xfId="0" applyFill="1" applyBorder="1" applyAlignment="1">
      <alignment horizontal="center" vertical="center"/>
    </xf>
    <xf numFmtId="171" fontId="0" fillId="4" borderId="8" xfId="1" applyNumberFormat="1" applyFont="1" applyFill="1" applyBorder="1" applyAlignment="1" applyProtection="1"/>
    <xf numFmtId="0" fontId="0" fillId="4" borderId="9" xfId="0" applyFill="1" applyBorder="1"/>
    <xf numFmtId="0" fontId="0" fillId="0" borderId="0" xfId="0" applyBorder="1" applyAlignment="1">
      <alignment horizontal="center" vertical="center"/>
    </xf>
    <xf numFmtId="171" fontId="0" fillId="0" borderId="0" xfId="1" applyNumberFormat="1" applyFont="1" applyBorder="1" applyAlignment="1" applyProtection="1"/>
    <xf numFmtId="166" fontId="0" fillId="0" borderId="0" xfId="0" applyNumberFormat="1"/>
    <xf numFmtId="0" fontId="0" fillId="5" borderId="1" xfId="0" applyFont="1" applyFill="1" applyBorder="1"/>
    <xf numFmtId="171" fontId="0" fillId="5" borderId="1" xfId="1" applyNumberFormat="1" applyFont="1" applyFill="1" applyBorder="1" applyAlignment="1" applyProtection="1"/>
    <xf numFmtId="0" fontId="0" fillId="0" borderId="0" xfId="0" applyFont="1" applyAlignment="1">
      <alignment wrapText="1"/>
    </xf>
    <xf numFmtId="174" fontId="0" fillId="4" borderId="1" xfId="1" applyNumberFormat="1" applyFont="1" applyFill="1" applyBorder="1" applyAlignment="1" applyProtection="1">
      <alignment horizontal="center"/>
    </xf>
    <xf numFmtId="174" fontId="0" fillId="4" borderId="1" xfId="1" applyNumberFormat="1" applyFont="1" applyFill="1" applyBorder="1" applyAlignment="1" applyProtection="1"/>
    <xf numFmtId="167" fontId="0" fillId="4" borderId="1" xfId="1" applyFont="1" applyFill="1" applyBorder="1" applyAlignment="1" applyProtection="1"/>
    <xf numFmtId="167" fontId="0" fillId="4" borderId="8" xfId="1" applyFont="1" applyFill="1" applyBorder="1" applyAlignment="1" applyProtection="1"/>
    <xf numFmtId="173" fontId="0" fillId="0" borderId="0" xfId="0" applyNumberFormat="1"/>
    <xf numFmtId="2" fontId="0" fillId="0" borderId="0" xfId="0" applyNumberFormat="1"/>
    <xf numFmtId="175" fontId="0" fillId="0" borderId="0" xfId="0" applyNumberFormat="1"/>
    <xf numFmtId="171" fontId="0" fillId="4" borderId="6" xfId="1" applyNumberFormat="1" applyFont="1" applyFill="1" applyBorder="1" applyAlignment="1" applyProtection="1"/>
    <xf numFmtId="168" fontId="0" fillId="4" borderId="0" xfId="2" applyFont="1" applyFill="1" applyBorder="1" applyAlignment="1" applyProtection="1"/>
    <xf numFmtId="2" fontId="0" fillId="6" borderId="0" xfId="0" applyNumberFormat="1" applyFill="1"/>
    <xf numFmtId="0" fontId="11" fillId="3" borderId="1" xfId="0" applyFont="1" applyFill="1" applyBorder="1"/>
    <xf numFmtId="171" fontId="0" fillId="7" borderId="1" xfId="1" applyNumberFormat="1" applyFont="1" applyFill="1" applyBorder="1" applyAlignment="1" applyProtection="1">
      <alignment vertical="center"/>
    </xf>
    <xf numFmtId="171" fontId="0" fillId="6" borderId="1" xfId="1" applyNumberFormat="1" applyFont="1" applyFill="1" applyBorder="1" applyAlignment="1" applyProtection="1">
      <alignment vertical="center"/>
    </xf>
    <xf numFmtId="172" fontId="0" fillId="0" borderId="0" xfId="0" applyNumberFormat="1"/>
    <xf numFmtId="0" fontId="12" fillId="4" borderId="1" xfId="0" applyFont="1" applyFill="1" applyBorder="1"/>
    <xf numFmtId="0" fontId="12" fillId="4" borderId="0" xfId="0" applyFont="1" applyFill="1" applyBorder="1"/>
    <xf numFmtId="1" fontId="0" fillId="4" borderId="1" xfId="0" applyNumberFormat="1" applyFont="1" applyFill="1" applyBorder="1"/>
    <xf numFmtId="173" fontId="12" fillId="4" borderId="1" xfId="0" applyNumberFormat="1" applyFont="1" applyFill="1" applyBorder="1"/>
    <xf numFmtId="168" fontId="14" fillId="0" borderId="1" xfId="2" applyBorder="1" applyProtection="1"/>
    <xf numFmtId="168" fontId="12" fillId="4" borderId="1" xfId="2" applyFont="1" applyFill="1" applyBorder="1" applyAlignment="1" applyProtection="1"/>
    <xf numFmtId="172" fontId="12" fillId="4" borderId="1" xfId="0" applyNumberFormat="1" applyFont="1" applyFill="1" applyBorder="1"/>
    <xf numFmtId="2" fontId="12" fillId="4" borderId="1" xfId="0" applyNumberFormat="1" applyFont="1" applyFill="1" applyBorder="1"/>
    <xf numFmtId="1" fontId="0" fillId="4" borderId="1" xfId="0" applyNumberFormat="1" applyFill="1" applyBorder="1"/>
    <xf numFmtId="168" fontId="12" fillId="4" borderId="0" xfId="0" applyNumberFormat="1" applyFont="1" applyFill="1" applyBorder="1"/>
    <xf numFmtId="0" fontId="9" fillId="4" borderId="11" xfId="0" applyFont="1" applyFill="1" applyBorder="1"/>
    <xf numFmtId="3" fontId="0" fillId="0" borderId="0" xfId="0" applyNumberFormat="1" applyFont="1"/>
    <xf numFmtId="3" fontId="0" fillId="0" borderId="0" xfId="0" applyNumberFormat="1"/>
    <xf numFmtId="168" fontId="14" fillId="4" borderId="1" xfId="2" applyFill="1" applyBorder="1" applyProtection="1"/>
    <xf numFmtId="0" fontId="9" fillId="3" borderId="0" xfId="0" applyFont="1" applyFill="1" applyBorder="1"/>
    <xf numFmtId="168" fontId="0" fillId="4" borderId="1" xfId="0" applyNumberFormat="1" applyFill="1" applyBorder="1"/>
    <xf numFmtId="168" fontId="12" fillId="4" borderId="1" xfId="0" applyNumberFormat="1" applyFont="1" applyFill="1" applyBorder="1"/>
    <xf numFmtId="167" fontId="12" fillId="4" borderId="1" xfId="1" applyFont="1" applyFill="1" applyBorder="1" applyAlignment="1" applyProtection="1"/>
    <xf numFmtId="0" fontId="9" fillId="4" borderId="0" xfId="0" applyFont="1" applyFill="1" applyBorder="1"/>
    <xf numFmtId="168" fontId="13" fillId="4" borderId="1" xfId="0" applyNumberFormat="1" applyFont="1" applyFill="1" applyBorder="1"/>
    <xf numFmtId="2" fontId="13" fillId="4" borderId="1" xfId="0" applyNumberFormat="1" applyFont="1" applyFill="1" applyBorder="1"/>
    <xf numFmtId="167" fontId="13" fillId="4" borderId="1" xfId="1" applyFont="1" applyFill="1" applyBorder="1" applyAlignment="1" applyProtection="1"/>
    <xf numFmtId="168" fontId="13" fillId="4" borderId="0" xfId="0" applyNumberFormat="1" applyFont="1" applyFill="1" applyBorder="1"/>
    <xf numFmtId="0" fontId="2" fillId="2" borderId="1" xfId="6"/>
    <xf numFmtId="0" fontId="2" fillId="2" borderId="12" xfId="6" applyBorder="1"/>
    <xf numFmtId="0" fontId="1" fillId="0" borderId="1" xfId="3" applyFont="1"/>
    <xf numFmtId="0" fontId="1" fillId="0" borderId="12" xfId="3" applyBorder="1"/>
    <xf numFmtId="1" fontId="0" fillId="0" borderId="0" xfId="0" applyNumberFormat="1"/>
  </cellXfs>
  <cellStyles count="31">
    <cellStyle name="Body" xfId="3"/>
    <cellStyle name="Comma [0]" xfId="4"/>
    <cellStyle name="Currency [0]" xfId="5"/>
    <cellStyle name="Header" xfId="6"/>
    <cellStyle name="Heading1" xfId="7"/>
    <cellStyle name="Milliers" xfId="1" builtinId="3"/>
    <cellStyle name="Milliers 2" xfId="8"/>
    <cellStyle name="Milliers 3" xfId="9"/>
    <cellStyle name="Milliers 4" xfId="10"/>
    <cellStyle name="Milliers 5" xfId="11"/>
    <cellStyle name="Normal" xfId="0" builtinId="0"/>
    <cellStyle name="Normal 10 10 2 2 2" xfId="12"/>
    <cellStyle name="Normal 2" xfId="13"/>
    <cellStyle name="Normal 2 2" xfId="14"/>
    <cellStyle name="Normal 2 2 2" xfId="15"/>
    <cellStyle name="Normal 2 3" xfId="16"/>
    <cellStyle name="Normal 2 4" xfId="17"/>
    <cellStyle name="Normal 2 5" xfId="18"/>
    <cellStyle name="Normal 3" xfId="19"/>
    <cellStyle name="Normal 3 2" xfId="20"/>
    <cellStyle name="Normal 4" xfId="21"/>
    <cellStyle name="Normal 5" xfId="22"/>
    <cellStyle name="Normal 6" xfId="23"/>
    <cellStyle name="Pourcentage" xfId="2" builtinId="5"/>
    <cellStyle name="Pourcentage 2" xfId="24"/>
    <cellStyle name="Pourcentage 2 2" xfId="25"/>
    <cellStyle name="Pourcentage 3" xfId="26"/>
    <cellStyle name="Pourcentage 3 2" xfId="27"/>
    <cellStyle name="Result" xfId="28"/>
    <cellStyle name="Result2" xfId="29"/>
    <cellStyle name="TableStyleLight1" xfId="3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1DCF"/>
      <rgbColor rgb="FF00FFFF"/>
      <rgbColor rgb="FFC5000B"/>
      <rgbColor rgb="FF008000"/>
      <rgbColor rgb="FF000080"/>
      <rgbColor rgb="FF808000"/>
      <rgbColor rgb="FF800080"/>
      <rgbColor rgb="FF255E91"/>
      <rgbColor rgb="FFBFBFBF"/>
      <rgbColor rgb="FF5B9BD5"/>
      <rgbColor rgb="FFA6A6A6"/>
      <rgbColor rgb="FF993366"/>
      <rgbColor rgb="FFFFF2CC"/>
      <rgbColor rgb="FFCCFFFF"/>
      <rgbColor rgb="FF660066"/>
      <rgbColor rgb="FFFF8080"/>
      <rgbColor rgb="FF0084D1"/>
      <rgbColor rgb="FFD9D9D9"/>
      <rgbColor rgb="FF000080"/>
      <rgbColor rgb="FFFF00FF"/>
      <rgbColor rgb="FFFFFF00"/>
      <rgbColor rgb="FF00FFFF"/>
      <rgbColor rgb="FF800080"/>
      <rgbColor rgb="FF800000"/>
      <rgbColor rgb="FF2A6099"/>
      <rgbColor rgb="FF0000FF"/>
      <rgbColor rgb="FF00B0F0"/>
      <rgbColor rgb="FFCCFFFF"/>
      <rgbColor rgb="FFCCFFCC"/>
      <rgbColor rgb="FFFFFF99"/>
      <rgbColor rgb="FF9DC3E6"/>
      <rgbColor rgb="FFFF99CC"/>
      <rgbColor rgb="FFB2B2B2"/>
      <rgbColor rgb="FFFFCC99"/>
      <rgbColor rgb="FF4472C4"/>
      <rgbColor rgb="FF33CCCC"/>
      <rgbColor rgb="FF92D05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486791286884001"/>
          <c:y val="3.3877425315676002E-2"/>
          <c:w val="0.82317318090529901"/>
          <c:h val="0.646750846935633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'AME 2018'!$C$7:$C$7</c:f>
              <c:strCache>
                <c:ptCount val="1"/>
                <c:pt idx="0">
                  <c:v>AME18 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3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'AME 2018'!$F$6:$I$6</c:f>
              <c:numCache>
                <c:formatCode>General</c:formatCode>
                <c:ptCount val="4"/>
                <c:pt idx="0">
                  <c:v>2018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'AME 2018'!$F$7:$I$7</c:f>
              <c:numCache>
                <c:formatCode>_-* #\ ##0_-;\-* #\ ##0_-;_-* \-??_-;_-@_-</c:formatCode>
                <c:ptCount val="4"/>
                <c:pt idx="0">
                  <c:v>23295</c:v>
                </c:pt>
                <c:pt idx="1">
                  <c:v>31057.118028169014</c:v>
                </c:pt>
                <c:pt idx="2">
                  <c:v>29859.850140845072</c:v>
                </c:pt>
                <c:pt idx="3">
                  <c:v>27411.017746478872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CD-45F9-9DD1-F3FF076C5B20}"/>
            </c:ext>
          </c:extLst>
        </c:ser>
        <c:ser>
          <c:idx val="1"/>
          <c:order val="1"/>
          <c:tx>
            <c:strRef>
              <c:f>'AMS 2023'!$C$2</c:f>
              <c:strCache>
                <c:ptCount val="1"/>
                <c:pt idx="0">
                  <c:v>AMS 23</c:v>
                </c:pt>
              </c:strCache>
            </c:strRef>
          </c:tx>
          <c:spPr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'AMS 2023'!$F$6:$I$6</c:f>
              <c:numCache>
                <c:formatCode>General</c:formatCode>
                <c:ptCount val="4"/>
                <c:pt idx="0">
                  <c:v>2019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'AMS 2023'!$F$8:$I$8</c:f>
              <c:numCache>
                <c:formatCode>_-* #\ ##0_-;\-* #\ ##0_-;_-* \-??_-;_-@_-</c:formatCode>
                <c:ptCount val="4"/>
                <c:pt idx="0">
                  <c:v>22353</c:v>
                </c:pt>
                <c:pt idx="1">
                  <c:v>10755.707800855516</c:v>
                </c:pt>
                <c:pt idx="2">
                  <c:v>5191.7608751321668</c:v>
                </c:pt>
                <c:pt idx="3">
                  <c:v>-21.964063987597569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CD-45F9-9DD1-F3FF076C5B20}"/>
            </c:ext>
          </c:extLst>
        </c:ser>
        <c:ser>
          <c:idx val="2"/>
          <c:order val="2"/>
          <c:tx>
            <c:strRef>
              <c:f>'AME 2023'!$C$2</c:f>
              <c:strCache>
                <c:ptCount val="1"/>
                <c:pt idx="0">
                  <c:v>AME 23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'AME 2023'!$F$6:$I$6</c:f>
              <c:numCache>
                <c:formatCode>General</c:formatCode>
                <c:ptCount val="4"/>
                <c:pt idx="0">
                  <c:v>2019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'AME 2023'!$F$8:$I$8</c:f>
              <c:numCache>
                <c:formatCode>_-* #\ ##0_-;\-* #\ ##0_-;_-* \-??_-;_-@_-</c:formatCode>
                <c:ptCount val="4"/>
                <c:pt idx="0">
                  <c:v>22353</c:v>
                </c:pt>
                <c:pt idx="1">
                  <c:v>15360.924260492147</c:v>
                </c:pt>
                <c:pt idx="2">
                  <c:v>13793.595536528117</c:v>
                </c:pt>
                <c:pt idx="3">
                  <c:v>7907.2270772442089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CD-45F9-9DD1-F3FF076C5B20}"/>
            </c:ext>
          </c:extLst>
        </c:ser>
        <c:ser>
          <c:idx val="3"/>
          <c:order val="3"/>
          <c:tx>
            <c:strRef>
              <c:f>'AME 2018'!$E$8:$E$8</c:f>
              <c:strCache>
                <c:ptCount val="1"/>
                <c:pt idx="0">
                  <c:v>Artificialisation (calculée)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3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'AME 2018'!$F$6:$I$6</c:f>
              <c:numCache>
                <c:formatCode>General</c:formatCode>
                <c:ptCount val="4"/>
                <c:pt idx="0">
                  <c:v>2018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'AME 2018'!$F$8:$I$8</c:f>
              <c:numCache>
                <c:formatCode>_-* #\ ##0_-;\-* #\ ##0_-;_-* \-??_-;_-@_-</c:formatCode>
                <c:ptCount val="4"/>
                <c:pt idx="0">
                  <c:v>21865.377160004798</c:v>
                </c:pt>
                <c:pt idx="1">
                  <c:v>19937.084750341008</c:v>
                </c:pt>
                <c:pt idx="2">
                  <c:v>17139.747569989122</c:v>
                </c:pt>
                <c:pt idx="3">
                  <c:v>14042.084303263979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CD-45F9-9DD1-F3FF076C5B20}"/>
            </c:ext>
          </c:extLst>
        </c:ser>
        <c:ser>
          <c:idx val="4"/>
          <c:order val="4"/>
          <c:tx>
            <c:strRef>
              <c:f>'comparaison Agreste'!$B$5:$B$5</c:f>
              <c:strCache>
                <c:ptCount val="1"/>
                <c:pt idx="0">
                  <c:v>Tendanciel DHUP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'comparaison Agreste'!$C$4:$Y$4</c:f>
              <c:numCache>
                <c:formatCode>General</c:formatCode>
                <c:ptCount val="2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</c:numCache>
            </c:numRef>
          </c:xVal>
          <c:yVal>
            <c:numRef>
              <c:f>'comparaison Agreste'!$C$5:$Y$5</c:f>
              <c:numCache>
                <c:formatCode>General</c:formatCode>
                <c:ptCount val="23"/>
                <c:pt idx="0">
                  <c:v>32659.8</c:v>
                </c:pt>
                <c:pt idx="1">
                  <c:v>32661.200000000001</c:v>
                </c:pt>
                <c:pt idx="2">
                  <c:v>33012.080000000002</c:v>
                </c:pt>
                <c:pt idx="3">
                  <c:v>30139.07</c:v>
                </c:pt>
                <c:pt idx="4">
                  <c:v>29189.200000000001</c:v>
                </c:pt>
                <c:pt idx="5">
                  <c:v>25486.01</c:v>
                </c:pt>
                <c:pt idx="6">
                  <c:v>22383.58</c:v>
                </c:pt>
                <c:pt idx="7">
                  <c:v>23650.42</c:v>
                </c:pt>
                <c:pt idx="8">
                  <c:v>23667.03</c:v>
                </c:pt>
                <c:pt idx="9">
                  <c:v>23528.34</c:v>
                </c:pt>
                <c:pt idx="10">
                  <c:v>23000</c:v>
                </c:pt>
                <c:pt idx="11">
                  <c:v>22000</c:v>
                </c:pt>
                <c:pt idx="12">
                  <c:v>21000</c:v>
                </c:pt>
                <c:pt idx="13">
                  <c:v>20000</c:v>
                </c:pt>
                <c:pt idx="14">
                  <c:v>18500</c:v>
                </c:pt>
                <c:pt idx="15">
                  <c:v>16500</c:v>
                </c:pt>
                <c:pt idx="16">
                  <c:v>15000</c:v>
                </c:pt>
                <c:pt idx="17">
                  <c:v>14000</c:v>
                </c:pt>
                <c:pt idx="18">
                  <c:v>13000</c:v>
                </c:pt>
                <c:pt idx="19">
                  <c:v>11500</c:v>
                </c:pt>
                <c:pt idx="20">
                  <c:v>11000</c:v>
                </c:pt>
                <c:pt idx="21">
                  <c:v>10500</c:v>
                </c:pt>
                <c:pt idx="22" formatCode="#,##0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CD-45F9-9DD1-F3FF076C5B20}"/>
            </c:ext>
          </c:extLst>
        </c:ser>
        <c:ser>
          <c:idx val="5"/>
          <c:order val="5"/>
          <c:tx>
            <c:strRef>
              <c:f>'AME 2018'!$C$2:$C$2</c:f>
              <c:strCache>
                <c:ptCount val="1"/>
                <c:pt idx="0">
                  <c:v>AME18 calculé</c:v>
                </c:pt>
              </c:strCache>
            </c:strRef>
          </c:tx>
          <c:spPr>
            <a:ln w="19080">
              <a:solidFill>
                <a:srgbClr val="00B0F0"/>
              </a:solidFill>
              <a:round/>
            </a:ln>
          </c:spPr>
          <c:marker>
            <c:symbol val="circle"/>
            <c:size val="3"/>
            <c:spPr>
              <a:solidFill>
                <a:srgbClr val="00B0F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'AME 2018'!$F$6:$I$6</c:f>
              <c:numCache>
                <c:formatCode>General</c:formatCode>
                <c:ptCount val="4"/>
                <c:pt idx="0">
                  <c:v>2018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'AME 2018'!$F$8:$I$8</c:f>
              <c:numCache>
                <c:formatCode>_-* #\ ##0_-;\-* #\ ##0_-;_-* \-??_-;_-@_-</c:formatCode>
                <c:ptCount val="4"/>
                <c:pt idx="0">
                  <c:v>21865.377160004798</c:v>
                </c:pt>
                <c:pt idx="1">
                  <c:v>19937.084750341008</c:v>
                </c:pt>
                <c:pt idx="2">
                  <c:v>17139.747569989122</c:v>
                </c:pt>
                <c:pt idx="3">
                  <c:v>14042.084303263979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CD-45F9-9DD1-F3FF076C5B20}"/>
            </c:ext>
          </c:extLst>
        </c:ser>
        <c:ser>
          <c:idx val="6"/>
          <c:order val="6"/>
          <c:tx>
            <c:strRef>
              <c:f>'AME 2021'!$C$2:$C$2</c:f>
              <c:strCache>
                <c:ptCount val="1"/>
                <c:pt idx="0">
                  <c:v>AME21</c:v>
                </c:pt>
              </c:strCache>
            </c:strRef>
          </c:tx>
          <c:spPr>
            <a:ln w="19080">
              <a:solidFill>
                <a:srgbClr val="70AD47"/>
              </a:solidFill>
              <a:round/>
            </a:ln>
          </c:spPr>
          <c:marker>
            <c:symbol val="circle"/>
            <c:size val="3"/>
            <c:spPr>
              <a:solidFill>
                <a:srgbClr val="70AD47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'AME 2021'!$F$6:$I$6</c:f>
              <c:numCache>
                <c:formatCode>General</c:formatCode>
                <c:ptCount val="4"/>
                <c:pt idx="0">
                  <c:v>2018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'AME 2021'!$F$8:$I$8</c:f>
              <c:numCache>
                <c:formatCode>_-* #\ ##0_-;\-* #\ ##0_-;_-* \-??_-;_-@_-</c:formatCode>
                <c:ptCount val="4"/>
                <c:pt idx="0">
                  <c:v>21865.377160004798</c:v>
                </c:pt>
                <c:pt idx="1">
                  <c:v>18089.740252636471</c:v>
                </c:pt>
                <c:pt idx="2">
                  <c:v>16389.120080638571</c:v>
                </c:pt>
                <c:pt idx="3">
                  <c:v>12735.745184170071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CD-45F9-9DD1-F3FF076C5B20}"/>
            </c:ext>
          </c:extLst>
        </c:ser>
        <c:ser>
          <c:idx val="7"/>
          <c:order val="7"/>
          <c:tx>
            <c:strRef>
              <c:f>Historique_!$C$2:$C$2</c:f>
              <c:strCache>
                <c:ptCount val="1"/>
                <c:pt idx="0">
                  <c:v>Historique calculé</c:v>
                </c:pt>
              </c:strCache>
            </c:strRef>
          </c:tx>
          <c:spPr>
            <a:ln w="19080">
              <a:solidFill>
                <a:srgbClr val="FF1DCF"/>
              </a:solidFill>
              <a:round/>
            </a:ln>
          </c:spPr>
          <c:marker>
            <c:symbol val="circle"/>
            <c:size val="5"/>
            <c:spPr>
              <a:solidFill>
                <a:srgbClr val="FF1DC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Historique_!$F$6:$N$6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xVal>
          <c:yVal>
            <c:numRef>
              <c:f>Historique_!$F$8:$N$8</c:f>
              <c:numCache>
                <c:formatCode>_-* #\ ##0_-;\-* #\ ##0_-;_-* \-??_-;_-@_-</c:formatCode>
                <c:ptCount val="9"/>
                <c:pt idx="0">
                  <c:v>35020.145398237211</c:v>
                </c:pt>
                <c:pt idx="1">
                  <c:v>30899.712772625462</c:v>
                </c:pt>
                <c:pt idx="2">
                  <c:v>29298.426471595212</c:v>
                </c:pt>
                <c:pt idx="3">
                  <c:v>25847.213918111906</c:v>
                </c:pt>
                <c:pt idx="4">
                  <c:v>26053.440133216143</c:v>
                </c:pt>
                <c:pt idx="5">
                  <c:v>24119.548591049104</c:v>
                </c:pt>
                <c:pt idx="6">
                  <c:v>27105.115009130866</c:v>
                </c:pt>
                <c:pt idx="7">
                  <c:v>22514.192540826847</c:v>
                </c:pt>
                <c:pt idx="8">
                  <c:v>21986.510232973171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5CD-45F9-9DD1-F3FF076C5B20}"/>
            </c:ext>
          </c:extLst>
        </c:ser>
        <c:ser>
          <c:idx val="8"/>
          <c:order val="8"/>
          <c:tx>
            <c:strRef>
              <c:f>Historique_!$C$7:$C$7</c:f>
              <c:strCache>
                <c:ptCount val="1"/>
                <c:pt idx="0">
                  <c:v>Historique observatoire</c:v>
                </c:pt>
              </c:strCache>
            </c:strRef>
          </c:tx>
          <c:spPr>
            <a:ln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Historique_!$F$6:$O$6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xVal>
          <c:yVal>
            <c:numRef>
              <c:f>Historique_!$F$7:$O$7</c:f>
              <c:numCache>
                <c:formatCode>_-* #\ ##0_-;\-* #\ ##0_-;_-* \-??_-;_-@_-</c:formatCode>
                <c:ptCount val="10"/>
                <c:pt idx="0">
                  <c:v>30520.9532</c:v>
                </c:pt>
                <c:pt idx="1">
                  <c:v>30666.077300000001</c:v>
                </c:pt>
                <c:pt idx="2">
                  <c:v>28330.7441</c:v>
                </c:pt>
                <c:pt idx="3">
                  <c:v>27056.418399999999</c:v>
                </c:pt>
                <c:pt idx="4">
                  <c:v>23897.5157</c:v>
                </c:pt>
                <c:pt idx="5">
                  <c:v>20838.5861</c:v>
                </c:pt>
                <c:pt idx="6">
                  <c:v>22063.136299999998</c:v>
                </c:pt>
                <c:pt idx="7">
                  <c:v>22083.0059</c:v>
                </c:pt>
                <c:pt idx="8">
                  <c:v>22354</c:v>
                </c:pt>
                <c:pt idx="9">
                  <c:v>19808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5CD-45F9-9DD1-F3FF076C5B20}"/>
            </c:ext>
          </c:extLst>
        </c:ser>
        <c:ser>
          <c:idx val="9"/>
          <c:order val="9"/>
          <c:tx>
            <c:strRef>
              <c:f>'AME 2021 bis'!$C$2:$C$2</c:f>
              <c:strCache>
                <c:ptCount val="1"/>
                <c:pt idx="0">
                  <c:v>AME21 bis </c:v>
                </c:pt>
              </c:strCache>
            </c:strRef>
          </c:tx>
          <c:spPr>
            <a:ln w="19080">
              <a:solidFill>
                <a:srgbClr val="92D050"/>
              </a:solidFill>
              <a:round/>
            </a:ln>
          </c:spPr>
          <c:marker>
            <c:symbol val="circle"/>
            <c:size val="5"/>
            <c:spPr>
              <a:solidFill>
                <a:srgbClr val="92D05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'AME 2021 bis'!$F$6:$I$6</c:f>
              <c:numCache>
                <c:formatCode>General</c:formatCode>
                <c:ptCount val="4"/>
                <c:pt idx="0">
                  <c:v>2018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'AME 2021 bis'!$F$8:$I$8</c:f>
              <c:numCache>
                <c:formatCode>_-* #\ ##0_-;\-* #\ ##0_-;_-* \-??_-;_-@_-</c:formatCode>
                <c:ptCount val="4"/>
                <c:pt idx="0">
                  <c:v>21865.377160004798</c:v>
                </c:pt>
                <c:pt idx="1">
                  <c:v>16050.442874340402</c:v>
                </c:pt>
                <c:pt idx="2">
                  <c:v>14489.191381573626</c:v>
                </c:pt>
                <c:pt idx="3">
                  <c:v>11235.491602597422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5CD-45F9-9DD1-F3FF076C5B20}"/>
            </c:ext>
          </c:extLst>
        </c:ser>
        <c:ser>
          <c:idx val="10"/>
          <c:order val="10"/>
          <c:tx>
            <c:strRef>
              <c:f>'AMS 2018'!$C$7:$C$7</c:f>
              <c:strCache>
                <c:ptCount val="1"/>
                <c:pt idx="0">
                  <c:v>AMS18 </c:v>
                </c:pt>
              </c:strCache>
            </c:strRef>
          </c:tx>
          <c:spPr>
            <a:ln w="1908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'AMS 2018'!$F$6:$I$6</c:f>
              <c:numCache>
                <c:formatCode>General</c:formatCode>
                <c:ptCount val="4"/>
                <c:pt idx="0">
                  <c:v>2018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'AMS 2018'!$F$7:$I$7</c:f>
              <c:numCache>
                <c:formatCode>_-* #\ ##0_-;\-* #\ ##0_-;_-* \-??_-;_-@_-</c:formatCode>
                <c:ptCount val="4"/>
                <c:pt idx="0">
                  <c:v>23295</c:v>
                </c:pt>
                <c:pt idx="1">
                  <c:v>20224.119718309859</c:v>
                </c:pt>
                <c:pt idx="2">
                  <c:v>6512.8521126760561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5CD-45F9-9DD1-F3FF076C5B20}"/>
            </c:ext>
          </c:extLst>
        </c:ser>
        <c:ser>
          <c:idx val="11"/>
          <c:order val="11"/>
          <c:tx>
            <c:strRef>
              <c:f>'AMS 2018'!$C$2:$C$2</c:f>
              <c:strCache>
                <c:ptCount val="1"/>
                <c:pt idx="0">
                  <c:v>AMS18 calculé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'AMS 2018'!$F$6:$I$6</c:f>
              <c:numCache>
                <c:formatCode>General</c:formatCode>
                <c:ptCount val="4"/>
                <c:pt idx="0">
                  <c:v>2018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'AMS 2018'!$F$8:$I$8</c:f>
              <c:numCache>
                <c:formatCode>_-* #\ ##0_-;\-* #\ ##0_-;_-* \-??_-;_-@_-</c:formatCode>
                <c:ptCount val="4"/>
                <c:pt idx="0">
                  <c:v>21865.377160004798</c:v>
                </c:pt>
                <c:pt idx="1">
                  <c:v>18925.919516266611</c:v>
                </c:pt>
                <c:pt idx="2">
                  <c:v>6879.8631978071789</c:v>
                </c:pt>
                <c:pt idx="3">
                  <c:v>176.16066239316297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5CD-45F9-9DD1-F3FF076C5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9124"/>
        <c:axId val="53615344"/>
      </c:scatterChart>
      <c:valAx>
        <c:axId val="1442912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3615344"/>
        <c:crosses val="autoZero"/>
        <c:crossBetween val="midCat"/>
      </c:valAx>
      <c:valAx>
        <c:axId val="536153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strike="noStrike" spc="-1">
                    <a:solidFill>
                      <a:srgbClr val="595959"/>
                    </a:solidFill>
                    <a:latin typeface="Calibri"/>
                  </a:rPr>
                  <a:t>Artificialisation (ha NAF / an)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_-* #\ ##0_-;\-* #\ ##0_-;_-* \-??_-;_-@_-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442912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4.35318858430878E-2"/>
          <c:y val="0.78196805639842903"/>
          <c:w val="0.91547201844521797"/>
          <c:h val="0.151812650226858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Efficacité de la construction (m² construit / m² artificialisé)</a:t>
            </a:r>
          </a:p>
        </c:rich>
      </c:tx>
      <c:layout>
        <c:manualLayout>
          <c:xMode val="edge"/>
          <c:yMode val="edge"/>
          <c:x val="0.166011014948859"/>
          <c:y val="2.0064205457463902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Historique_!$T$50:$T$50</c:f>
              <c:strCache>
                <c:ptCount val="1"/>
                <c:pt idx="0">
                  <c:v>activité_obs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12"/>
            <c:dispRSqr val="0"/>
            <c:dispEq val="0"/>
          </c:trendline>
          <c:xVal>
            <c:numRef>
              <c:f>Historique_!$U$49:$AC$49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Historique_!$U$50:$AC$50</c:f>
              <c:numCache>
                <c:formatCode>General</c:formatCode>
                <c:ptCount val="9"/>
                <c:pt idx="0">
                  <c:v>0.32</c:v>
                </c:pt>
                <c:pt idx="1">
                  <c:v>0.29499999999999998</c:v>
                </c:pt>
                <c:pt idx="2">
                  <c:v>0.315</c:v>
                </c:pt>
                <c:pt idx="3">
                  <c:v>0.375</c:v>
                </c:pt>
                <c:pt idx="4">
                  <c:v>0.39500000000000002</c:v>
                </c:pt>
                <c:pt idx="5">
                  <c:v>0.38</c:v>
                </c:pt>
                <c:pt idx="6">
                  <c:v>0.42</c:v>
                </c:pt>
                <c:pt idx="7">
                  <c:v>0.4</c:v>
                </c:pt>
                <c:pt idx="8">
                  <c:v>0.46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C9-472F-8059-7B7026343AE1}"/>
            </c:ext>
          </c:extLst>
        </c:ser>
        <c:ser>
          <c:idx val="1"/>
          <c:order val="1"/>
          <c:tx>
            <c:strRef>
              <c:f>Historique_!$T$51:$T$51</c:f>
              <c:strCache>
                <c:ptCount val="1"/>
                <c:pt idx="0">
                  <c:v>habitat_obs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12"/>
            <c:dispRSqr val="0"/>
            <c:dispEq val="0"/>
          </c:trendline>
          <c:xVal>
            <c:numRef>
              <c:f>Historique_!$U$49:$AC$49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Historique_!$U$51:$AC$51</c:f>
              <c:numCache>
                <c:formatCode>General</c:formatCode>
                <c:ptCount val="9"/>
                <c:pt idx="0">
                  <c:v>0.14000000000000001</c:v>
                </c:pt>
                <c:pt idx="1">
                  <c:v>0.15</c:v>
                </c:pt>
                <c:pt idx="2">
                  <c:v>0.15</c:v>
                </c:pt>
                <c:pt idx="3">
                  <c:v>0.14499999999999999</c:v>
                </c:pt>
                <c:pt idx="4">
                  <c:v>0.14199999999999999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0.16</c:v>
                </c:pt>
                <c:pt idx="8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C9-472F-8059-7B7026343AE1}"/>
            </c:ext>
          </c:extLst>
        </c:ser>
        <c:ser>
          <c:idx val="2"/>
          <c:order val="2"/>
          <c:tx>
            <c:strRef>
              <c:f>Historique_!$T$52:$T$52</c:f>
              <c:strCache>
                <c:ptCount val="1"/>
                <c:pt idx="0">
                  <c:v>activité_sitadel</c:v>
                </c:pt>
              </c:strCache>
            </c:strRef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Historique_!$U$49:$AE$49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Historique_!$U$52:$AE$52</c:f>
              <c:numCache>
                <c:formatCode>0.00</c:formatCode>
                <c:ptCount val="11"/>
                <c:pt idx="0">
                  <c:v>0.28189957302967</c:v>
                </c:pt>
                <c:pt idx="1">
                  <c:v>0.31332323746231799</c:v>
                </c:pt>
                <c:pt idx="2">
                  <c:v>0.300483440494903</c:v>
                </c:pt>
                <c:pt idx="3">
                  <c:v>0.40085094219727602</c:v>
                </c:pt>
                <c:pt idx="4">
                  <c:v>0.35566921881230601</c:v>
                </c:pt>
                <c:pt idx="5">
                  <c:v>0.382155142988297</c:v>
                </c:pt>
                <c:pt idx="6">
                  <c:v>0.43903641533454302</c:v>
                </c:pt>
                <c:pt idx="7">
                  <c:v>0.43883638747841602</c:v>
                </c:pt>
                <c:pt idx="8">
                  <c:v>0.44231387318864901</c:v>
                </c:pt>
                <c:pt idx="9">
                  <c:v>0.44534285374551102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C9-472F-8059-7B7026343AE1}"/>
            </c:ext>
          </c:extLst>
        </c:ser>
        <c:ser>
          <c:idx val="3"/>
          <c:order val="3"/>
          <c:tx>
            <c:strRef>
              <c:f>Historique_!$T$53:$T$53</c:f>
              <c:strCache>
                <c:ptCount val="1"/>
                <c:pt idx="0">
                  <c:v>habitat_sitadel</c:v>
                </c:pt>
              </c:strCache>
            </c:strRef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Historique_!$U$49:$AE$49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Historique_!$U$53:$AE$53</c:f>
              <c:numCache>
                <c:formatCode>0.00</c:formatCode>
                <c:ptCount val="11"/>
                <c:pt idx="0">
                  <c:v>0.15732701530264401</c:v>
                </c:pt>
                <c:pt idx="1">
                  <c:v>0.16241817493434399</c:v>
                </c:pt>
                <c:pt idx="2">
                  <c:v>0.151371909852414</c:v>
                </c:pt>
                <c:pt idx="3">
                  <c:v>0.149543847685633</c:v>
                </c:pt>
                <c:pt idx="4">
                  <c:v>0.14547129274043999</c:v>
                </c:pt>
                <c:pt idx="5">
                  <c:v>0.178364763367207</c:v>
                </c:pt>
                <c:pt idx="6">
                  <c:v>0.175043359291088</c:v>
                </c:pt>
                <c:pt idx="7">
                  <c:v>0.196412205364453</c:v>
                </c:pt>
                <c:pt idx="8">
                  <c:v>0.188902631845873</c:v>
                </c:pt>
                <c:pt idx="9">
                  <c:v>0.20184248903936799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C9-472F-8059-7B702634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64809"/>
        <c:axId val="21115411"/>
      </c:scatterChart>
      <c:valAx>
        <c:axId val="83564809"/>
        <c:scaling>
          <c:orientation val="minMax"/>
          <c:max val="2030"/>
          <c:min val="201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1115411"/>
        <c:crosses val="autoZero"/>
        <c:crossBetween val="midCat"/>
      </c:valAx>
      <c:valAx>
        <c:axId val="211154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83564809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Efficacité de la construction (m² construit / m² artificialisé)</a:t>
            </a:r>
          </a:p>
        </c:rich>
      </c:tx>
      <c:layout>
        <c:manualLayout>
          <c:xMode val="edge"/>
          <c:yMode val="edge"/>
          <c:x val="0.16641452344931901"/>
          <c:y val="2.0065815876073499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'AME 2018'!$L$48:$L$48</c:f>
              <c:strCache>
                <c:ptCount val="1"/>
                <c:pt idx="0">
                  <c:v>activité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12"/>
            <c:dispRSqr val="0"/>
            <c:dispEq val="0"/>
          </c:trendline>
          <c:xVal>
            <c:numRef>
              <c:f>'AME 2018'!$M$47:$U$47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'AME 2018'!$M$48:$U$48</c:f>
              <c:numCache>
                <c:formatCode>General</c:formatCode>
                <c:ptCount val="9"/>
                <c:pt idx="0">
                  <c:v>0.32</c:v>
                </c:pt>
                <c:pt idx="1">
                  <c:v>0.29499999999999998</c:v>
                </c:pt>
                <c:pt idx="2">
                  <c:v>0.315</c:v>
                </c:pt>
                <c:pt idx="3">
                  <c:v>0.375</c:v>
                </c:pt>
                <c:pt idx="4">
                  <c:v>0.39500000000000002</c:v>
                </c:pt>
                <c:pt idx="5">
                  <c:v>0.38</c:v>
                </c:pt>
                <c:pt idx="6">
                  <c:v>0.42</c:v>
                </c:pt>
                <c:pt idx="7">
                  <c:v>0.4</c:v>
                </c:pt>
                <c:pt idx="8">
                  <c:v>0.46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0-4A6A-88EC-6393996D73D8}"/>
            </c:ext>
          </c:extLst>
        </c:ser>
        <c:ser>
          <c:idx val="1"/>
          <c:order val="1"/>
          <c:tx>
            <c:strRef>
              <c:f>'AME 2018'!$L$49:$L$49</c:f>
              <c:strCache>
                <c:ptCount val="1"/>
                <c:pt idx="0">
                  <c:v>habitat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12"/>
            <c:dispRSqr val="0"/>
            <c:dispEq val="0"/>
          </c:trendline>
          <c:xVal>
            <c:numRef>
              <c:f>'AME 2018'!$M$47:$U$47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'AME 2018'!$M$49:$U$49</c:f>
              <c:numCache>
                <c:formatCode>General</c:formatCode>
                <c:ptCount val="9"/>
                <c:pt idx="0">
                  <c:v>0.14000000000000001</c:v>
                </c:pt>
                <c:pt idx="1">
                  <c:v>0.15</c:v>
                </c:pt>
                <c:pt idx="2">
                  <c:v>0.15</c:v>
                </c:pt>
                <c:pt idx="3">
                  <c:v>0.14499999999999999</c:v>
                </c:pt>
                <c:pt idx="4">
                  <c:v>0.14199999999999999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0.16</c:v>
                </c:pt>
                <c:pt idx="8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20-4A6A-88EC-6393996D7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87661"/>
        <c:axId val="21672212"/>
      </c:scatterChart>
      <c:valAx>
        <c:axId val="68987661"/>
        <c:scaling>
          <c:orientation val="minMax"/>
          <c:max val="2030"/>
          <c:min val="201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1672212"/>
        <c:crosses val="autoZero"/>
        <c:crossBetween val="midCat"/>
      </c:valAx>
      <c:valAx>
        <c:axId val="216722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898766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Efficacité de la construction (m² construit / m² artificialisé)</a:t>
            </a:r>
          </a:p>
        </c:rich>
      </c:tx>
      <c:layout>
        <c:manualLayout>
          <c:xMode val="edge"/>
          <c:yMode val="edge"/>
          <c:x val="0.16612483745123499"/>
          <c:y val="2.01826045170591E-2"/>
        </c:manualLayout>
      </c:layout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'AMS 2018'!$L$48:$L$48</c:f>
              <c:strCache>
                <c:ptCount val="1"/>
                <c:pt idx="0">
                  <c:v>activité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12"/>
            <c:dispRSqr val="0"/>
            <c:dispEq val="0"/>
          </c:trendline>
          <c:xVal>
            <c:numRef>
              <c:f>'AMS 2018'!$M$47:$U$47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'AMS 2018'!$M$48:$U$48</c:f>
              <c:numCache>
                <c:formatCode>General</c:formatCode>
                <c:ptCount val="9"/>
                <c:pt idx="0">
                  <c:v>0.32</c:v>
                </c:pt>
                <c:pt idx="1">
                  <c:v>0.29499999999999998</c:v>
                </c:pt>
                <c:pt idx="2">
                  <c:v>0.315</c:v>
                </c:pt>
                <c:pt idx="3">
                  <c:v>0.375</c:v>
                </c:pt>
                <c:pt idx="4">
                  <c:v>0.39500000000000002</c:v>
                </c:pt>
                <c:pt idx="5">
                  <c:v>0.38</c:v>
                </c:pt>
                <c:pt idx="6">
                  <c:v>0.42</c:v>
                </c:pt>
                <c:pt idx="7">
                  <c:v>0.4</c:v>
                </c:pt>
                <c:pt idx="8">
                  <c:v>0.46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A-4EDE-B7D6-FD6CB2AD0A17}"/>
            </c:ext>
          </c:extLst>
        </c:ser>
        <c:ser>
          <c:idx val="1"/>
          <c:order val="1"/>
          <c:tx>
            <c:strRef>
              <c:f>'AMS 2018'!$L$49:$L$49</c:f>
              <c:strCache>
                <c:ptCount val="1"/>
                <c:pt idx="0">
                  <c:v>habitat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12"/>
            <c:dispRSqr val="0"/>
            <c:dispEq val="0"/>
          </c:trendline>
          <c:xVal>
            <c:numRef>
              <c:f>'AMS 2018'!$M$47:$U$47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xVal>
          <c:yVal>
            <c:numRef>
              <c:f>'AMS 2018'!$M$49:$U$49</c:f>
              <c:numCache>
                <c:formatCode>General</c:formatCode>
                <c:ptCount val="9"/>
                <c:pt idx="0">
                  <c:v>0.14000000000000001</c:v>
                </c:pt>
                <c:pt idx="1">
                  <c:v>0.15</c:v>
                </c:pt>
                <c:pt idx="2">
                  <c:v>0.15</c:v>
                </c:pt>
                <c:pt idx="3">
                  <c:v>0.14499999999999999</c:v>
                </c:pt>
                <c:pt idx="4">
                  <c:v>0.14199999999999999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0.16</c:v>
                </c:pt>
                <c:pt idx="8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A-4EDE-B7D6-FD6CB2AD0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42400"/>
        <c:axId val="58543550"/>
      </c:scatterChart>
      <c:valAx>
        <c:axId val="67242400"/>
        <c:scaling>
          <c:orientation val="minMax"/>
          <c:max val="2030"/>
          <c:min val="201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58543550"/>
        <c:crosses val="autoZero"/>
        <c:crossBetween val="midCat"/>
      </c:valAx>
      <c:valAx>
        <c:axId val="585435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724240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'comparaison Agreste'!$C$7:$N$7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xVal>
          <c:yVal>
            <c:numRef>
              <c:f>'comparaison Agreste'!$C$9:$N$9</c:f>
              <c:numCache>
                <c:formatCode>General</c:formatCode>
                <c:ptCount val="12"/>
                <c:pt idx="0">
                  <c:v>64843</c:v>
                </c:pt>
                <c:pt idx="1">
                  <c:v>61474</c:v>
                </c:pt>
                <c:pt idx="2">
                  <c:v>55171</c:v>
                </c:pt>
                <c:pt idx="3">
                  <c:v>51497</c:v>
                </c:pt>
                <c:pt idx="4">
                  <c:v>57958</c:v>
                </c:pt>
                <c:pt idx="5">
                  <c:v>49977</c:v>
                </c:pt>
                <c:pt idx="6">
                  <c:v>41448</c:v>
                </c:pt>
                <c:pt idx="7">
                  <c:v>33690</c:v>
                </c:pt>
                <c:pt idx="8">
                  <c:v>19338</c:v>
                </c:pt>
                <c:pt idx="9">
                  <c:v>42428</c:v>
                </c:pt>
                <c:pt idx="10">
                  <c:v>23164</c:v>
                </c:pt>
                <c:pt idx="11">
                  <c:v>17924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68-4524-A6F9-928B549440CF}"/>
            </c:ext>
          </c:extLst>
        </c:ser>
        <c:ser>
          <c:idx val="1"/>
          <c:order val="1"/>
          <c:spPr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'comparaison Agreste'!$C$7:$N$7</c:f>
              <c:numCache>
                <c:formatCode>General</c:formatCode>
                <c:ptCount val="1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xVal>
          <c:yVal>
            <c:numRef>
              <c:f>'comparaison Agreste'!$C$10:$N$10</c:f>
              <c:numCache>
                <c:formatCode>0</c:formatCode>
                <c:ptCount val="12"/>
                <c:pt idx="1">
                  <c:v>31589.177800000001</c:v>
                </c:pt>
                <c:pt idx="2">
                  <c:v>31590.570500000002</c:v>
                </c:pt>
                <c:pt idx="3">
                  <c:v>31686.738399999998</c:v>
                </c:pt>
                <c:pt idx="4">
                  <c:v>29235.450799999999</c:v>
                </c:pt>
                <c:pt idx="5">
                  <c:v>27882.5324</c:v>
                </c:pt>
                <c:pt idx="6">
                  <c:v>24530.912199999999</c:v>
                </c:pt>
                <c:pt idx="7">
                  <c:v>21431.729599999999</c:v>
                </c:pt>
                <c:pt idx="8">
                  <c:v>23061.539799999999</c:v>
                </c:pt>
                <c:pt idx="9">
                  <c:v>22733.8586</c:v>
                </c:pt>
                <c:pt idx="10">
                  <c:v>22553.195800000001</c:v>
                </c:pt>
                <c:pt idx="11">
                  <c:v>20011.226999999999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68-4524-A6F9-928B5494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9192"/>
        <c:axId val="6596004"/>
      </c:scatterChart>
      <c:valAx>
        <c:axId val="340891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6596004"/>
        <c:crosses val="autoZero"/>
        <c:crossBetween val="midCat"/>
      </c:valAx>
      <c:valAx>
        <c:axId val="65960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408919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127440</xdr:colOff>
      <xdr:row>1</xdr:row>
      <xdr:rowOff>8640</xdr:rowOff>
    </xdr:from>
    <xdr:to>
      <xdr:col>15</xdr:col>
      <xdr:colOff>710640</xdr:colOff>
      <xdr:row>45</xdr:row>
      <xdr:rowOff>88200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85680</xdr:colOff>
      <xdr:row>47</xdr:row>
      <xdr:rowOff>0</xdr:rowOff>
    </xdr:from>
    <xdr:to>
      <xdr:col>15</xdr:col>
      <xdr:colOff>462960</xdr:colOff>
      <xdr:row>71</xdr:row>
      <xdr:rowOff>65520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45</xdr:row>
      <xdr:rowOff>0</xdr:rowOff>
    </xdr:from>
    <xdr:to>
      <xdr:col>10</xdr:col>
      <xdr:colOff>259920</xdr:colOff>
      <xdr:row>69</xdr:row>
      <xdr:rowOff>65160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50</xdr:row>
      <xdr:rowOff>160920</xdr:rowOff>
    </xdr:from>
    <xdr:to>
      <xdr:col>15</xdr:col>
      <xdr:colOff>217800</xdr:colOff>
      <xdr:row>75</xdr:row>
      <xdr:rowOff>51840</xdr:rowOff>
    </xdr:to>
    <xdr:graphicFrame macro="">
      <xdr:nvGraphicFramePr>
        <xdr:cNvPr id="3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75600</xdr:colOff>
      <xdr:row>20</xdr:row>
      <xdr:rowOff>18000</xdr:rowOff>
    </xdr:from>
    <xdr:to>
      <xdr:col>9</xdr:col>
      <xdr:colOff>470880</xdr:colOff>
      <xdr:row>35</xdr:row>
      <xdr:rowOff>19800</xdr:rowOff>
    </xdr:to>
    <xdr:graphicFrame macro="">
      <xdr:nvGraphicFramePr>
        <xdr:cNvPr id="4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topLeftCell="A4" zoomScale="88" zoomScaleNormal="88" workbookViewId="0">
      <selection activeCell="V15" sqref="V15"/>
    </sheetView>
  </sheetViews>
  <sheetFormatPr baseColWidth="10" defaultColWidth="8.88671875" defaultRowHeight="14.4"/>
  <cols>
    <col min="1" max="1025" width="10.44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53"/>
  <sheetViews>
    <sheetView topLeftCell="K19" zoomScale="70" zoomScaleNormal="70" workbookViewId="0">
      <selection activeCell="AB42" sqref="AB42"/>
    </sheetView>
  </sheetViews>
  <sheetFormatPr baseColWidth="10" defaultColWidth="8.88671875" defaultRowHeight="14.4"/>
  <cols>
    <col min="1" max="1" width="11" customWidth="1"/>
    <col min="2" max="2" width="2.88671875" customWidth="1"/>
    <col min="3" max="3" width="11" customWidth="1"/>
    <col min="4" max="4" width="5.21875" customWidth="1"/>
    <col min="5" max="5" width="30.33203125" customWidth="1"/>
    <col min="6" max="6" width="11.33203125" customWidth="1"/>
    <col min="7" max="7" width="10.21875" customWidth="1"/>
    <col min="8" max="8" width="12" customWidth="1"/>
    <col min="9" max="9" width="11.33203125" customWidth="1"/>
    <col min="10" max="16" width="11" customWidth="1"/>
    <col min="17" max="17" width="2.88671875" customWidth="1"/>
    <col min="18" max="18" width="17.21875" customWidth="1"/>
    <col min="19" max="19" width="9.44140625" customWidth="1"/>
    <col min="20" max="25" width="11" customWidth="1"/>
    <col min="26" max="26" width="18.33203125" customWidth="1"/>
    <col min="27" max="1025" width="11" customWidth="1"/>
  </cols>
  <sheetData>
    <row r="2" spans="2:19">
      <c r="C2" t="s">
        <v>0</v>
      </c>
    </row>
    <row r="5" spans="2:19"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/>
      <c r="R5" s="8" t="s">
        <v>1</v>
      </c>
    </row>
    <row r="6" spans="2:19">
      <c r="D6" s="9"/>
      <c r="E6" s="10" t="s">
        <v>2</v>
      </c>
      <c r="F6" s="11">
        <v>2011</v>
      </c>
      <c r="G6" s="11">
        <v>2012</v>
      </c>
      <c r="H6" s="11">
        <v>2013</v>
      </c>
      <c r="I6" s="11">
        <v>2014</v>
      </c>
      <c r="J6" s="11">
        <v>2015</v>
      </c>
      <c r="K6" s="11">
        <v>2016</v>
      </c>
      <c r="L6" s="11">
        <v>2017</v>
      </c>
      <c r="M6" s="11">
        <v>2018</v>
      </c>
      <c r="N6" s="11">
        <v>2019</v>
      </c>
      <c r="O6" s="11">
        <v>2020</v>
      </c>
      <c r="P6" s="11">
        <v>2021</v>
      </c>
      <c r="Q6" s="12"/>
      <c r="R6" s="8"/>
    </row>
    <row r="7" spans="2:19">
      <c r="C7" t="s">
        <v>3</v>
      </c>
      <c r="D7" s="9"/>
      <c r="E7" s="13" t="s">
        <v>4</v>
      </c>
      <c r="F7" s="14">
        <v>30520.9532</v>
      </c>
      <c r="G7" s="14">
        <v>30666.077300000001</v>
      </c>
      <c r="H7" s="14">
        <v>28330.7441</v>
      </c>
      <c r="I7" s="14">
        <v>27056.418399999999</v>
      </c>
      <c r="J7" s="14">
        <v>23897.5157</v>
      </c>
      <c r="K7" s="14">
        <v>20838.5861</v>
      </c>
      <c r="L7" s="14">
        <v>22063.136299999998</v>
      </c>
      <c r="M7" s="14">
        <v>22083.0059</v>
      </c>
      <c r="N7" s="14">
        <v>22354</v>
      </c>
      <c r="O7" s="14">
        <v>19808</v>
      </c>
      <c r="P7" s="14">
        <v>21079</v>
      </c>
      <c r="Q7" s="12"/>
      <c r="R7" s="8" t="s">
        <v>5</v>
      </c>
      <c r="S7" t="s">
        <v>6</v>
      </c>
    </row>
    <row r="8" spans="2:19">
      <c r="D8" s="9"/>
      <c r="E8" s="13" t="s">
        <v>7</v>
      </c>
      <c r="F8" s="14">
        <f t="shared" ref="F8:P8" si="0">F15+F33+F42</f>
        <v>35020.145398237211</v>
      </c>
      <c r="G8" s="14">
        <f t="shared" si="0"/>
        <v>30899.712772625462</v>
      </c>
      <c r="H8" s="14">
        <f t="shared" si="0"/>
        <v>29298.426471595212</v>
      </c>
      <c r="I8" s="14">
        <f t="shared" si="0"/>
        <v>25847.213918111906</v>
      </c>
      <c r="J8" s="14">
        <f t="shared" si="0"/>
        <v>26053.440133216143</v>
      </c>
      <c r="K8" s="14">
        <f t="shared" si="0"/>
        <v>24119.548591049104</v>
      </c>
      <c r="L8" s="14">
        <f t="shared" si="0"/>
        <v>27105.115009130866</v>
      </c>
      <c r="M8" s="14">
        <f t="shared" si="0"/>
        <v>22514.192540826847</v>
      </c>
      <c r="N8" s="14">
        <f t="shared" si="0"/>
        <v>21986.510232973171</v>
      </c>
      <c r="O8" s="14">
        <f t="shared" si="0"/>
        <v>1149.3086000000001</v>
      </c>
      <c r="P8" s="14">
        <f t="shared" si="0"/>
        <v>1216</v>
      </c>
      <c r="Q8" s="12"/>
      <c r="R8" s="8"/>
    </row>
    <row r="9" spans="2:19">
      <c r="D9" s="9"/>
      <c r="E9" s="15" t="s">
        <v>8</v>
      </c>
      <c r="F9" s="16">
        <f>F8*'comparaison Agreste'!$N11</f>
        <v>31367.446189981445</v>
      </c>
      <c r="G9" s="16">
        <f>G8*'comparaison Agreste'!$N11</f>
        <v>27676.786222880724</v>
      </c>
      <c r="H9" s="16">
        <f>H8*'comparaison Agreste'!$N11</f>
        <v>26242.51856604658</v>
      </c>
      <c r="I9" s="16">
        <f>I8*'comparaison Agreste'!$N11</f>
        <v>23151.277143987114</v>
      </c>
      <c r="J9" s="16">
        <f>J8*'comparaison Agreste'!$N11</f>
        <v>23335.993387500235</v>
      </c>
      <c r="K9" s="16">
        <f>K8*'comparaison Agreste'!$N11</f>
        <v>21603.812147349294</v>
      </c>
      <c r="L9" s="16">
        <f>L8*'comparaison Agreste'!$N11</f>
        <v>24277.975629563429</v>
      </c>
      <c r="M9" s="16">
        <f>M8*'comparaison Agreste'!$N11</f>
        <v>20165.899227557631</v>
      </c>
      <c r="N9" s="16"/>
      <c r="O9" s="16"/>
      <c r="P9" s="16"/>
      <c r="Q9" s="12"/>
      <c r="R9" s="8"/>
    </row>
    <row r="10" spans="2:19"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9"/>
      <c r="R10" s="8"/>
    </row>
    <row r="12" spans="2:19"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2"/>
      <c r="R12" s="8"/>
    </row>
    <row r="13" spans="2:19" ht="15.6">
      <c r="B13" s="23"/>
      <c r="C13" s="24" t="s">
        <v>9</v>
      </c>
      <c r="D13" s="25"/>
      <c r="E13" s="25"/>
      <c r="F13" s="26">
        <v>2011</v>
      </c>
      <c r="G13" s="26">
        <v>2012</v>
      </c>
      <c r="H13" s="26">
        <v>2013</v>
      </c>
      <c r="I13" s="26">
        <v>2014</v>
      </c>
      <c r="J13" s="26">
        <v>2015</v>
      </c>
      <c r="K13" s="26">
        <v>2016</v>
      </c>
      <c r="L13" s="26">
        <v>2017</v>
      </c>
      <c r="M13" s="26">
        <v>2018</v>
      </c>
      <c r="N13" s="26">
        <v>2019</v>
      </c>
      <c r="O13" s="26">
        <v>2020</v>
      </c>
      <c r="P13" s="26">
        <v>2021</v>
      </c>
      <c r="Q13" s="27"/>
      <c r="R13" s="8"/>
    </row>
    <row r="14" spans="2:19">
      <c r="B14" s="23"/>
      <c r="C14" s="25"/>
      <c r="D14" s="28" t="s">
        <v>10</v>
      </c>
      <c r="E14" s="28"/>
      <c r="F14" s="29">
        <v>20526.269400000001</v>
      </c>
      <c r="G14" s="29">
        <v>20624.5939</v>
      </c>
      <c r="H14" s="29">
        <v>19312.139899999998</v>
      </c>
      <c r="I14" s="29">
        <v>17998.034299999999</v>
      </c>
      <c r="J14" s="30">
        <v>15978.491400000001</v>
      </c>
      <c r="K14" s="30">
        <v>13723.922</v>
      </c>
      <c r="L14" s="30">
        <v>14663.350899999999</v>
      </c>
      <c r="M14" s="30">
        <v>15038.413699999999</v>
      </c>
      <c r="N14" s="30">
        <v>14920</v>
      </c>
      <c r="O14" s="30">
        <v>13081</v>
      </c>
      <c r="P14" s="30">
        <v>14738</v>
      </c>
      <c r="Q14" s="27"/>
      <c r="R14" s="8"/>
    </row>
    <row r="15" spans="2:19">
      <c r="B15" s="23"/>
      <c r="C15" s="25"/>
      <c r="D15" s="28" t="s">
        <v>11</v>
      </c>
      <c r="E15" s="28"/>
      <c r="F15" s="31">
        <f t="shared" ref="F15:P15" si="1">F24+F27</f>
        <v>24542.216067728736</v>
      </c>
      <c r="G15" s="31">
        <f t="shared" si="1"/>
        <v>21219.025804371493</v>
      </c>
      <c r="H15" s="31">
        <f t="shared" si="1"/>
        <v>19829.69813826188</v>
      </c>
      <c r="I15" s="31">
        <f t="shared" si="1"/>
        <v>17459.855452289121</v>
      </c>
      <c r="J15" s="31">
        <f t="shared" si="1"/>
        <v>18100.764670058248</v>
      </c>
      <c r="K15" s="31">
        <f t="shared" si="1"/>
        <v>16756.485967239583</v>
      </c>
      <c r="L15" s="31">
        <f t="shared" si="1"/>
        <v>19139.182209130868</v>
      </c>
      <c r="M15" s="31">
        <f t="shared" si="1"/>
        <v>15690.415736479019</v>
      </c>
      <c r="N15" s="31">
        <f t="shared" si="1"/>
        <v>14903.075450364475</v>
      </c>
      <c r="O15" s="31">
        <f t="shared" si="1"/>
        <v>0</v>
      </c>
      <c r="P15" s="31">
        <f t="shared" si="1"/>
        <v>0</v>
      </c>
      <c r="Q15" s="27"/>
      <c r="R15" s="8" t="s">
        <v>12</v>
      </c>
    </row>
    <row r="16" spans="2:19">
      <c r="B16" s="23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7"/>
      <c r="R16" s="8"/>
    </row>
    <row r="17" spans="2:33" hidden="1">
      <c r="B17" s="23"/>
      <c r="C17" s="25"/>
      <c r="D17" s="4" t="s">
        <v>13</v>
      </c>
      <c r="E17" s="4"/>
      <c r="F17" s="32"/>
      <c r="G17" s="32"/>
      <c r="H17" s="32"/>
      <c r="I17" s="32"/>
      <c r="J17" s="28">
        <v>64.3</v>
      </c>
      <c r="K17" s="28">
        <v>64.47</v>
      </c>
      <c r="L17" s="28">
        <v>64.64</v>
      </c>
      <c r="M17" s="28">
        <v>64.739999999999995</v>
      </c>
      <c r="N17" s="28"/>
      <c r="O17" s="28"/>
      <c r="P17" s="28"/>
      <c r="Q17" s="27"/>
      <c r="R17" s="8"/>
    </row>
    <row r="18" spans="2:33" hidden="1">
      <c r="B18" s="23"/>
      <c r="C18" s="25"/>
      <c r="D18" s="4" t="s">
        <v>14</v>
      </c>
      <c r="E18" s="4"/>
      <c r="F18" s="32"/>
      <c r="G18" s="32"/>
      <c r="H18" s="32"/>
      <c r="I18" s="32"/>
      <c r="J18" s="28">
        <v>2.29</v>
      </c>
      <c r="K18" s="28">
        <v>2.2799999999999998</v>
      </c>
      <c r="L18" s="28">
        <v>2.27</v>
      </c>
      <c r="M18" s="28">
        <v>2.2599999999999998</v>
      </c>
      <c r="N18" s="28"/>
      <c r="O18" s="28"/>
      <c r="P18" s="28"/>
      <c r="Q18" s="27"/>
      <c r="R18" s="8"/>
    </row>
    <row r="19" spans="2:33">
      <c r="B19" s="23"/>
      <c r="C19" s="25"/>
      <c r="D19" s="4" t="s">
        <v>15</v>
      </c>
      <c r="E19" s="4"/>
      <c r="F19" s="32">
        <v>361.5</v>
      </c>
      <c r="G19" s="32">
        <v>319.10000000000002</v>
      </c>
      <c r="H19" s="32">
        <v>301.7</v>
      </c>
      <c r="I19" s="32">
        <v>288.2</v>
      </c>
      <c r="J19" s="28">
        <f>292.3</f>
        <v>292.3</v>
      </c>
      <c r="K19" s="28">
        <v>315.5</v>
      </c>
      <c r="L19" s="28">
        <v>373.8</v>
      </c>
      <c r="M19" s="28">
        <v>337.6</v>
      </c>
      <c r="N19" s="28">
        <v>311.7</v>
      </c>
      <c r="O19" s="28">
        <v>351.4</v>
      </c>
      <c r="P19" s="28">
        <v>392.3</v>
      </c>
      <c r="Q19" s="27"/>
      <c r="R19" s="8" t="s">
        <v>16</v>
      </c>
      <c r="S19" t="s">
        <v>17</v>
      </c>
      <c r="U19">
        <v>2015</v>
      </c>
      <c r="V19">
        <v>2016</v>
      </c>
      <c r="W19">
        <v>2017</v>
      </c>
      <c r="X19">
        <v>2018</v>
      </c>
      <c r="Z19" t="s">
        <v>18</v>
      </c>
      <c r="AA19">
        <v>2015</v>
      </c>
      <c r="AB19">
        <v>2016</v>
      </c>
      <c r="AC19">
        <v>2017</v>
      </c>
      <c r="AD19">
        <v>2018</v>
      </c>
      <c r="AE19">
        <v>2019</v>
      </c>
      <c r="AF19">
        <v>2020</v>
      </c>
      <c r="AG19">
        <v>2021</v>
      </c>
    </row>
    <row r="20" spans="2:33">
      <c r="B20" s="23"/>
      <c r="C20" s="25"/>
      <c r="D20" s="3" t="s">
        <v>19</v>
      </c>
      <c r="E20" s="3"/>
      <c r="F20" s="33">
        <f>$AA23</f>
        <v>0.88015559448811242</v>
      </c>
      <c r="G20" s="33">
        <f>$AA23</f>
        <v>0.88015559448811242</v>
      </c>
      <c r="H20" s="33">
        <f>$AA23</f>
        <v>0.88015559448811242</v>
      </c>
      <c r="I20" s="33">
        <f>$AA23</f>
        <v>0.88015559448811242</v>
      </c>
      <c r="J20" s="33">
        <f>$AA23</f>
        <v>0.88015559448811242</v>
      </c>
      <c r="K20" s="33">
        <f t="shared" ref="K20:P20" si="2">AB23</f>
        <v>0.88360940560494194</v>
      </c>
      <c r="L20" s="33">
        <f t="shared" si="2"/>
        <v>0.87971951704864038</v>
      </c>
      <c r="M20" s="33">
        <f t="shared" si="2"/>
        <v>0.87441040926125013</v>
      </c>
      <c r="N20" s="33">
        <f t="shared" si="2"/>
        <v>0.87441040926125013</v>
      </c>
      <c r="O20" s="33">
        <f t="shared" si="2"/>
        <v>0.87441040926125013</v>
      </c>
      <c r="P20" s="33">
        <f t="shared" si="2"/>
        <v>0.87441040926125013</v>
      </c>
      <c r="Q20" s="27"/>
      <c r="R20" s="8" t="s">
        <v>20</v>
      </c>
      <c r="T20" t="s">
        <v>21</v>
      </c>
      <c r="U20">
        <f>1/Z51*2</f>
        <v>14.285714285714285</v>
      </c>
      <c r="V20">
        <f>1/AA51*2</f>
        <v>12.5</v>
      </c>
      <c r="W20">
        <f>1/AB51*2</f>
        <v>12.5</v>
      </c>
      <c r="X20">
        <f>1/AC51*2</f>
        <v>11.111111111111111</v>
      </c>
      <c r="Z20" t="s">
        <v>22</v>
      </c>
      <c r="AA20">
        <v>43164</v>
      </c>
    </row>
    <row r="21" spans="2:33">
      <c r="B21" s="23"/>
      <c r="C21" s="25"/>
      <c r="D21" s="4" t="s">
        <v>23</v>
      </c>
      <c r="E21" s="4"/>
      <c r="F21" s="34">
        <v>0.53600000000000003</v>
      </c>
      <c r="G21" s="34">
        <v>0.52200000000000002</v>
      </c>
      <c r="H21" s="34">
        <v>0.50900000000000001</v>
      </c>
      <c r="I21" s="34">
        <v>0.44500000000000001</v>
      </c>
      <c r="J21" s="35">
        <v>0.45114874509550801</v>
      </c>
      <c r="K21" s="35">
        <v>0.43993420567760799</v>
      </c>
      <c r="L21" s="35">
        <v>0.41598117507126497</v>
      </c>
      <c r="M21" s="35">
        <v>0.43381844456366297</v>
      </c>
      <c r="N21" s="35">
        <v>0.454026605252763</v>
      </c>
      <c r="O21" s="35"/>
      <c r="P21" s="35"/>
      <c r="Q21" s="27"/>
      <c r="R21" s="8" t="s">
        <v>24</v>
      </c>
      <c r="T21" t="s">
        <v>25</v>
      </c>
      <c r="U21">
        <f>1/Z51/2</f>
        <v>3.5714285714285712</v>
      </c>
      <c r="V21">
        <f>1/AA51/2</f>
        <v>3.125</v>
      </c>
      <c r="W21">
        <f>1/AB51/2</f>
        <v>3.125</v>
      </c>
      <c r="X21">
        <f>1/AC51/2</f>
        <v>2.7777777777777777</v>
      </c>
      <c r="Z21" t="s">
        <v>26</v>
      </c>
      <c r="AA21">
        <v>317003</v>
      </c>
      <c r="AB21">
        <v>375329</v>
      </c>
      <c r="AC21">
        <v>400085</v>
      </c>
      <c r="AD21">
        <v>371697</v>
      </c>
    </row>
    <row r="22" spans="2:33">
      <c r="B22" s="23"/>
      <c r="C22" s="25"/>
      <c r="D22" s="2" t="s">
        <v>27</v>
      </c>
      <c r="E22" s="28" t="s">
        <v>28</v>
      </c>
      <c r="F22" s="28">
        <v>123.056040644863</v>
      </c>
      <c r="G22" s="28">
        <v>121.970965926532</v>
      </c>
      <c r="H22" s="28">
        <v>118.454552290843</v>
      </c>
      <c r="I22" s="28">
        <v>114.798899288274</v>
      </c>
      <c r="J22" s="36">
        <v>115.696157148308</v>
      </c>
      <c r="K22" s="36">
        <v>115.200718838284</v>
      </c>
      <c r="L22" s="36">
        <v>114.98985490312</v>
      </c>
      <c r="M22" s="36">
        <v>115.171581137012</v>
      </c>
      <c r="N22" s="36">
        <v>115.375190769344</v>
      </c>
      <c r="O22" s="36"/>
      <c r="P22" s="36"/>
      <c r="Q22" s="27"/>
      <c r="R22" s="8" t="s">
        <v>29</v>
      </c>
      <c r="T22" t="s">
        <v>30</v>
      </c>
      <c r="U22" s="37">
        <f>(J21*U20)+((1-J21)*U21)</f>
        <v>8.4051651260232987</v>
      </c>
      <c r="V22" s="37">
        <f>(K21*V20)+((1-K21)*V21)</f>
        <v>7.2493831782275748</v>
      </c>
      <c r="W22" s="37">
        <f>(L21*W20)+((1-L21)*W21)</f>
        <v>7.0248235162931092</v>
      </c>
      <c r="X22" s="37">
        <f>(M21*X20)+((1-M21)*X21)</f>
        <v>6.3929314824749692</v>
      </c>
      <c r="Z22" t="s">
        <v>31</v>
      </c>
      <c r="AA22">
        <v>360167</v>
      </c>
      <c r="AB22">
        <v>424768</v>
      </c>
      <c r="AC22">
        <v>454787</v>
      </c>
      <c r="AD22">
        <v>425083</v>
      </c>
    </row>
    <row r="23" spans="2:33">
      <c r="B23" s="23"/>
      <c r="C23" s="25"/>
      <c r="D23" s="2"/>
      <c r="E23" s="28" t="s">
        <v>32</v>
      </c>
      <c r="F23" s="38">
        <f t="shared" ref="F23:P23" si="3">1/V51*$U31</f>
        <v>9.3333333333333339</v>
      </c>
      <c r="G23" s="38">
        <f t="shared" si="3"/>
        <v>9.3333333333333339</v>
      </c>
      <c r="H23" s="38">
        <f t="shared" si="3"/>
        <v>9.6551724137931032</v>
      </c>
      <c r="I23" s="38">
        <f t="shared" si="3"/>
        <v>9.8591549295774641</v>
      </c>
      <c r="J23" s="38">
        <f t="shared" si="3"/>
        <v>9.9999999999999982</v>
      </c>
      <c r="K23" s="38">
        <f t="shared" si="3"/>
        <v>8.75</v>
      </c>
      <c r="L23" s="38">
        <f t="shared" si="3"/>
        <v>8.75</v>
      </c>
      <c r="M23" s="38">
        <f t="shared" si="3"/>
        <v>7.7777777777777768</v>
      </c>
      <c r="N23" s="38">
        <f t="shared" si="3"/>
        <v>7.7777777777777768</v>
      </c>
      <c r="O23" s="38">
        <f t="shared" si="3"/>
        <v>7.7777777777777768</v>
      </c>
      <c r="P23" s="38">
        <f t="shared" si="3"/>
        <v>7.7777777777777768</v>
      </c>
      <c r="Q23" s="27"/>
      <c r="R23" s="8" t="s">
        <v>5</v>
      </c>
      <c r="T23" t="s">
        <v>33</v>
      </c>
      <c r="U23" s="39">
        <f>U22-(1/Z51)</f>
        <v>1.2623079831661563</v>
      </c>
      <c r="V23" s="39">
        <f>V22-(1/AA51)</f>
        <v>0.99938317822757483</v>
      </c>
      <c r="W23" s="39">
        <f>W22-(1/AB51)</f>
        <v>0.77482351629310919</v>
      </c>
      <c r="X23" s="39">
        <f>X22-(1/AC51)</f>
        <v>0.83737592691941387</v>
      </c>
      <c r="Z23" t="s">
        <v>34</v>
      </c>
      <c r="AA23" s="40">
        <f>AA21/AA22</f>
        <v>0.88015559448811242</v>
      </c>
      <c r="AB23" s="40">
        <f>AB21/AB22</f>
        <v>0.88360940560494194</v>
      </c>
      <c r="AC23" s="40">
        <f>AC21/AC22</f>
        <v>0.87971951704864038</v>
      </c>
      <c r="AD23" s="40">
        <f>AD21/AD22</f>
        <v>0.87441040926125013</v>
      </c>
      <c r="AE23" s="41">
        <f>AD23</f>
        <v>0.87441040926125013</v>
      </c>
      <c r="AF23" s="41">
        <f>AD23</f>
        <v>0.87441040926125013</v>
      </c>
      <c r="AG23" s="41">
        <f>AE23</f>
        <v>0.87441040926125013</v>
      </c>
    </row>
    <row r="24" spans="2:33">
      <c r="B24" s="23"/>
      <c r="C24" s="25"/>
      <c r="D24" s="2"/>
      <c r="E24" s="28" t="s">
        <v>35</v>
      </c>
      <c r="F24" s="29">
        <f t="shared" ref="F24:P24" si="4">F19*1000*F20*F21*F22*F23/10000</f>
        <v>19587.195552396264</v>
      </c>
      <c r="G24" s="29">
        <f t="shared" si="4"/>
        <v>16689.756511744556</v>
      </c>
      <c r="H24" s="29">
        <f t="shared" si="4"/>
        <v>15458.392685693825</v>
      </c>
      <c r="I24" s="29">
        <f t="shared" si="4"/>
        <v>12775.880958897282</v>
      </c>
      <c r="J24" s="29">
        <f t="shared" si="4"/>
        <v>13428.483099799121</v>
      </c>
      <c r="K24" s="29">
        <f t="shared" si="4"/>
        <v>12362.624156349013</v>
      </c>
      <c r="L24" s="29">
        <f t="shared" si="4"/>
        <v>13763.369854439261</v>
      </c>
      <c r="M24" s="29">
        <f t="shared" si="4"/>
        <v>11471.669579921199</v>
      </c>
      <c r="N24" s="29">
        <f t="shared" si="4"/>
        <v>11104.560805369856</v>
      </c>
      <c r="O24" s="29">
        <f t="shared" si="4"/>
        <v>0</v>
      </c>
      <c r="P24" s="29">
        <f t="shared" si="4"/>
        <v>0</v>
      </c>
      <c r="Q24" s="27"/>
      <c r="R24" s="8" t="s">
        <v>12</v>
      </c>
    </row>
    <row r="25" spans="2:33">
      <c r="B25" s="23"/>
      <c r="C25" s="25"/>
      <c r="D25" s="2" t="s">
        <v>36</v>
      </c>
      <c r="E25" s="28" t="s">
        <v>28</v>
      </c>
      <c r="F25" s="28">
        <v>70.482129272745695</v>
      </c>
      <c r="G25" s="28">
        <v>70.848927936408302</v>
      </c>
      <c r="H25" s="28">
        <v>68.059841983090905</v>
      </c>
      <c r="I25" s="28">
        <v>66.143091244126794</v>
      </c>
      <c r="J25" s="36">
        <v>64.854803507717193</v>
      </c>
      <c r="K25" s="36">
        <v>63.037019314164702</v>
      </c>
      <c r="L25" s="36">
        <v>62.702051307157497</v>
      </c>
      <c r="M25" s="36">
        <v>63.607812636929303</v>
      </c>
      <c r="N25" s="36">
        <v>64.326621827924697</v>
      </c>
      <c r="O25" s="36"/>
      <c r="P25" s="36"/>
      <c r="Q25" s="27"/>
      <c r="R25" s="8" t="s">
        <v>24</v>
      </c>
      <c r="T25" t="s">
        <v>37</v>
      </c>
      <c r="U25">
        <f>1/Z51*1.4</f>
        <v>9.9999999999999982</v>
      </c>
      <c r="V25">
        <f>1/AA51*1.4</f>
        <v>8.75</v>
      </c>
      <c r="W25">
        <f>1/AB51*1.4</f>
        <v>8.75</v>
      </c>
      <c r="X25">
        <f>1/AC51*1.4</f>
        <v>7.7777777777777768</v>
      </c>
    </row>
    <row r="26" spans="2:33">
      <c r="B26" s="23"/>
      <c r="C26" s="25"/>
      <c r="D26" s="2"/>
      <c r="E26" s="28" t="s">
        <v>32</v>
      </c>
      <c r="F26" s="38">
        <f t="shared" ref="F26:P26" si="5">1/V51/$U31</f>
        <v>4.7619047619047628</v>
      </c>
      <c r="G26" s="38">
        <f t="shared" si="5"/>
        <v>4.7619047619047628</v>
      </c>
      <c r="H26" s="38">
        <f t="shared" si="5"/>
        <v>4.9261083743842367</v>
      </c>
      <c r="I26" s="38">
        <f t="shared" si="5"/>
        <v>5.0301810865191152</v>
      </c>
      <c r="J26" s="38">
        <f t="shared" si="5"/>
        <v>5.1020408163265305</v>
      </c>
      <c r="K26" s="38">
        <f t="shared" si="5"/>
        <v>4.4642857142857144</v>
      </c>
      <c r="L26" s="38">
        <f t="shared" si="5"/>
        <v>4.4642857142857144</v>
      </c>
      <c r="M26" s="38">
        <f t="shared" si="5"/>
        <v>3.9682539682539684</v>
      </c>
      <c r="N26" s="38">
        <f t="shared" si="5"/>
        <v>3.9682539682539684</v>
      </c>
      <c r="O26" s="38">
        <f t="shared" si="5"/>
        <v>3.9682539682539684</v>
      </c>
      <c r="P26" s="38">
        <f t="shared" si="5"/>
        <v>3.9682539682539684</v>
      </c>
      <c r="Q26" s="27"/>
      <c r="R26" s="8" t="s">
        <v>5</v>
      </c>
      <c r="T26" t="s">
        <v>38</v>
      </c>
      <c r="U26">
        <f>1/Z51/1.4</f>
        <v>5.1020408163265305</v>
      </c>
      <c r="V26">
        <f>1/AA51/1.4</f>
        <v>4.4642857142857144</v>
      </c>
      <c r="W26">
        <f>1/AB51/1.4</f>
        <v>4.4642857142857144</v>
      </c>
      <c r="X26">
        <f>1/AC51/1.4</f>
        <v>3.9682539682539684</v>
      </c>
    </row>
    <row r="27" spans="2:33">
      <c r="B27" s="23"/>
      <c r="C27" s="25"/>
      <c r="D27" s="2"/>
      <c r="E27" s="28" t="s">
        <v>35</v>
      </c>
      <c r="F27" s="29">
        <f t="shared" ref="F27:P27" si="6">F19*1000*F20*(1-F21)*F25*F26/10000</f>
        <v>4955.0205153324714</v>
      </c>
      <c r="G27" s="29">
        <f t="shared" si="6"/>
        <v>4529.2692926269356</v>
      </c>
      <c r="H27" s="29">
        <f t="shared" si="6"/>
        <v>4371.3054525680545</v>
      </c>
      <c r="I27" s="29">
        <f t="shared" si="6"/>
        <v>4683.9744933918382</v>
      </c>
      <c r="J27" s="29">
        <f t="shared" si="6"/>
        <v>4672.2815702591279</v>
      </c>
      <c r="K27" s="29">
        <f t="shared" si="6"/>
        <v>4393.8618108905712</v>
      </c>
      <c r="L27" s="29">
        <f t="shared" si="6"/>
        <v>5375.8123546916058</v>
      </c>
      <c r="M27" s="29">
        <f t="shared" si="6"/>
        <v>4218.7461565578196</v>
      </c>
      <c r="N27" s="29">
        <f t="shared" si="6"/>
        <v>3798.5146449946178</v>
      </c>
      <c r="O27" s="29">
        <f t="shared" si="6"/>
        <v>0</v>
      </c>
      <c r="P27" s="29">
        <f t="shared" si="6"/>
        <v>0</v>
      </c>
      <c r="Q27" s="27"/>
      <c r="R27" s="8" t="s">
        <v>12</v>
      </c>
      <c r="T27" t="s">
        <v>30</v>
      </c>
      <c r="U27">
        <f>(J21*U25)+((1-J21)*U26)</f>
        <v>7.3117489555698345</v>
      </c>
      <c r="V27">
        <f>(K21*V25)+((1-K21)*V26)</f>
        <v>6.3497180243326063</v>
      </c>
      <c r="W27">
        <f>(L21*W25)+((1-L21)*W26)</f>
        <v>6.2470621788768499</v>
      </c>
      <c r="X27">
        <f>(M21*X25)+((1-M21)*X26)</f>
        <v>5.6208956618298265</v>
      </c>
    </row>
    <row r="28" spans="2:33">
      <c r="B28" s="42"/>
      <c r="C28" s="43"/>
      <c r="D28" s="44"/>
      <c r="E28" s="43"/>
      <c r="F28" s="43"/>
      <c r="G28" s="43"/>
      <c r="H28" s="43"/>
      <c r="I28" s="43"/>
      <c r="J28" s="45"/>
      <c r="K28" s="45"/>
      <c r="L28" s="45"/>
      <c r="M28" s="45"/>
      <c r="N28" s="45"/>
      <c r="O28" s="45"/>
      <c r="P28" s="45"/>
      <c r="Q28" s="46"/>
      <c r="R28" s="8"/>
      <c r="T28" t="s">
        <v>33</v>
      </c>
      <c r="U28">
        <f>U27-(1/Z51)</f>
        <v>0.16889181271269216</v>
      </c>
      <c r="V28">
        <f>V27-(1/AA51)</f>
        <v>9.9718024332606348E-2</v>
      </c>
      <c r="W28">
        <f>W27-(1/AB51)</f>
        <v>-2.9378211231501083E-3</v>
      </c>
      <c r="X28">
        <f>X27-(1/AC51)</f>
        <v>6.5340106274271115E-2</v>
      </c>
    </row>
    <row r="29" spans="2:33">
      <c r="B29" s="8"/>
      <c r="C29" s="8"/>
      <c r="D29" s="47"/>
      <c r="E29" s="8"/>
      <c r="F29" s="8"/>
      <c r="G29" s="8"/>
      <c r="H29" s="8"/>
      <c r="I29" s="8"/>
      <c r="J29" s="48"/>
      <c r="K29" s="48"/>
      <c r="L29" s="48"/>
      <c r="M29" s="48"/>
      <c r="N29" s="48"/>
      <c r="O29" s="48"/>
      <c r="P29" s="48"/>
      <c r="Q29" s="8"/>
      <c r="R29" s="8"/>
    </row>
    <row r="30" spans="2:33"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2"/>
      <c r="R30" s="8"/>
      <c r="T30" t="s">
        <v>39</v>
      </c>
    </row>
    <row r="31" spans="2:33" ht="15.6">
      <c r="B31" s="23"/>
      <c r="C31" s="24" t="s">
        <v>40</v>
      </c>
      <c r="D31" s="25"/>
      <c r="E31" s="25"/>
      <c r="F31" s="26">
        <v>2011</v>
      </c>
      <c r="G31" s="26">
        <v>2012</v>
      </c>
      <c r="H31" s="26">
        <v>2013</v>
      </c>
      <c r="I31" s="26">
        <v>2014</v>
      </c>
      <c r="J31" s="26">
        <v>2015</v>
      </c>
      <c r="K31" s="26">
        <v>2016</v>
      </c>
      <c r="L31" s="26">
        <v>2017</v>
      </c>
      <c r="M31" s="26">
        <v>2018</v>
      </c>
      <c r="N31" s="26">
        <v>2019</v>
      </c>
      <c r="O31" s="26">
        <v>2020</v>
      </c>
      <c r="P31" s="26">
        <v>2021</v>
      </c>
      <c r="Q31" s="27"/>
      <c r="R31" s="8"/>
      <c r="U31">
        <v>1.4</v>
      </c>
    </row>
    <row r="32" spans="2:33">
      <c r="B32" s="23"/>
      <c r="C32" s="25"/>
      <c r="D32" s="28" t="s">
        <v>41</v>
      </c>
      <c r="E32" s="28"/>
      <c r="F32" s="29">
        <v>7780.1442999999999</v>
      </c>
      <c r="G32" s="29">
        <v>7829.0504000000001</v>
      </c>
      <c r="H32" s="29">
        <v>6529.6091999999999</v>
      </c>
      <c r="I32" s="29">
        <v>6739.1269000000002</v>
      </c>
      <c r="J32" s="29">
        <v>5933.4540999999999</v>
      </c>
      <c r="K32" s="29">
        <v>5480.4110000000001</v>
      </c>
      <c r="L32" s="29">
        <v>5831.1026000000002</v>
      </c>
      <c r="M32" s="29">
        <v>5743.2066999999997</v>
      </c>
      <c r="N32" s="29">
        <v>6110</v>
      </c>
      <c r="O32" s="29">
        <v>5461.2834999999995</v>
      </c>
      <c r="P32" s="29">
        <v>5124</v>
      </c>
      <c r="Q32" s="27"/>
      <c r="R32" s="8"/>
      <c r="T32" s="37"/>
      <c r="U32" s="37"/>
      <c r="V32" s="37"/>
      <c r="W32" s="37"/>
    </row>
    <row r="33" spans="2:30">
      <c r="B33" s="23"/>
      <c r="C33" s="25"/>
      <c r="D33" s="28" t="s">
        <v>42</v>
      </c>
      <c r="E33" s="28"/>
      <c r="F33" s="29">
        <f t="shared" ref="F33:P33" si="7">F36*1000000*F37/10000</f>
        <v>8263.3898305084749</v>
      </c>
      <c r="G33" s="29">
        <f t="shared" si="7"/>
        <v>7468.2539682539673</v>
      </c>
      <c r="H33" s="29">
        <f t="shared" si="7"/>
        <v>6979.7333333333327</v>
      </c>
      <c r="I33" s="29">
        <f t="shared" si="7"/>
        <v>6068.1012658227837</v>
      </c>
      <c r="J33" s="29">
        <f t="shared" si="7"/>
        <v>5967.105263157895</v>
      </c>
      <c r="K33" s="29">
        <f t="shared" si="7"/>
        <v>5728.8095238095239</v>
      </c>
      <c r="L33" s="29">
        <f t="shared" si="7"/>
        <v>6397.25</v>
      </c>
      <c r="M33" s="29">
        <f t="shared" si="7"/>
        <v>5522.391304347826</v>
      </c>
      <c r="N33" s="29">
        <f t="shared" si="7"/>
        <v>5760.4347826086951</v>
      </c>
      <c r="O33" s="29">
        <f t="shared" si="7"/>
        <v>0</v>
      </c>
      <c r="P33" s="29">
        <f t="shared" si="7"/>
        <v>0</v>
      </c>
      <c r="Q33" s="27"/>
      <c r="R33" s="8" t="s">
        <v>12</v>
      </c>
      <c r="T33" s="49"/>
      <c r="U33" s="49"/>
      <c r="V33" s="49"/>
      <c r="W33" s="49"/>
    </row>
    <row r="34" spans="2:30">
      <c r="B34" s="23"/>
      <c r="C34" s="25"/>
      <c r="D34" s="50" t="s">
        <v>43</v>
      </c>
      <c r="E34" s="50"/>
      <c r="F34" s="50"/>
      <c r="G34" s="50"/>
      <c r="H34" s="50"/>
      <c r="I34" s="50"/>
      <c r="J34" s="51">
        <f>J33*2.2</f>
        <v>13127.63157894737</v>
      </c>
      <c r="K34" s="51">
        <f>K33*2.2</f>
        <v>12603.380952380954</v>
      </c>
      <c r="L34" s="51">
        <f>L33*2.2</f>
        <v>14073.95</v>
      </c>
      <c r="M34" s="51">
        <f>M33*2.2</f>
        <v>12149.260869565218</v>
      </c>
      <c r="N34" s="51"/>
      <c r="O34" s="51"/>
      <c r="P34" s="51"/>
      <c r="Q34" s="27"/>
      <c r="R34" s="8"/>
      <c r="S34" t="s">
        <v>44</v>
      </c>
    </row>
    <row r="35" spans="2:30" ht="57.6">
      <c r="B35" s="23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7"/>
      <c r="R35" s="8"/>
      <c r="T35" t="s">
        <v>45</v>
      </c>
      <c r="U35" s="52" t="s">
        <v>46</v>
      </c>
      <c r="V35" s="52" t="s">
        <v>47</v>
      </c>
      <c r="W35" s="52" t="s">
        <v>48</v>
      </c>
      <c r="X35" s="52" t="s">
        <v>49</v>
      </c>
      <c r="Y35" s="52" t="s">
        <v>50</v>
      </c>
      <c r="Z35" s="52" t="s">
        <v>51</v>
      </c>
      <c r="AA35" s="52" t="s">
        <v>52</v>
      </c>
      <c r="AB35" s="52" t="s">
        <v>53</v>
      </c>
      <c r="AC35" s="52" t="s">
        <v>54</v>
      </c>
      <c r="AD35" s="52" t="s">
        <v>55</v>
      </c>
    </row>
    <row r="36" spans="2:30">
      <c r="B36" s="23"/>
      <c r="C36" s="25"/>
      <c r="D36" s="4" t="s">
        <v>56</v>
      </c>
      <c r="E36" s="4"/>
      <c r="F36" s="53">
        <v>24.376999999999999</v>
      </c>
      <c r="G36" s="53">
        <v>23.524999999999999</v>
      </c>
      <c r="H36" s="53">
        <v>26.173999999999999</v>
      </c>
      <c r="I36" s="53">
        <v>23.969000000000001</v>
      </c>
      <c r="J36" s="54">
        <v>22.675000000000001</v>
      </c>
      <c r="K36" s="54">
        <v>24.061</v>
      </c>
      <c r="L36" s="54">
        <v>25.588999999999999</v>
      </c>
      <c r="M36" s="54">
        <v>25.402999999999999</v>
      </c>
      <c r="N36" s="54">
        <v>26.498000000000001</v>
      </c>
      <c r="O36" s="54"/>
      <c r="P36" s="54"/>
      <c r="Q36" s="27"/>
      <c r="R36" s="8" t="s">
        <v>57</v>
      </c>
      <c r="T36">
        <v>2015</v>
      </c>
      <c r="U36">
        <v>10.5</v>
      </c>
      <c r="V36">
        <v>22.64</v>
      </c>
    </row>
    <row r="37" spans="2:30">
      <c r="B37" s="23"/>
      <c r="C37" s="25"/>
      <c r="D37" s="4" t="s">
        <v>58</v>
      </c>
      <c r="E37" s="4"/>
      <c r="F37" s="55">
        <f t="shared" ref="F37:P37" si="8">1/V50</f>
        <v>3.3898305084745766</v>
      </c>
      <c r="G37" s="55">
        <f t="shared" si="8"/>
        <v>3.1746031746031744</v>
      </c>
      <c r="H37" s="55">
        <f t="shared" si="8"/>
        <v>2.6666666666666665</v>
      </c>
      <c r="I37" s="55">
        <f t="shared" si="8"/>
        <v>2.5316455696202529</v>
      </c>
      <c r="J37" s="55">
        <f t="shared" si="8"/>
        <v>2.6315789473684212</v>
      </c>
      <c r="K37" s="55">
        <f t="shared" si="8"/>
        <v>2.3809523809523809</v>
      </c>
      <c r="L37" s="55">
        <f t="shared" si="8"/>
        <v>2.5</v>
      </c>
      <c r="M37" s="55">
        <f t="shared" si="8"/>
        <v>2.1739130434782608</v>
      </c>
      <c r="N37" s="55">
        <f t="shared" si="8"/>
        <v>2.1739130434782608</v>
      </c>
      <c r="O37" s="55">
        <f t="shared" si="8"/>
        <v>2.1739130434782608</v>
      </c>
      <c r="P37" s="55">
        <f t="shared" si="8"/>
        <v>2.1739130434782608</v>
      </c>
      <c r="Q37" s="27"/>
      <c r="R37" s="8" t="s">
        <v>5</v>
      </c>
      <c r="T37" s="8">
        <v>2018</v>
      </c>
      <c r="U37" s="8">
        <v>11.7</v>
      </c>
      <c r="V37" s="8">
        <v>25</v>
      </c>
      <c r="W37" s="8">
        <v>11.7</v>
      </c>
      <c r="Y37">
        <v>11.7</v>
      </c>
    </row>
    <row r="38" spans="2:30">
      <c r="B38" s="42"/>
      <c r="C38" s="43"/>
      <c r="D38" s="43"/>
      <c r="E38" s="43"/>
      <c r="F38" s="43"/>
      <c r="G38" s="43"/>
      <c r="H38" s="43"/>
      <c r="I38" s="43"/>
      <c r="J38" s="56"/>
      <c r="K38" s="56"/>
      <c r="L38" s="56"/>
      <c r="M38" s="56"/>
      <c r="N38" s="56"/>
      <c r="O38" s="56"/>
      <c r="P38" s="56"/>
      <c r="Q38" s="46"/>
      <c r="R38" s="8"/>
      <c r="T38">
        <v>2030</v>
      </c>
      <c r="U38">
        <v>8.1999999999999993</v>
      </c>
      <c r="V38" s="57">
        <f>U38*V$37/U$37</f>
        <v>17.52136752136752</v>
      </c>
      <c r="W38">
        <v>7.4</v>
      </c>
      <c r="X38" s="57">
        <f>V$37*W38/W$37</f>
        <v>15.811965811965813</v>
      </c>
      <c r="Y38">
        <v>7.35</v>
      </c>
      <c r="Z38" s="58">
        <f>V$37*Y38/W$37</f>
        <v>15.705128205128206</v>
      </c>
      <c r="AA38">
        <v>2.12447031458158</v>
      </c>
      <c r="AB38" s="59">
        <f>V$37*AA38/U$37</f>
        <v>4.5394664841486749</v>
      </c>
      <c r="AC38">
        <v>1.0291456531773699</v>
      </c>
      <c r="AD38" s="59">
        <f>V$37*AC38/U$37</f>
        <v>2.1990291734559189</v>
      </c>
    </row>
    <row r="39" spans="2:30">
      <c r="T39">
        <v>2040</v>
      </c>
      <c r="U39">
        <v>7.3</v>
      </c>
      <c r="V39" s="57">
        <f>U39*V$37/U$37</f>
        <v>15.5982905982906</v>
      </c>
      <c r="W39">
        <v>8.4</v>
      </c>
      <c r="X39" s="57">
        <f>V$37*W39/W$37</f>
        <v>17.948717948717949</v>
      </c>
      <c r="Y39">
        <v>6.53</v>
      </c>
      <c r="Z39" s="58">
        <f>V$37*Y39/W$37</f>
        <v>13.952991452991453</v>
      </c>
      <c r="AA39">
        <v>2.43324316774933</v>
      </c>
      <c r="AB39" s="59">
        <f>V$37*AA39/U$37</f>
        <v>5.199237537925919</v>
      </c>
      <c r="AC39">
        <v>0</v>
      </c>
      <c r="AD39" s="59">
        <f>V$37*AC39/U$37</f>
        <v>0</v>
      </c>
    </row>
    <row r="40" spans="2:30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8"/>
      <c r="T40">
        <v>2050</v>
      </c>
      <c r="U40">
        <v>7.8</v>
      </c>
      <c r="V40" s="57">
        <f>U40*V$37/U$37</f>
        <v>16.666666666666668</v>
      </c>
      <c r="W40">
        <v>7.3</v>
      </c>
      <c r="X40" s="57">
        <f>V$37*W40/W$37</f>
        <v>15.5982905982906</v>
      </c>
      <c r="Y40">
        <v>6.86</v>
      </c>
      <c r="Z40" s="58">
        <f>V$37*Y40/W$37</f>
        <v>14.658119658119659</v>
      </c>
      <c r="AA40">
        <v>0.39431518951390199</v>
      </c>
      <c r="AB40">
        <f>V$37*AA40/U$37</f>
        <v>0.84255382374765375</v>
      </c>
      <c r="AC40">
        <v>0</v>
      </c>
      <c r="AD40">
        <f>V$37*AC40/U$37</f>
        <v>0</v>
      </c>
    </row>
    <row r="41" spans="2:30" ht="15.75" customHeight="1">
      <c r="B41" s="23"/>
      <c r="C41" s="1" t="s">
        <v>59</v>
      </c>
      <c r="D41" s="1"/>
      <c r="E41" s="1"/>
      <c r="F41" s="26">
        <v>2011</v>
      </c>
      <c r="G41" s="26">
        <v>2012</v>
      </c>
      <c r="H41" s="26">
        <v>2013</v>
      </c>
      <c r="I41" s="26">
        <v>2014</v>
      </c>
      <c r="J41" s="26">
        <v>2015</v>
      </c>
      <c r="K41" s="26">
        <v>2016</v>
      </c>
      <c r="L41" s="26">
        <v>2017</v>
      </c>
      <c r="M41" s="26">
        <v>2018</v>
      </c>
      <c r="N41" s="26">
        <v>2019</v>
      </c>
      <c r="O41" s="26">
        <v>2020</v>
      </c>
      <c r="P41" s="26">
        <v>2021</v>
      </c>
      <c r="Q41" s="27"/>
      <c r="R41" s="8"/>
    </row>
    <row r="42" spans="2:30">
      <c r="B42" s="23"/>
      <c r="C42" s="1"/>
      <c r="D42" s="1"/>
      <c r="E42" s="1"/>
      <c r="F42" s="29">
        <v>2214.5394999999999</v>
      </c>
      <c r="G42" s="29">
        <v>2212.433</v>
      </c>
      <c r="H42" s="29">
        <v>2488.9949999999999</v>
      </c>
      <c r="I42" s="29">
        <v>2319.2572</v>
      </c>
      <c r="J42" s="29">
        <v>1985.5702000000001</v>
      </c>
      <c r="K42" s="29">
        <v>1634.2530999999999</v>
      </c>
      <c r="L42" s="29">
        <v>1568.6828</v>
      </c>
      <c r="M42" s="29">
        <v>1301.3855000000001</v>
      </c>
      <c r="N42" s="29">
        <v>1323</v>
      </c>
      <c r="O42" s="29">
        <v>1149.3086000000001</v>
      </c>
      <c r="P42" s="29">
        <v>1216</v>
      </c>
      <c r="Q42" s="60"/>
      <c r="R42" s="8" t="s">
        <v>12</v>
      </c>
    </row>
    <row r="43" spans="2:30">
      <c r="B43" s="23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7"/>
      <c r="R43" s="8"/>
    </row>
    <row r="44" spans="2:30">
      <c r="B44" s="23"/>
      <c r="C44" s="25"/>
      <c r="D44" s="25" t="s">
        <v>60</v>
      </c>
      <c r="E44" s="25"/>
      <c r="F44" s="33">
        <f t="shared" ref="F44:O44" si="9">F42/(F14+F32)</f>
        <v>7.8234548659903175E-2</v>
      </c>
      <c r="G44" s="33">
        <f t="shared" si="9"/>
        <v>7.7755698942226531E-2</v>
      </c>
      <c r="H44" s="33">
        <f t="shared" si="9"/>
        <v>9.6316816263803146E-2</v>
      </c>
      <c r="I44" s="33">
        <f t="shared" si="9"/>
        <v>9.3755996544987549E-2</v>
      </c>
      <c r="J44" s="33">
        <f t="shared" si="9"/>
        <v>9.0615878904956204E-2</v>
      </c>
      <c r="K44" s="33">
        <f t="shared" si="9"/>
        <v>8.5098144257340261E-2</v>
      </c>
      <c r="L44" s="33">
        <f t="shared" si="9"/>
        <v>7.6541821425001655E-2</v>
      </c>
      <c r="M44" s="33">
        <f t="shared" si="9"/>
        <v>6.2621945495645759E-2</v>
      </c>
      <c r="N44" s="33">
        <f t="shared" si="9"/>
        <v>6.2910128388017114E-2</v>
      </c>
      <c r="O44" s="33">
        <f t="shared" si="9"/>
        <v>6.1983120903096982E-2</v>
      </c>
      <c r="P44" s="61"/>
      <c r="Q44" s="27"/>
      <c r="R44" s="8" t="s">
        <v>5</v>
      </c>
      <c r="S44" t="s">
        <v>61</v>
      </c>
    </row>
    <row r="45" spans="2:30">
      <c r="B45" s="42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6"/>
      <c r="R45" s="8"/>
    </row>
    <row r="48" spans="2:30">
      <c r="T48" t="s">
        <v>62</v>
      </c>
    </row>
    <row r="49" spans="20:32">
      <c r="U49">
        <v>2010</v>
      </c>
      <c r="V49">
        <f t="shared" ref="V49:AC49" si="10">U49+1</f>
        <v>2011</v>
      </c>
      <c r="W49">
        <f t="shared" si="10"/>
        <v>2012</v>
      </c>
      <c r="X49">
        <f t="shared" si="10"/>
        <v>2013</v>
      </c>
      <c r="Y49">
        <f t="shared" si="10"/>
        <v>2014</v>
      </c>
      <c r="Z49">
        <f t="shared" si="10"/>
        <v>2015</v>
      </c>
      <c r="AA49">
        <f t="shared" si="10"/>
        <v>2016</v>
      </c>
      <c r="AB49">
        <f t="shared" si="10"/>
        <v>2017</v>
      </c>
      <c r="AC49">
        <f t="shared" si="10"/>
        <v>2018</v>
      </c>
      <c r="AD49">
        <v>2019</v>
      </c>
      <c r="AE49">
        <v>2020</v>
      </c>
      <c r="AF49">
        <v>2021</v>
      </c>
    </row>
    <row r="50" spans="20:32">
      <c r="T50" t="s">
        <v>63</v>
      </c>
      <c r="U50">
        <v>0.32</v>
      </c>
      <c r="V50">
        <v>0.29499999999999998</v>
      </c>
      <c r="W50">
        <v>0.315</v>
      </c>
      <c r="X50">
        <v>0.375</v>
      </c>
      <c r="Y50">
        <v>0.39500000000000002</v>
      </c>
      <c r="Z50">
        <v>0.38</v>
      </c>
      <c r="AA50">
        <v>0.42</v>
      </c>
      <c r="AB50">
        <v>0.4</v>
      </c>
      <c r="AC50">
        <v>0.46</v>
      </c>
      <c r="AD50">
        <v>0.46</v>
      </c>
      <c r="AE50">
        <v>0.46</v>
      </c>
      <c r="AF50">
        <v>0.46</v>
      </c>
    </row>
    <row r="51" spans="20:32">
      <c r="T51" t="s">
        <v>64</v>
      </c>
      <c r="U51">
        <v>0.14000000000000001</v>
      </c>
      <c r="V51">
        <v>0.15</v>
      </c>
      <c r="W51">
        <v>0.15</v>
      </c>
      <c r="X51">
        <v>0.14499999999999999</v>
      </c>
      <c r="Y51">
        <v>0.14199999999999999</v>
      </c>
      <c r="Z51">
        <v>0.14000000000000001</v>
      </c>
      <c r="AA51">
        <v>0.16</v>
      </c>
      <c r="AB51">
        <v>0.16</v>
      </c>
      <c r="AC51">
        <v>0.18</v>
      </c>
      <c r="AD51" s="62">
        <f>AC51</f>
        <v>0.18</v>
      </c>
      <c r="AE51" s="62">
        <f>AD51</f>
        <v>0.18</v>
      </c>
      <c r="AF51" s="62">
        <f>AE51</f>
        <v>0.18</v>
      </c>
    </row>
    <row r="52" spans="20:32">
      <c r="T52" t="s">
        <v>65</v>
      </c>
      <c r="U52" s="58">
        <v>0.28189957302967</v>
      </c>
      <c r="V52" s="58">
        <v>0.31332323746231799</v>
      </c>
      <c r="W52" s="58">
        <v>0.300483440494903</v>
      </c>
      <c r="X52" s="58">
        <v>0.40085094219727602</v>
      </c>
      <c r="Y52" s="58">
        <v>0.35566921881230601</v>
      </c>
      <c r="Z52" s="58">
        <v>0.382155142988297</v>
      </c>
      <c r="AA52" s="58">
        <v>0.43903641533454302</v>
      </c>
      <c r="AB52" s="58">
        <v>0.43883638747841602</v>
      </c>
      <c r="AC52" s="58">
        <v>0.44231387318864901</v>
      </c>
      <c r="AD52" s="58">
        <v>0.44534285374551102</v>
      </c>
    </row>
    <row r="53" spans="20:32">
      <c r="T53" t="s">
        <v>66</v>
      </c>
      <c r="U53" s="58">
        <v>0.15732701530264401</v>
      </c>
      <c r="V53" s="58">
        <v>0.16241817493434399</v>
      </c>
      <c r="W53" s="58">
        <v>0.151371909852414</v>
      </c>
      <c r="X53" s="58">
        <v>0.149543847685633</v>
      </c>
      <c r="Y53" s="58">
        <v>0.14547129274043999</v>
      </c>
      <c r="Z53" s="58">
        <v>0.178364763367207</v>
      </c>
      <c r="AA53" s="58">
        <v>0.175043359291088</v>
      </c>
      <c r="AB53" s="58">
        <v>0.196412205364453</v>
      </c>
      <c r="AC53" s="58">
        <v>0.188902631845873</v>
      </c>
      <c r="AD53" s="58">
        <v>0.20184248903936799</v>
      </c>
    </row>
  </sheetData>
  <mergeCells count="10">
    <mergeCell ref="D22:D24"/>
    <mergeCell ref="D25:D27"/>
    <mergeCell ref="D36:E36"/>
    <mergeCell ref="D37:E37"/>
    <mergeCell ref="C41:E42"/>
    <mergeCell ref="D17:E17"/>
    <mergeCell ref="D18:E18"/>
    <mergeCell ref="D19:E19"/>
    <mergeCell ref="D20:E20"/>
    <mergeCell ref="D21:E21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A6099"/>
  </sheetPr>
  <dimension ref="B2:V51"/>
  <sheetViews>
    <sheetView topLeftCell="A23" zoomScaleNormal="100" workbookViewId="0">
      <selection activeCell="L37" sqref="L37"/>
    </sheetView>
  </sheetViews>
  <sheetFormatPr baseColWidth="10" defaultColWidth="8.88671875" defaultRowHeight="14.4"/>
  <cols>
    <col min="1" max="1" width="11" customWidth="1"/>
    <col min="2" max="2" width="2.88671875" customWidth="1"/>
    <col min="3" max="3" width="10.44140625" customWidth="1"/>
    <col min="4" max="4" width="5.21875" customWidth="1"/>
    <col min="5" max="5" width="30.33203125" customWidth="1"/>
    <col min="6" max="7" width="10.44140625" customWidth="1"/>
    <col min="8" max="9" width="11" customWidth="1"/>
    <col min="10" max="10" width="2.88671875" customWidth="1"/>
    <col min="11" max="11" width="9.44140625" customWidth="1"/>
    <col min="12" max="1025" width="10.44140625" customWidth="1"/>
  </cols>
  <sheetData>
    <row r="2" spans="2:15">
      <c r="C2" t="s">
        <v>67</v>
      </c>
    </row>
    <row r="5" spans="2:15">
      <c r="D5" s="5"/>
      <c r="E5" s="6"/>
      <c r="F5" s="6"/>
      <c r="G5" s="6"/>
      <c r="H5" s="6"/>
      <c r="I5" s="6"/>
      <c r="J5" s="7"/>
    </row>
    <row r="6" spans="2:15">
      <c r="D6" s="9"/>
      <c r="E6" s="10"/>
      <c r="F6" s="11">
        <v>2019</v>
      </c>
      <c r="G6" s="63">
        <v>2030</v>
      </c>
      <c r="H6" s="63">
        <v>2040</v>
      </c>
      <c r="I6" s="63">
        <v>2050</v>
      </c>
      <c r="J6" s="12"/>
    </row>
    <row r="7" spans="2:15">
      <c r="D7" s="9"/>
      <c r="E7" s="13" t="s">
        <v>4</v>
      </c>
      <c r="F7" s="14">
        <f>Historique_!N7</f>
        <v>22354</v>
      </c>
      <c r="G7" s="64"/>
      <c r="H7" s="64"/>
      <c r="I7" s="64"/>
      <c r="J7" s="12"/>
    </row>
    <row r="8" spans="2:15">
      <c r="D8" s="9"/>
      <c r="E8" s="13" t="s">
        <v>7</v>
      </c>
      <c r="F8" s="65">
        <f>F16+F35+F43-F50</f>
        <v>22353</v>
      </c>
      <c r="G8" s="65">
        <f>G15+G34+G43-G50</f>
        <v>15360.924260492147</v>
      </c>
      <c r="H8" s="65">
        <f>H15+H34+H43-H50</f>
        <v>13793.595536528117</v>
      </c>
      <c r="I8" s="65">
        <f>I15+I34+I43-I50</f>
        <v>7907.2270772442089</v>
      </c>
      <c r="J8" s="12"/>
      <c r="L8" s="66"/>
      <c r="M8" s="66"/>
      <c r="N8" s="66"/>
      <c r="O8" s="66"/>
    </row>
    <row r="9" spans="2:15">
      <c r="D9" s="9"/>
      <c r="E9" s="15" t="s">
        <v>8</v>
      </c>
      <c r="F9" s="14">
        <v>33727.074112178801</v>
      </c>
      <c r="G9" s="16">
        <f>G8*'comparaison Agreste'!$N11</f>
        <v>13758.73685531933</v>
      </c>
      <c r="H9" s="16">
        <f>H8*'comparaison Agreste'!$N11</f>
        <v>12354.884905194967</v>
      </c>
      <c r="I9" s="16">
        <f>I8*'comparaison Agreste'!$N11</f>
        <v>7082.481155829435</v>
      </c>
      <c r="J9" s="12"/>
    </row>
    <row r="10" spans="2:15">
      <c r="D10" s="17"/>
      <c r="E10" s="18"/>
      <c r="F10" s="18"/>
      <c r="G10" s="18"/>
      <c r="H10" s="18"/>
      <c r="I10" s="18"/>
      <c r="J10" s="19"/>
    </row>
    <row r="12" spans="2:15">
      <c r="B12" s="20"/>
      <c r="C12" s="21"/>
      <c r="D12" s="21"/>
      <c r="E12" s="21"/>
      <c r="F12" s="21"/>
      <c r="G12" s="21"/>
      <c r="H12" s="21"/>
      <c r="I12" s="21"/>
      <c r="J12" s="22"/>
    </row>
    <row r="13" spans="2:15" ht="15.6">
      <c r="B13" s="23"/>
      <c r="C13" s="24" t="s">
        <v>9</v>
      </c>
      <c r="D13" s="25"/>
      <c r="E13" s="25"/>
      <c r="F13" s="26">
        <v>2019</v>
      </c>
      <c r="G13" s="26">
        <f>G6</f>
        <v>2030</v>
      </c>
      <c r="H13" s="26">
        <v>2040</v>
      </c>
      <c r="I13" s="26">
        <v>2050</v>
      </c>
      <c r="J13" s="27"/>
    </row>
    <row r="14" spans="2:15">
      <c r="B14" s="23"/>
      <c r="C14" s="25"/>
      <c r="D14" s="28" t="s">
        <v>10</v>
      </c>
      <c r="E14" s="28"/>
      <c r="F14" s="30">
        <f>Historique_!N14</f>
        <v>14920</v>
      </c>
      <c r="G14" s="64"/>
      <c r="H14" s="64"/>
      <c r="I14" s="64"/>
      <c r="J14" s="27"/>
    </row>
    <row r="15" spans="2:15">
      <c r="B15" s="23"/>
      <c r="C15" s="25"/>
      <c r="D15" s="28" t="s">
        <v>11</v>
      </c>
      <c r="E15" s="28"/>
      <c r="F15" s="31">
        <f>F25+F28</f>
        <v>14903.075450364475</v>
      </c>
      <c r="G15" s="31">
        <f>G25+G28</f>
        <v>13665.255081481308</v>
      </c>
      <c r="H15" s="31">
        <f>H25+H28</f>
        <v>12066.564745954196</v>
      </c>
      <c r="I15" s="31">
        <f>I25+I28</f>
        <v>7306.303390157369</v>
      </c>
      <c r="J15" s="27"/>
    </row>
    <row r="16" spans="2:15">
      <c r="B16" s="23"/>
      <c r="C16" s="25"/>
      <c r="D16" s="28" t="s">
        <v>68</v>
      </c>
      <c r="E16" s="28"/>
      <c r="F16" s="31">
        <f>F15*$F14/$F15</f>
        <v>14920</v>
      </c>
      <c r="G16" s="31">
        <f>G15*$F14/$F15</f>
        <v>13680.773911046314</v>
      </c>
      <c r="H16" s="31">
        <f>H15*$F16/$F15</f>
        <v>12080.268036570509</v>
      </c>
      <c r="I16" s="31">
        <f>I15*$F16/$F15</f>
        <v>7314.6007308499502</v>
      </c>
      <c r="J16" s="27"/>
    </row>
    <row r="17" spans="2:22">
      <c r="B17" s="23"/>
      <c r="C17" s="25"/>
      <c r="D17" s="25"/>
      <c r="E17" s="25"/>
      <c r="F17" s="25"/>
      <c r="G17" s="25"/>
      <c r="H17" s="25"/>
      <c r="I17" s="25"/>
      <c r="J17" s="27"/>
    </row>
    <row r="18" spans="2:22" hidden="1">
      <c r="B18" s="23"/>
      <c r="C18" s="25"/>
      <c r="D18" s="4" t="s">
        <v>13</v>
      </c>
      <c r="E18" s="4"/>
      <c r="F18" s="28">
        <v>64.739999999999995</v>
      </c>
      <c r="G18" s="67">
        <v>66.95</v>
      </c>
      <c r="H18" s="68"/>
      <c r="I18" s="68"/>
      <c r="J18" s="27"/>
    </row>
    <row r="19" spans="2:22" hidden="1">
      <c r="B19" s="23"/>
      <c r="C19" s="25"/>
      <c r="D19" s="4" t="s">
        <v>14</v>
      </c>
      <c r="E19" s="4"/>
      <c r="F19" s="28">
        <v>2.2599999999999998</v>
      </c>
      <c r="G19" s="67">
        <v>2.17</v>
      </c>
      <c r="H19" s="68"/>
      <c r="I19" s="68"/>
      <c r="J19" s="27"/>
    </row>
    <row r="20" spans="2:22">
      <c r="B20" s="23"/>
      <c r="C20" s="25"/>
      <c r="D20" s="4" t="s">
        <v>15</v>
      </c>
      <c r="E20" s="4"/>
      <c r="F20" s="69">
        <f>Historique_!N19</f>
        <v>311.7</v>
      </c>
      <c r="G20" s="70">
        <v>293.71883057598097</v>
      </c>
      <c r="H20" s="70">
        <v>259.35683345230598</v>
      </c>
      <c r="I20" s="70">
        <v>157.04052904936501</v>
      </c>
      <c r="J20" s="27"/>
      <c r="K20" t="s">
        <v>69</v>
      </c>
    </row>
    <row r="21" spans="2:22">
      <c r="B21" s="23"/>
      <c r="C21" s="25"/>
      <c r="D21" s="3" t="s">
        <v>19</v>
      </c>
      <c r="E21" s="3"/>
      <c r="F21" s="71">
        <f>Historique_!N20</f>
        <v>0.87441040926125013</v>
      </c>
      <c r="G21" s="72">
        <v>0.85</v>
      </c>
      <c r="H21" s="72">
        <v>0.85</v>
      </c>
      <c r="I21" s="72">
        <v>0.85</v>
      </c>
      <c r="J21" s="27"/>
    </row>
    <row r="22" spans="2:22">
      <c r="B22" s="23"/>
      <c r="C22" s="25"/>
      <c r="D22" s="4" t="s">
        <v>23</v>
      </c>
      <c r="E22" s="4"/>
      <c r="F22" s="71">
        <f>Historique_!N21</f>
        <v>0.454026605252763</v>
      </c>
      <c r="G22" s="73">
        <v>0.51</v>
      </c>
      <c r="H22" s="73">
        <v>0.51</v>
      </c>
      <c r="I22" s="73">
        <v>0.51</v>
      </c>
      <c r="J22" s="27"/>
    </row>
    <row r="23" spans="2:22">
      <c r="B23" s="23"/>
      <c r="C23" s="25"/>
      <c r="D23" s="2" t="s">
        <v>27</v>
      </c>
      <c r="E23" s="28" t="s">
        <v>28</v>
      </c>
      <c r="F23" s="69">
        <f>Historique_!N22</f>
        <v>115.375190769344</v>
      </c>
      <c r="G23" s="67">
        <v>120</v>
      </c>
      <c r="H23" s="67">
        <v>120</v>
      </c>
      <c r="I23" s="67">
        <v>120</v>
      </c>
      <c r="J23" s="27"/>
      <c r="M23" s="37"/>
      <c r="N23" s="37"/>
      <c r="O23" s="37"/>
      <c r="P23" s="37"/>
    </row>
    <row r="24" spans="2:22">
      <c r="B24" s="23"/>
      <c r="C24" s="25"/>
      <c r="D24" s="2"/>
      <c r="E24" s="28" t="s">
        <v>32</v>
      </c>
      <c r="F24" s="69">
        <f>Historique_!N23</f>
        <v>7.7777777777777768</v>
      </c>
      <c r="G24" s="38">
        <v>7</v>
      </c>
      <c r="H24" s="38">
        <v>7</v>
      </c>
      <c r="I24" s="38">
        <v>7</v>
      </c>
      <c r="J24" s="27"/>
      <c r="K24" s="58"/>
      <c r="M24" s="39"/>
      <c r="N24" s="39"/>
      <c r="O24" s="39"/>
      <c r="P24" s="39"/>
      <c r="S24" s="40"/>
      <c r="T24" s="40"/>
      <c r="U24" s="40"/>
      <c r="V24" s="40"/>
    </row>
    <row r="25" spans="2:22">
      <c r="B25" s="23"/>
      <c r="C25" s="25"/>
      <c r="D25" s="2"/>
      <c r="E25" s="28" t="s">
        <v>35</v>
      </c>
      <c r="F25" s="69">
        <f>Historique_!N24</f>
        <v>11104.560805369856</v>
      </c>
      <c r="G25" s="29">
        <f>G20*1000*G21*G22*G23*G24/10000</f>
        <v>10695.47749659377</v>
      </c>
      <c r="H25" s="29">
        <f>H20*1000*H21*H22*H23*H24/10000</f>
        <v>9444.2197333322692</v>
      </c>
      <c r="I25" s="29">
        <f>I20*1000*I21*I22*I23*I24/10000</f>
        <v>5718.4738248035765</v>
      </c>
      <c r="J25" s="27"/>
      <c r="K25" s="58"/>
    </row>
    <row r="26" spans="2:22">
      <c r="B26" s="23"/>
      <c r="C26" s="25"/>
      <c r="D26" s="2" t="s">
        <v>36</v>
      </c>
      <c r="E26" s="28" t="s">
        <v>28</v>
      </c>
      <c r="F26" s="69">
        <f>Historique_!N25</f>
        <v>64.326621827924697</v>
      </c>
      <c r="G26" s="67">
        <v>68</v>
      </c>
      <c r="H26" s="67">
        <v>68</v>
      </c>
      <c r="I26" s="67">
        <v>68</v>
      </c>
      <c r="J26" s="27"/>
      <c r="K26" s="58"/>
    </row>
    <row r="27" spans="2:22">
      <c r="B27" s="23"/>
      <c r="C27" s="25"/>
      <c r="D27" s="2"/>
      <c r="E27" s="28" t="s">
        <v>32</v>
      </c>
      <c r="F27" s="69">
        <f>Historique_!N26</f>
        <v>3.9682539682539684</v>
      </c>
      <c r="G27" s="38">
        <v>3.57</v>
      </c>
      <c r="H27" s="38">
        <v>3.57</v>
      </c>
      <c r="I27" s="38">
        <v>3.57</v>
      </c>
      <c r="J27" s="27"/>
      <c r="K27" s="58"/>
    </row>
    <row r="28" spans="2:22">
      <c r="B28" s="23"/>
      <c r="C28" s="25"/>
      <c r="D28" s="2"/>
      <c r="E28" s="28" t="s">
        <v>35</v>
      </c>
      <c r="F28" s="69">
        <f>Historique_!N27</f>
        <v>3798.5146449946178</v>
      </c>
      <c r="G28" s="29">
        <f>G20*1000*G21*(1-G22)*G26*G27/10000</f>
        <v>2969.7775848875362</v>
      </c>
      <c r="H28" s="29">
        <f>H20*1000*H21*(1-H22)*H26*H27/10000</f>
        <v>2622.3450126219263</v>
      </c>
      <c r="I28" s="29">
        <f>I20*1000*I21*(1-I22)*I26*I27/10000</f>
        <v>1587.8295653537928</v>
      </c>
      <c r="J28" s="27"/>
      <c r="K28" s="58"/>
    </row>
    <row r="29" spans="2:22">
      <c r="B29" s="42"/>
      <c r="C29" s="43"/>
      <c r="D29" s="44"/>
      <c r="E29" s="43"/>
      <c r="F29" s="45"/>
      <c r="G29" s="45"/>
      <c r="H29" s="45"/>
      <c r="I29" s="45"/>
      <c r="J29" s="46"/>
      <c r="K29" s="58"/>
    </row>
    <row r="30" spans="2:22">
      <c r="B30" s="8"/>
      <c r="C30" s="8"/>
      <c r="D30" s="47"/>
      <c r="E30" s="8"/>
      <c r="F30" s="48"/>
      <c r="G30" s="48"/>
      <c r="H30" s="48"/>
      <c r="I30" s="48"/>
      <c r="J30" s="8"/>
      <c r="K30" s="58"/>
    </row>
    <row r="31" spans="2:22">
      <c r="B31" s="20"/>
      <c r="C31" s="21"/>
      <c r="D31" s="21"/>
      <c r="E31" s="21"/>
      <c r="F31" s="21"/>
      <c r="G31" s="21"/>
      <c r="H31" s="21"/>
      <c r="I31" s="21"/>
      <c r="J31" s="22"/>
      <c r="K31" s="58"/>
    </row>
    <row r="32" spans="2:22" ht="15.6">
      <c r="B32" s="23"/>
      <c r="C32" s="24" t="s">
        <v>40</v>
      </c>
      <c r="D32" s="25"/>
      <c r="E32" s="25"/>
      <c r="F32" s="26">
        <v>2019</v>
      </c>
      <c r="G32" s="26">
        <f>G6</f>
        <v>2030</v>
      </c>
      <c r="H32" s="26">
        <v>2040</v>
      </c>
      <c r="I32" s="26">
        <v>2050</v>
      </c>
      <c r="J32" s="27"/>
      <c r="K32" s="58"/>
    </row>
    <row r="33" spans="2:15">
      <c r="B33" s="23"/>
      <c r="C33" s="25"/>
      <c r="D33" s="28" t="s">
        <v>41</v>
      </c>
      <c r="E33" s="28"/>
      <c r="F33" s="29">
        <f>Historique_!N32</f>
        <v>6110</v>
      </c>
      <c r="G33" s="64"/>
      <c r="H33" s="64"/>
      <c r="I33" s="64"/>
      <c r="J33" s="27"/>
      <c r="K33" s="58"/>
      <c r="L33" s="37"/>
      <c r="M33" s="37"/>
      <c r="N33" s="37"/>
      <c r="O33" s="37"/>
    </row>
    <row r="34" spans="2:15">
      <c r="B34" s="23"/>
      <c r="C34" s="25"/>
      <c r="D34" s="28" t="s">
        <v>42</v>
      </c>
      <c r="E34" s="28"/>
      <c r="F34" s="29">
        <f>F37*1000000*F38/10000</f>
        <v>5760.4347826086951</v>
      </c>
      <c r="G34" s="29">
        <f>G37*1000000*G38/10000</f>
        <v>826.18290011505883</v>
      </c>
      <c r="H34" s="29">
        <f>H37*1000000*H38/10000</f>
        <v>946.26123190251724</v>
      </c>
      <c r="I34" s="29">
        <f>I37*1000000*I38/10000</f>
        <v>153.34479592207299</v>
      </c>
      <c r="J34" s="27"/>
      <c r="K34" s="58"/>
      <c r="L34" s="49"/>
      <c r="M34" s="49"/>
      <c r="N34" s="49"/>
      <c r="O34" s="49"/>
    </row>
    <row r="35" spans="2:15">
      <c r="B35" s="23"/>
      <c r="C35" s="25"/>
      <c r="D35" s="28" t="s">
        <v>70</v>
      </c>
      <c r="E35" s="28"/>
      <c r="F35" s="29">
        <f>F34*$F33/$F34</f>
        <v>6110</v>
      </c>
      <c r="G35" s="29">
        <f>G34*$F33/$F34</f>
        <v>876.31883880420582</v>
      </c>
      <c r="H35" s="29">
        <f>H34*$F33/$F34</f>
        <v>1003.6839830874841</v>
      </c>
      <c r="I35" s="29">
        <f>I34*$F33/$F34</f>
        <v>162.65034471227202</v>
      </c>
      <c r="J35" s="27"/>
      <c r="K35" s="58"/>
    </row>
    <row r="36" spans="2:15">
      <c r="B36" s="23"/>
      <c r="C36" s="25"/>
      <c r="D36" s="25"/>
      <c r="E36" s="25"/>
      <c r="F36" s="25"/>
      <c r="G36" s="25"/>
      <c r="H36" s="25"/>
      <c r="I36" s="25"/>
      <c r="J36" s="27"/>
      <c r="K36" s="58"/>
    </row>
    <row r="37" spans="2:15">
      <c r="B37" s="23"/>
      <c r="C37" s="25"/>
      <c r="D37" s="4" t="s">
        <v>56</v>
      </c>
      <c r="E37" s="4"/>
      <c r="F37" s="55">
        <f>Historique_!N36</f>
        <v>26.498000000000001</v>
      </c>
      <c r="G37" s="74">
        <f>Historique_!AB38</f>
        <v>4.5394664841486749</v>
      </c>
      <c r="H37" s="74">
        <f>Historique_!AB39</f>
        <v>5.199237537925919</v>
      </c>
      <c r="I37" s="74">
        <f>Historique_!AB40</f>
        <v>0.84255382374765375</v>
      </c>
      <c r="J37" s="27"/>
      <c r="K37" s="58"/>
      <c r="L37" t="s">
        <v>71</v>
      </c>
    </row>
    <row r="38" spans="2:15">
      <c r="B38" s="23"/>
      <c r="C38" s="25"/>
      <c r="D38" s="4" t="s">
        <v>58</v>
      </c>
      <c r="E38" s="4"/>
      <c r="F38" s="55">
        <f>Historique_!N37</f>
        <v>2.1739130434782608</v>
      </c>
      <c r="G38" s="55">
        <v>1.82</v>
      </c>
      <c r="H38" s="55">
        <v>1.82</v>
      </c>
      <c r="I38" s="55">
        <v>1.82</v>
      </c>
      <c r="J38" s="27"/>
      <c r="K38" s="58"/>
      <c r="L38" s="8"/>
      <c r="M38" s="8"/>
      <c r="N38" s="8"/>
    </row>
    <row r="39" spans="2:15">
      <c r="B39" s="42"/>
      <c r="C39" s="43"/>
      <c r="D39" s="43"/>
      <c r="E39" s="43"/>
      <c r="F39" s="56"/>
      <c r="G39" s="56"/>
      <c r="H39" s="56"/>
      <c r="I39" s="56"/>
      <c r="J39" s="46"/>
      <c r="N39" s="57"/>
    </row>
    <row r="40" spans="2:15">
      <c r="N40" s="57"/>
    </row>
    <row r="41" spans="2:15">
      <c r="B41" s="20"/>
      <c r="C41" s="21"/>
      <c r="D41" s="21"/>
      <c r="E41" s="21"/>
      <c r="F41" s="21"/>
      <c r="G41" s="21"/>
      <c r="H41" s="21"/>
      <c r="I41" s="21"/>
      <c r="J41" s="22"/>
      <c r="N41" s="57"/>
    </row>
    <row r="42" spans="2:15" ht="15.75" customHeight="1">
      <c r="B42" s="23"/>
      <c r="C42" s="1" t="s">
        <v>59</v>
      </c>
      <c r="D42" s="1"/>
      <c r="E42" s="1"/>
      <c r="F42" s="26">
        <v>2019</v>
      </c>
      <c r="G42" s="26">
        <f>G6</f>
        <v>2030</v>
      </c>
      <c r="H42" s="26">
        <v>2040</v>
      </c>
      <c r="I42" s="26">
        <v>2050</v>
      </c>
      <c r="J42" s="27"/>
    </row>
    <row r="43" spans="2:15">
      <c r="B43" s="23"/>
      <c r="C43" s="1"/>
      <c r="D43" s="1"/>
      <c r="E43" s="1"/>
      <c r="F43" s="29">
        <f>Historique_!N42</f>
        <v>1323</v>
      </c>
      <c r="G43" s="75">
        <f>G45*(G34+G15)</f>
        <v>869.48627889578188</v>
      </c>
      <c r="H43" s="75">
        <f>H45*(H34+H15)</f>
        <v>780.76955867140282</v>
      </c>
      <c r="I43" s="75">
        <f>I45*(I34+I15)</f>
        <v>447.5788911647665</v>
      </c>
      <c r="J43" s="27"/>
    </row>
    <row r="44" spans="2:15">
      <c r="B44" s="23"/>
      <c r="C44" s="25"/>
      <c r="D44" s="25"/>
      <c r="E44" s="25"/>
      <c r="F44" s="25"/>
      <c r="G44" s="25"/>
      <c r="H44" s="25"/>
      <c r="I44" s="25"/>
      <c r="J44" s="27"/>
    </row>
    <row r="45" spans="2:15">
      <c r="B45" s="23"/>
      <c r="C45" s="25"/>
      <c r="D45" s="25" t="s">
        <v>60</v>
      </c>
      <c r="E45" s="25"/>
      <c r="F45" s="61">
        <v>6.3055852009960903E-2</v>
      </c>
      <c r="G45" s="76">
        <v>0.06</v>
      </c>
      <c r="H45" s="76">
        <v>0.06</v>
      </c>
      <c r="I45" s="76">
        <v>0.06</v>
      </c>
      <c r="J45" s="27"/>
    </row>
    <row r="46" spans="2:15">
      <c r="B46" s="42"/>
      <c r="C46" s="43"/>
      <c r="D46" s="43"/>
      <c r="E46" s="43"/>
      <c r="F46" s="43"/>
      <c r="G46" s="43"/>
      <c r="H46" s="43"/>
      <c r="I46" s="43"/>
      <c r="J46" s="46"/>
    </row>
    <row r="48" spans="2:15">
      <c r="B48" s="20"/>
      <c r="C48" s="21"/>
      <c r="D48" s="21"/>
      <c r="E48" s="21"/>
      <c r="F48" s="21"/>
      <c r="G48" s="21"/>
      <c r="H48" s="21"/>
      <c r="I48" s="21"/>
      <c r="J48" s="22"/>
    </row>
    <row r="49" spans="2:10" ht="13.8" customHeight="1">
      <c r="B49" s="23"/>
      <c r="C49" s="1" t="s">
        <v>72</v>
      </c>
      <c r="D49" s="1"/>
      <c r="E49" s="1"/>
      <c r="F49" s="26">
        <v>2019</v>
      </c>
      <c r="G49" s="26">
        <v>2030</v>
      </c>
      <c r="H49" s="77">
        <v>2040</v>
      </c>
      <c r="I49" s="77">
        <v>2050</v>
      </c>
      <c r="J49" s="27"/>
    </row>
    <row r="50" spans="2:10">
      <c r="B50" s="23"/>
      <c r="C50" s="1"/>
      <c r="D50" s="1"/>
      <c r="E50" s="1"/>
      <c r="F50" s="28">
        <v>0</v>
      </c>
      <c r="G50" s="75">
        <v>0</v>
      </c>
      <c r="H50" s="75">
        <v>0</v>
      </c>
      <c r="I50" s="75">
        <v>0</v>
      </c>
      <c r="J50" s="27"/>
    </row>
    <row r="51" spans="2:10">
      <c r="B51" s="42"/>
      <c r="C51" s="43"/>
      <c r="D51" s="43"/>
      <c r="E51" s="43"/>
      <c r="F51" s="43"/>
      <c r="G51" s="43"/>
      <c r="H51" s="43"/>
      <c r="I51" s="43"/>
      <c r="J51" s="46"/>
    </row>
  </sheetData>
  <mergeCells count="11">
    <mergeCell ref="C49:E50"/>
    <mergeCell ref="D23:D25"/>
    <mergeCell ref="D26:D28"/>
    <mergeCell ref="D37:E37"/>
    <mergeCell ref="D38:E38"/>
    <mergeCell ref="C42:E43"/>
    <mergeCell ref="D18:E18"/>
    <mergeCell ref="D19:E19"/>
    <mergeCell ref="D20:E20"/>
    <mergeCell ref="D21:E21"/>
    <mergeCell ref="D22:E2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A6099"/>
  </sheetPr>
  <dimension ref="B2:V52"/>
  <sheetViews>
    <sheetView tabSelected="1" zoomScaleNormal="100" workbookViewId="0">
      <selection activeCell="F8" sqref="F8:I8"/>
    </sheetView>
  </sheetViews>
  <sheetFormatPr baseColWidth="10" defaultColWidth="8.88671875" defaultRowHeight="14.4"/>
  <cols>
    <col min="1" max="1" width="11" customWidth="1"/>
    <col min="2" max="2" width="2.88671875" customWidth="1"/>
    <col min="3" max="3" width="10.44140625" customWidth="1"/>
    <col min="4" max="4" width="5.21875" customWidth="1"/>
    <col min="5" max="5" width="30.33203125" customWidth="1"/>
    <col min="6" max="7" width="10.44140625" customWidth="1"/>
    <col min="8" max="9" width="11" customWidth="1"/>
    <col min="10" max="10" width="2.88671875" customWidth="1"/>
    <col min="11" max="11" width="9.44140625" customWidth="1"/>
    <col min="12" max="1025" width="10.44140625" customWidth="1"/>
  </cols>
  <sheetData>
    <row r="2" spans="2:16">
      <c r="C2" t="s">
        <v>73</v>
      </c>
    </row>
    <row r="5" spans="2:16">
      <c r="D5" s="5"/>
      <c r="E5" s="6"/>
      <c r="F5" s="6"/>
      <c r="G5" s="6"/>
      <c r="H5" s="6"/>
      <c r="I5" s="6"/>
      <c r="J5" s="7"/>
    </row>
    <row r="6" spans="2:16">
      <c r="D6" s="9"/>
      <c r="E6" s="10"/>
      <c r="F6" s="11">
        <v>2019</v>
      </c>
      <c r="G6" s="63">
        <v>2030</v>
      </c>
      <c r="H6" s="63">
        <v>2040</v>
      </c>
      <c r="I6" s="63">
        <v>2050</v>
      </c>
      <c r="J6" s="12"/>
    </row>
    <row r="7" spans="2:16">
      <c r="D7" s="9"/>
      <c r="E7" s="13" t="s">
        <v>4</v>
      </c>
      <c r="F7" s="14">
        <f>Historique_!N7</f>
        <v>22354</v>
      </c>
      <c r="G7" s="64"/>
      <c r="H7" s="64"/>
      <c r="I7" s="64"/>
      <c r="J7" s="12"/>
    </row>
    <row r="8" spans="2:16">
      <c r="D8" s="9"/>
      <c r="E8" s="13" t="s">
        <v>7</v>
      </c>
      <c r="F8" s="65">
        <f>F16+F36+F44-F51</f>
        <v>22353</v>
      </c>
      <c r="G8" s="65">
        <f>G16+G36+G44-G51</f>
        <v>10755.707800855516</v>
      </c>
      <c r="H8" s="65">
        <f>H16+H36+H44-H51</f>
        <v>5191.7608751321668</v>
      </c>
      <c r="I8" s="65">
        <f>I16+I36+I44-I51</f>
        <v>-21.964063987597569</v>
      </c>
      <c r="J8" s="12"/>
    </row>
    <row r="9" spans="2:16">
      <c r="D9" s="9"/>
      <c r="E9" s="15" t="s">
        <v>8</v>
      </c>
      <c r="F9" s="14">
        <v>33727.074112178801</v>
      </c>
      <c r="G9" s="16">
        <f>G8*'comparaison Agreste'!$N11</f>
        <v>9633.8573652947052</v>
      </c>
      <c r="H9" s="16">
        <f>H8*'comparaison Agreste'!$N11</f>
        <v>4650.2456808804855</v>
      </c>
      <c r="I9" s="16">
        <f>I8*'comparaison Agreste'!$N11</f>
        <v>-19.673150622582956</v>
      </c>
      <c r="J9" s="12"/>
    </row>
    <row r="10" spans="2:16">
      <c r="D10" s="17"/>
      <c r="E10" s="18"/>
      <c r="F10" s="18"/>
      <c r="G10" s="18"/>
      <c r="H10" s="18"/>
      <c r="I10" s="18"/>
      <c r="J10" s="19"/>
    </row>
    <row r="12" spans="2:16">
      <c r="B12" s="20"/>
      <c r="C12" s="21"/>
      <c r="D12" s="21"/>
      <c r="E12" s="21"/>
      <c r="F12" s="21"/>
      <c r="G12" s="21"/>
      <c r="H12" s="21"/>
      <c r="I12" s="21"/>
      <c r="J12" s="22"/>
    </row>
    <row r="13" spans="2:16" ht="15.6">
      <c r="B13" s="23"/>
      <c r="C13" s="24" t="s">
        <v>9</v>
      </c>
      <c r="D13" s="25"/>
      <c r="E13" s="25"/>
      <c r="F13" s="26">
        <v>2019</v>
      </c>
      <c r="G13" s="26">
        <f>G6</f>
        <v>2030</v>
      </c>
      <c r="H13" s="26">
        <v>2040</v>
      </c>
      <c r="I13" s="26">
        <v>2050</v>
      </c>
      <c r="J13" s="27"/>
    </row>
    <row r="14" spans="2:16">
      <c r="B14" s="23"/>
      <c r="C14" s="25"/>
      <c r="D14" s="28" t="s">
        <v>10</v>
      </c>
      <c r="E14" s="28"/>
      <c r="F14" s="30">
        <f>Historique_!N14</f>
        <v>14920</v>
      </c>
      <c r="G14" s="64"/>
      <c r="H14" s="64"/>
      <c r="I14" s="64"/>
      <c r="J14" s="27"/>
    </row>
    <row r="15" spans="2:16">
      <c r="B15" s="23"/>
      <c r="C15" s="25"/>
      <c r="D15" s="28" t="s">
        <v>11</v>
      </c>
      <c r="E15" s="28"/>
      <c r="F15" s="31">
        <f>F25+F28</f>
        <v>14903.075450364475</v>
      </c>
      <c r="G15" s="31">
        <f>G25+G28</f>
        <v>7252.8342821845108</v>
      </c>
      <c r="H15" s="31">
        <f>H25+H28</f>
        <v>4383.2737538160236</v>
      </c>
      <c r="I15" s="31">
        <f>I25+I28</f>
        <v>686.0913040713599</v>
      </c>
      <c r="J15" s="27"/>
      <c r="N15" s="78"/>
      <c r="O15" s="79"/>
      <c r="P15" s="79"/>
    </row>
    <row r="16" spans="2:16">
      <c r="B16" s="23"/>
      <c r="C16" s="25"/>
      <c r="D16" s="28" t="s">
        <v>68</v>
      </c>
      <c r="E16" s="28"/>
      <c r="F16" s="31">
        <f>F15*$F14/$F15</f>
        <v>14920</v>
      </c>
      <c r="G16" s="31">
        <f>G15*$F14/$F15</f>
        <v>7261.0709011438594</v>
      </c>
      <c r="H16" s="31">
        <f>H15*$F16/$F15</f>
        <v>4388.2515810074401</v>
      </c>
      <c r="I16" s="31">
        <f>I15*$F16/$F15</f>
        <v>686.87045776812079</v>
      </c>
      <c r="J16" s="27"/>
      <c r="N16" s="78"/>
      <c r="O16" s="79"/>
      <c r="P16" s="79"/>
    </row>
    <row r="17" spans="2:22">
      <c r="B17" s="23"/>
      <c r="C17" s="25"/>
      <c r="D17" s="25"/>
      <c r="E17" s="25"/>
      <c r="F17" s="25"/>
      <c r="G17" s="25"/>
      <c r="H17" s="25"/>
      <c r="I17" s="25"/>
      <c r="J17" s="27"/>
    </row>
    <row r="18" spans="2:22" hidden="1">
      <c r="B18" s="23"/>
      <c r="C18" s="25"/>
      <c r="D18" s="4" t="s">
        <v>13</v>
      </c>
      <c r="E18" s="4"/>
      <c r="F18" s="28">
        <v>64.739999999999995</v>
      </c>
      <c r="G18" s="67">
        <v>66.95</v>
      </c>
      <c r="H18" s="68"/>
      <c r="I18" s="68"/>
      <c r="J18" s="27"/>
    </row>
    <row r="19" spans="2:22" hidden="1">
      <c r="B19" s="23"/>
      <c r="C19" s="25"/>
      <c r="D19" s="4" t="s">
        <v>14</v>
      </c>
      <c r="E19" s="4"/>
      <c r="F19" s="28">
        <v>2.2599999999999998</v>
      </c>
      <c r="G19" s="67">
        <v>2.17</v>
      </c>
      <c r="H19" s="68"/>
      <c r="I19" s="68"/>
      <c r="J19" s="27"/>
    </row>
    <row r="20" spans="2:22">
      <c r="B20" s="23"/>
      <c r="C20" s="25"/>
      <c r="D20" s="4" t="s">
        <v>15</v>
      </c>
      <c r="E20" s="4"/>
      <c r="F20" s="69">
        <f>Historique_!N19</f>
        <v>311.7</v>
      </c>
      <c r="G20" s="70">
        <v>187.27</v>
      </c>
      <c r="H20" s="70">
        <v>172.500012765522</v>
      </c>
      <c r="I20" s="70">
        <v>46.262</v>
      </c>
      <c r="J20" s="27"/>
      <c r="L20" t="s">
        <v>103</v>
      </c>
    </row>
    <row r="21" spans="2:22">
      <c r="B21" s="23"/>
      <c r="C21" s="25"/>
      <c r="D21" s="3" t="s">
        <v>19</v>
      </c>
      <c r="E21" s="3"/>
      <c r="F21" s="80">
        <f>Historique_!N20</f>
        <v>0.87441040926125013</v>
      </c>
      <c r="G21" s="72">
        <v>0.83</v>
      </c>
      <c r="H21" s="72">
        <v>0.78</v>
      </c>
      <c r="I21" s="72">
        <v>0.7</v>
      </c>
      <c r="J21" s="27"/>
      <c r="L21" t="s">
        <v>74</v>
      </c>
    </row>
    <row r="22" spans="2:22">
      <c r="B22" s="23"/>
      <c r="C22" s="25"/>
      <c r="D22" s="4" t="s">
        <v>23</v>
      </c>
      <c r="E22" s="4"/>
      <c r="F22" s="80">
        <f>Historique_!N21</f>
        <v>0.454026605252763</v>
      </c>
      <c r="G22" s="73">
        <v>0.41</v>
      </c>
      <c r="H22" s="73">
        <v>0.33</v>
      </c>
      <c r="I22" s="73">
        <v>0.25</v>
      </c>
      <c r="J22" s="27"/>
      <c r="L22" t="s">
        <v>75</v>
      </c>
    </row>
    <row r="23" spans="2:22">
      <c r="B23" s="23"/>
      <c r="C23" s="25"/>
      <c r="D23" s="2" t="s">
        <v>27</v>
      </c>
      <c r="E23" s="28" t="s">
        <v>28</v>
      </c>
      <c r="F23" s="69">
        <f>Historique_!N22</f>
        <v>115.375190769344</v>
      </c>
      <c r="G23" s="70">
        <f>F23</f>
        <v>115.375190769344</v>
      </c>
      <c r="H23" s="70">
        <f>G23</f>
        <v>115.375190769344</v>
      </c>
      <c r="I23" s="70">
        <f>H23</f>
        <v>115.375190769344</v>
      </c>
      <c r="J23" s="27"/>
      <c r="L23" t="s">
        <v>75</v>
      </c>
      <c r="M23" s="37"/>
      <c r="N23" s="37"/>
      <c r="O23" s="37"/>
      <c r="P23" s="37"/>
    </row>
    <row r="24" spans="2:22">
      <c r="B24" s="23"/>
      <c r="C24" s="25"/>
      <c r="D24" s="2"/>
      <c r="E24" s="28" t="s">
        <v>32</v>
      </c>
      <c r="F24" s="69">
        <f>Historique_!N23</f>
        <v>7.7777777777777768</v>
      </c>
      <c r="G24" s="38">
        <v>7</v>
      </c>
      <c r="H24" s="38">
        <v>5.5</v>
      </c>
      <c r="I24" s="38">
        <v>4</v>
      </c>
      <c r="J24" s="27"/>
      <c r="K24" s="58"/>
      <c r="L24" t="s">
        <v>74</v>
      </c>
      <c r="N24" s="39"/>
      <c r="O24" s="39"/>
      <c r="P24" s="39"/>
      <c r="S24" s="40"/>
      <c r="T24" s="40"/>
      <c r="U24" s="40"/>
      <c r="V24" s="40"/>
    </row>
    <row r="25" spans="2:22">
      <c r="B25" s="23"/>
      <c r="C25" s="25"/>
      <c r="D25" s="2"/>
      <c r="E25" s="28" t="s">
        <v>35</v>
      </c>
      <c r="F25" s="69">
        <f>Historique_!N24</f>
        <v>11104.560805369856</v>
      </c>
      <c r="G25" s="29">
        <f>G20*1000*G21*G22*G23*G24/10000</f>
        <v>5146.8395756540913</v>
      </c>
      <c r="H25" s="29">
        <f>H20*1000*H21*H22*H23*H24/10000</f>
        <v>2817.5575516275348</v>
      </c>
      <c r="I25" s="29">
        <f>I20*1000*I21*I22*I23*I24/10000</f>
        <v>373.62409527599743</v>
      </c>
      <c r="J25" s="27"/>
      <c r="K25" s="58"/>
    </row>
    <row r="26" spans="2:22">
      <c r="B26" s="23"/>
      <c r="C26" s="25"/>
      <c r="D26" s="2" t="s">
        <v>36</v>
      </c>
      <c r="E26" s="28" t="s">
        <v>28</v>
      </c>
      <c r="F26" s="69">
        <f>Historique_!N25</f>
        <v>64.326621827924697</v>
      </c>
      <c r="G26" s="70">
        <f>F26</f>
        <v>64.326621827924697</v>
      </c>
      <c r="H26" s="70">
        <f>G26</f>
        <v>64.326621827924697</v>
      </c>
      <c r="I26" s="70">
        <f>H26</f>
        <v>64.326621827924697</v>
      </c>
      <c r="J26" s="27"/>
      <c r="K26" s="58"/>
      <c r="L26" t="s">
        <v>75</v>
      </c>
    </row>
    <row r="27" spans="2:22">
      <c r="B27" s="23"/>
      <c r="C27" s="25"/>
      <c r="D27" s="2"/>
      <c r="E27" s="28" t="s">
        <v>32</v>
      </c>
      <c r="F27" s="69">
        <f>Historique_!N26</f>
        <v>3.9682539682539684</v>
      </c>
      <c r="G27" s="38">
        <v>3.57</v>
      </c>
      <c r="H27" s="38">
        <v>2.7</v>
      </c>
      <c r="I27" s="38">
        <v>2</v>
      </c>
      <c r="J27" s="27"/>
      <c r="K27" s="58"/>
      <c r="L27" t="s">
        <v>74</v>
      </c>
    </row>
    <row r="28" spans="2:22">
      <c r="B28" s="23"/>
      <c r="C28" s="25"/>
      <c r="D28" s="2"/>
      <c r="E28" s="28" t="s">
        <v>35</v>
      </c>
      <c r="F28" s="69">
        <f>Historique_!N27</f>
        <v>3798.5146449946178</v>
      </c>
      <c r="G28" s="29">
        <f>G20*1000*G21*(1-G22)*G26*G27/10000</f>
        <v>2105.9947065304191</v>
      </c>
      <c r="H28" s="29">
        <f>H20*1000*H21*(1-H22)*H26*H27/10000</f>
        <v>1565.716202188489</v>
      </c>
      <c r="I28" s="29">
        <f>I20*1000*I21*(1-I22)*I26*I27/10000</f>
        <v>312.46720879536247</v>
      </c>
      <c r="J28" s="27"/>
      <c r="K28" s="58"/>
    </row>
    <row r="29" spans="2:22">
      <c r="B29" s="42"/>
      <c r="C29" s="43"/>
      <c r="D29" s="44"/>
      <c r="E29" s="43"/>
      <c r="F29" s="45"/>
      <c r="G29" s="45"/>
      <c r="H29" s="45"/>
      <c r="I29" s="45"/>
      <c r="J29" s="46"/>
      <c r="K29" s="58"/>
    </row>
    <row r="30" spans="2:22">
      <c r="B30" s="8"/>
      <c r="C30" s="8"/>
      <c r="D30" s="47"/>
      <c r="E30" s="8"/>
      <c r="F30" s="48"/>
      <c r="G30" s="48"/>
      <c r="H30" s="48"/>
      <c r="I30" s="48"/>
      <c r="J30" s="8"/>
      <c r="K30" s="58"/>
    </row>
    <row r="31" spans="2:22">
      <c r="B31" s="20"/>
      <c r="C31" s="21"/>
      <c r="D31" s="21"/>
      <c r="E31" s="21"/>
      <c r="F31" s="21"/>
      <c r="G31" s="21"/>
      <c r="H31" s="21"/>
      <c r="I31" s="21"/>
      <c r="J31" s="22"/>
      <c r="K31" s="58"/>
    </row>
    <row r="32" spans="2:22" ht="15.6">
      <c r="B32" s="23"/>
      <c r="C32" s="24" t="s">
        <v>40</v>
      </c>
      <c r="D32" s="25"/>
      <c r="E32" s="25"/>
      <c r="F32" s="26">
        <v>2019</v>
      </c>
      <c r="G32" s="26">
        <f>G6</f>
        <v>2030</v>
      </c>
      <c r="H32" s="26">
        <v>2040</v>
      </c>
      <c r="I32" s="26">
        <v>2050</v>
      </c>
      <c r="J32" s="27"/>
      <c r="K32" s="58"/>
    </row>
    <row r="33" spans="2:15">
      <c r="B33" s="23"/>
      <c r="C33" s="25"/>
      <c r="D33" s="28" t="s">
        <v>41</v>
      </c>
      <c r="E33" s="28"/>
      <c r="F33" s="29">
        <f>Historique_!N32</f>
        <v>6110</v>
      </c>
      <c r="G33" s="64"/>
      <c r="H33" s="64"/>
      <c r="I33" s="64"/>
      <c r="J33" s="27"/>
      <c r="K33" s="58"/>
      <c r="L33" s="37"/>
      <c r="M33" s="37"/>
      <c r="N33" s="37"/>
      <c r="O33" s="37"/>
    </row>
    <row r="34" spans="2:15">
      <c r="B34" s="23"/>
      <c r="C34" s="25"/>
      <c r="D34" s="28" t="s">
        <v>42</v>
      </c>
      <c r="E34" s="28"/>
      <c r="F34" s="29">
        <f>F38*1000000*F39/10000</f>
        <v>5760.4347826086951</v>
      </c>
      <c r="G34" s="29">
        <f>G38*1000000*G39/10000</f>
        <v>2730</v>
      </c>
      <c r="H34" s="29">
        <f>H38*1000000*H39/10000</f>
        <v>750</v>
      </c>
      <c r="I34" s="29">
        <f>I38*1000000*I39/10000</f>
        <v>0</v>
      </c>
      <c r="J34" s="27"/>
      <c r="K34" s="58"/>
      <c r="L34" s="49"/>
      <c r="M34" s="49"/>
      <c r="N34" s="49"/>
      <c r="O34" s="49"/>
    </row>
    <row r="35" spans="2:15" hidden="1">
      <c r="B35" s="23"/>
      <c r="C35" s="25"/>
      <c r="D35" s="50" t="s">
        <v>43</v>
      </c>
      <c r="E35" s="50"/>
      <c r="F35" s="51">
        <v>11964.652173913</v>
      </c>
      <c r="G35" s="51">
        <f>G34*2.2</f>
        <v>6006.0000000000009</v>
      </c>
      <c r="H35" s="51"/>
      <c r="I35" s="29"/>
      <c r="J35" s="27"/>
      <c r="K35" s="58"/>
    </row>
    <row r="36" spans="2:15">
      <c r="B36" s="23"/>
      <c r="C36" s="25"/>
      <c r="D36" s="28" t="s">
        <v>70</v>
      </c>
      <c r="E36" s="28"/>
      <c r="F36" s="29">
        <f>F34*$F33/$F34</f>
        <v>6110</v>
      </c>
      <c r="G36" s="29">
        <f>G34*$F33/$F34</f>
        <v>2895.6668427805876</v>
      </c>
      <c r="H36" s="29">
        <f>H34*$F33/$F34</f>
        <v>795.51286889576579</v>
      </c>
      <c r="I36" s="29">
        <f>I34*$F33/$F34</f>
        <v>0</v>
      </c>
      <c r="J36" s="27"/>
      <c r="K36" s="58"/>
    </row>
    <row r="37" spans="2:15">
      <c r="B37" s="23"/>
      <c r="C37" s="25"/>
      <c r="D37" s="25"/>
      <c r="E37" s="25"/>
      <c r="F37" s="25"/>
      <c r="G37" s="25"/>
      <c r="H37" s="25"/>
      <c r="I37" s="25"/>
      <c r="J37" s="27"/>
      <c r="K37" s="58"/>
    </row>
    <row r="38" spans="2:15">
      <c r="B38" s="23"/>
      <c r="C38" s="25"/>
      <c r="D38" s="4" t="s">
        <v>56</v>
      </c>
      <c r="E38" s="4"/>
      <c r="F38" s="55">
        <f>Historique_!N36</f>
        <v>26.498000000000001</v>
      </c>
      <c r="G38" s="74">
        <v>15</v>
      </c>
      <c r="H38" s="74">
        <v>5</v>
      </c>
      <c r="I38" s="74">
        <v>0</v>
      </c>
      <c r="J38" s="27"/>
      <c r="K38" s="58"/>
      <c r="L38" t="s">
        <v>106</v>
      </c>
    </row>
    <row r="39" spans="2:15">
      <c r="B39" s="23"/>
      <c r="C39" s="25"/>
      <c r="D39" s="4" t="s">
        <v>58</v>
      </c>
      <c r="E39" s="4"/>
      <c r="F39" s="55">
        <f>Historique_!N37</f>
        <v>2.1739130434782608</v>
      </c>
      <c r="G39" s="55">
        <v>1.82</v>
      </c>
      <c r="H39" s="55">
        <v>1.5</v>
      </c>
      <c r="I39" s="55">
        <v>1</v>
      </c>
      <c r="J39" s="27"/>
      <c r="K39" s="58"/>
      <c r="L39" s="8" t="s">
        <v>74</v>
      </c>
      <c r="M39" s="8"/>
      <c r="N39" s="8"/>
    </row>
    <row r="40" spans="2:15">
      <c r="B40" s="42"/>
      <c r="C40" s="43"/>
      <c r="D40" s="43"/>
      <c r="E40" s="43"/>
      <c r="F40" s="56"/>
      <c r="G40" s="56"/>
      <c r="H40" s="56"/>
      <c r="I40" s="56"/>
      <c r="J40" s="46"/>
      <c r="L40" t="s">
        <v>104</v>
      </c>
      <c r="M40">
        <f>100*100/1000000</f>
        <v>0.01</v>
      </c>
      <c r="N40" s="57" t="s">
        <v>45</v>
      </c>
    </row>
    <row r="41" spans="2:15">
      <c r="L41">
        <v>2000</v>
      </c>
      <c r="M41">
        <f>M40*L41</f>
        <v>20</v>
      </c>
      <c r="N41" s="57" t="s">
        <v>45</v>
      </c>
    </row>
    <row r="42" spans="2:15">
      <c r="B42" s="20"/>
      <c r="C42" s="21"/>
      <c r="D42" s="21"/>
      <c r="E42" s="21"/>
      <c r="F42" s="21"/>
      <c r="G42" s="21"/>
      <c r="H42" s="21"/>
      <c r="I42" s="21"/>
      <c r="J42" s="22"/>
      <c r="N42" s="57"/>
    </row>
    <row r="43" spans="2:15" ht="15.75" customHeight="1">
      <c r="B43" s="23"/>
      <c r="C43" s="1" t="s">
        <v>59</v>
      </c>
      <c r="D43" s="1"/>
      <c r="E43" s="1"/>
      <c r="F43" s="26">
        <v>2019</v>
      </c>
      <c r="G43" s="26">
        <f>G6</f>
        <v>2030</v>
      </c>
      <c r="H43" s="26">
        <v>2040</v>
      </c>
      <c r="I43" s="26">
        <v>2050</v>
      </c>
      <c r="J43" s="27"/>
    </row>
    <row r="44" spans="2:15">
      <c r="B44" s="23"/>
      <c r="C44" s="1"/>
      <c r="D44" s="1"/>
      <c r="E44" s="1"/>
      <c r="F44" s="29">
        <f>Historique_!N42</f>
        <v>1323</v>
      </c>
      <c r="G44" s="75">
        <f>G46*(G34+G15)</f>
        <v>598.97005693107064</v>
      </c>
      <c r="H44" s="75">
        <f>H46*(H34+H15)</f>
        <v>307.99642522896141</v>
      </c>
      <c r="I44" s="75">
        <f>I46*(I34+I15)</f>
        <v>41.165478244281594</v>
      </c>
      <c r="J44" s="27"/>
    </row>
    <row r="45" spans="2:15">
      <c r="B45" s="23"/>
      <c r="C45" s="25"/>
      <c r="D45" s="25"/>
      <c r="E45" s="25"/>
      <c r="F45" s="25"/>
      <c r="G45" s="25"/>
      <c r="H45" s="25"/>
      <c r="I45" s="25"/>
      <c r="J45" s="27"/>
    </row>
    <row r="46" spans="2:15">
      <c r="B46" s="23"/>
      <c r="C46" s="25"/>
      <c r="D46" s="25" t="s">
        <v>60</v>
      </c>
      <c r="E46" s="25"/>
      <c r="F46" s="61">
        <v>6.3055852009960903E-2</v>
      </c>
      <c r="G46" s="76">
        <v>0.06</v>
      </c>
      <c r="H46" s="76">
        <v>0.06</v>
      </c>
      <c r="I46" s="76">
        <v>0.06</v>
      </c>
      <c r="J46" s="27"/>
      <c r="L46" t="s">
        <v>105</v>
      </c>
    </row>
    <row r="47" spans="2:15">
      <c r="B47" s="42"/>
      <c r="C47" s="43"/>
      <c r="D47" s="43"/>
      <c r="E47" s="43"/>
      <c r="F47" s="43"/>
      <c r="G47" s="43"/>
      <c r="H47" s="43"/>
      <c r="I47" s="43"/>
      <c r="J47" s="46"/>
    </row>
    <row r="49" spans="2:12">
      <c r="B49" s="20"/>
      <c r="C49" s="21"/>
      <c r="D49" s="21"/>
      <c r="E49" s="21"/>
      <c r="F49" s="21"/>
      <c r="G49" s="21"/>
      <c r="H49" s="21"/>
      <c r="I49" s="21"/>
      <c r="J49" s="22"/>
    </row>
    <row r="50" spans="2:12" ht="13.8" customHeight="1">
      <c r="B50" s="23"/>
      <c r="C50" s="1" t="s">
        <v>72</v>
      </c>
      <c r="D50" s="1"/>
      <c r="E50" s="1"/>
      <c r="F50" s="26">
        <v>2019</v>
      </c>
      <c r="G50" s="26">
        <v>2030</v>
      </c>
      <c r="H50" s="77">
        <v>2040</v>
      </c>
      <c r="I50" s="77">
        <v>2050</v>
      </c>
      <c r="J50" s="27"/>
    </row>
    <row r="51" spans="2:12">
      <c r="B51" s="23"/>
      <c r="C51" s="1"/>
      <c r="D51" s="1"/>
      <c r="E51" s="1"/>
      <c r="F51" s="28">
        <v>0</v>
      </c>
      <c r="G51" s="75">
        <v>0</v>
      </c>
      <c r="H51" s="75">
        <v>300</v>
      </c>
      <c r="I51" s="75">
        <v>750</v>
      </c>
      <c r="J51" s="27"/>
      <c r="L51" t="s">
        <v>74</v>
      </c>
    </row>
    <row r="52" spans="2:12">
      <c r="B52" s="42"/>
      <c r="C52" s="43"/>
      <c r="D52" s="43"/>
      <c r="E52" s="43"/>
      <c r="F52" s="43"/>
      <c r="G52" s="43"/>
      <c r="H52" s="43"/>
      <c r="I52" s="43"/>
      <c r="J52" s="46"/>
    </row>
  </sheetData>
  <mergeCells count="11">
    <mergeCell ref="C50:E51"/>
    <mergeCell ref="D23:D25"/>
    <mergeCell ref="D26:D28"/>
    <mergeCell ref="D38:E38"/>
    <mergeCell ref="D39:E39"/>
    <mergeCell ref="C43:E44"/>
    <mergeCell ref="D18:E18"/>
    <mergeCell ref="D19:E19"/>
    <mergeCell ref="D20:E20"/>
    <mergeCell ref="D21:E21"/>
    <mergeCell ref="D22:E2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DC3E6"/>
  </sheetPr>
  <dimension ref="B2:V45"/>
  <sheetViews>
    <sheetView topLeftCell="A25" zoomScale="88" zoomScaleNormal="88" workbookViewId="0">
      <selection activeCell="G68" sqref="G68"/>
    </sheetView>
  </sheetViews>
  <sheetFormatPr baseColWidth="10" defaultColWidth="8.88671875" defaultRowHeight="14.4"/>
  <cols>
    <col min="1" max="1" width="11" customWidth="1"/>
    <col min="2" max="2" width="2.88671875" customWidth="1"/>
    <col min="3" max="3" width="10.44140625" customWidth="1"/>
    <col min="4" max="4" width="5.21875" customWidth="1"/>
    <col min="5" max="5" width="30.33203125" customWidth="1"/>
    <col min="6" max="7" width="10.44140625" customWidth="1"/>
    <col min="8" max="9" width="11" customWidth="1"/>
    <col min="10" max="10" width="2.88671875" customWidth="1"/>
    <col min="11" max="11" width="9.44140625" customWidth="1"/>
    <col min="12" max="1025" width="10.44140625" customWidth="1"/>
  </cols>
  <sheetData>
    <row r="2" spans="2:10">
      <c r="C2" t="s">
        <v>76</v>
      </c>
    </row>
    <row r="5" spans="2:10">
      <c r="D5" s="5"/>
      <c r="E5" s="6"/>
      <c r="F5" s="6"/>
      <c r="G5" s="6"/>
      <c r="H5" s="6"/>
      <c r="I5" s="6"/>
      <c r="J5" s="7"/>
    </row>
    <row r="6" spans="2:10">
      <c r="D6" s="9"/>
      <c r="E6" s="10"/>
      <c r="F6" s="11">
        <v>2018</v>
      </c>
      <c r="G6" s="63">
        <v>2030</v>
      </c>
      <c r="H6" s="63">
        <v>2040</v>
      </c>
      <c r="I6" s="63">
        <v>2050</v>
      </c>
      <c r="J6" s="12"/>
    </row>
    <row r="7" spans="2:10">
      <c r="D7" s="9"/>
      <c r="E7" s="13" t="s">
        <v>4</v>
      </c>
      <c r="F7" s="14">
        <v>23295</v>
      </c>
      <c r="G7" s="64"/>
      <c r="H7" s="64"/>
      <c r="I7" s="64"/>
      <c r="J7" s="12"/>
    </row>
    <row r="8" spans="2:10">
      <c r="D8" s="9"/>
      <c r="E8" s="13" t="s">
        <v>7</v>
      </c>
      <c r="F8" s="14">
        <v>21865.377160004798</v>
      </c>
      <c r="G8" s="65">
        <f>G15+G33+G42</f>
        <v>18089.740252636471</v>
      </c>
      <c r="H8" s="65">
        <f>H15+H33+H42</f>
        <v>16389.120080638571</v>
      </c>
      <c r="I8" s="65">
        <f>I15+I33+I42</f>
        <v>12735.745184170071</v>
      </c>
      <c r="J8" s="12"/>
    </row>
    <row r="9" spans="2:10">
      <c r="D9" s="9"/>
      <c r="E9" s="15" t="s">
        <v>8</v>
      </c>
      <c r="F9" s="14">
        <v>33727.074112178801</v>
      </c>
      <c r="G9" s="16">
        <f>G8*'comparaison Agreste'!$N11</f>
        <v>16202.929699825809</v>
      </c>
      <c r="H9" s="16">
        <f>H8*'comparaison Agreste'!$N11</f>
        <v>14679.688972863371</v>
      </c>
      <c r="I9" s="16">
        <f>I8*'comparaison Agreste'!$N11</f>
        <v>11407.3713061705</v>
      </c>
      <c r="J9" s="12"/>
    </row>
    <row r="10" spans="2:10">
      <c r="D10" s="17"/>
      <c r="E10" s="18"/>
      <c r="F10" s="18"/>
      <c r="G10" s="18"/>
      <c r="H10" s="18"/>
      <c r="I10" s="18"/>
      <c r="J10" s="19"/>
    </row>
    <row r="12" spans="2:10">
      <c r="B12" s="20"/>
      <c r="C12" s="21"/>
      <c r="D12" s="21"/>
      <c r="E12" s="21"/>
      <c r="F12" s="21"/>
      <c r="G12" s="21"/>
      <c r="H12" s="21"/>
      <c r="I12" s="21"/>
      <c r="J12" s="22"/>
    </row>
    <row r="13" spans="2:10" ht="15.6">
      <c r="B13" s="23"/>
      <c r="C13" s="24" t="s">
        <v>9</v>
      </c>
      <c r="D13" s="25"/>
      <c r="E13" s="25"/>
      <c r="F13" s="26">
        <v>2018</v>
      </c>
      <c r="G13" s="26">
        <f>G6</f>
        <v>2030</v>
      </c>
      <c r="H13" s="26">
        <v>2040</v>
      </c>
      <c r="I13" s="26">
        <v>2050</v>
      </c>
      <c r="J13" s="27"/>
    </row>
    <row r="14" spans="2:10">
      <c r="B14" s="23"/>
      <c r="C14" s="25"/>
      <c r="D14" s="28" t="s">
        <v>10</v>
      </c>
      <c r="E14" s="28"/>
      <c r="F14" s="30">
        <v>16815</v>
      </c>
      <c r="G14" s="64"/>
      <c r="H14" s="64"/>
      <c r="I14" s="64"/>
      <c r="J14" s="27"/>
    </row>
    <row r="15" spans="2:10">
      <c r="B15" s="23"/>
      <c r="C15" s="25"/>
      <c r="D15" s="28" t="s">
        <v>11</v>
      </c>
      <c r="E15" s="28"/>
      <c r="F15" s="31">
        <v>15008.8988991352</v>
      </c>
      <c r="G15" s="31">
        <f>G24+G27</f>
        <v>13628.408819000004</v>
      </c>
      <c r="H15" s="31">
        <f>H24+H27</f>
        <v>11559.538832095244</v>
      </c>
      <c r="I15" s="31">
        <f>I24+I27</f>
        <v>8623.9212085714298</v>
      </c>
      <c r="J15" s="27"/>
    </row>
    <row r="16" spans="2:10">
      <c r="B16" s="23"/>
      <c r="C16" s="25"/>
      <c r="D16" s="25"/>
      <c r="E16" s="25"/>
      <c r="F16" s="25"/>
      <c r="G16" s="25"/>
      <c r="H16" s="25"/>
      <c r="I16" s="25"/>
      <c r="J16" s="27"/>
    </row>
    <row r="17" spans="2:22" hidden="1">
      <c r="B17" s="23"/>
      <c r="C17" s="25"/>
      <c r="D17" s="4" t="s">
        <v>13</v>
      </c>
      <c r="E17" s="4"/>
      <c r="F17" s="28">
        <v>64.739999999999995</v>
      </c>
      <c r="G17" s="67">
        <v>66.95</v>
      </c>
      <c r="H17" s="68"/>
      <c r="I17" s="68"/>
      <c r="J17" s="27"/>
    </row>
    <row r="18" spans="2:22" hidden="1">
      <c r="B18" s="23"/>
      <c r="C18" s="25"/>
      <c r="D18" s="4" t="s">
        <v>14</v>
      </c>
      <c r="E18" s="4"/>
      <c r="F18" s="28">
        <v>2.2599999999999998</v>
      </c>
      <c r="G18" s="67">
        <v>2.17</v>
      </c>
      <c r="H18" s="68"/>
      <c r="I18" s="68"/>
      <c r="J18" s="27"/>
    </row>
    <row r="19" spans="2:22">
      <c r="B19" s="23"/>
      <c r="C19" s="25"/>
      <c r="D19" s="4" t="s">
        <v>15</v>
      </c>
      <c r="E19" s="4"/>
      <c r="F19" s="28">
        <v>335</v>
      </c>
      <c r="G19" s="67">
        <f>312.9</f>
        <v>312.89999999999998</v>
      </c>
      <c r="H19" s="67">
        <v>265.39999999999998</v>
      </c>
      <c r="I19" s="67">
        <v>198</v>
      </c>
      <c r="J19" s="27"/>
    </row>
    <row r="20" spans="2:22">
      <c r="B20" s="23"/>
      <c r="C20" s="25"/>
      <c r="D20" s="3" t="s">
        <v>19</v>
      </c>
      <c r="E20" s="3"/>
      <c r="F20" s="33">
        <v>0.87441040926125002</v>
      </c>
      <c r="G20" s="72">
        <v>0.85</v>
      </c>
      <c r="H20" s="72">
        <v>0.85</v>
      </c>
      <c r="I20" s="72">
        <v>0.85</v>
      </c>
      <c r="J20" s="27"/>
    </row>
    <row r="21" spans="2:22">
      <c r="B21" s="23"/>
      <c r="C21" s="25"/>
      <c r="D21" s="4" t="s">
        <v>23</v>
      </c>
      <c r="E21" s="4"/>
      <c r="F21" s="35">
        <v>0.41299999999999998</v>
      </c>
      <c r="G21" s="73">
        <v>0.41299999999999998</v>
      </c>
      <c r="H21" s="73">
        <v>0.41299999999999998</v>
      </c>
      <c r="I21" s="73">
        <v>0.41299999999999998</v>
      </c>
      <c r="J21" s="27"/>
    </row>
    <row r="22" spans="2:22">
      <c r="B22" s="23"/>
      <c r="C22" s="25"/>
      <c r="D22" s="2" t="s">
        <v>27</v>
      </c>
      <c r="E22" s="28" t="s">
        <v>28</v>
      </c>
      <c r="F22" s="36">
        <v>113.417953012181</v>
      </c>
      <c r="G22" s="67">
        <v>113.4</v>
      </c>
      <c r="H22" s="67">
        <v>113.4</v>
      </c>
      <c r="I22" s="67">
        <v>113.4</v>
      </c>
      <c r="J22" s="27"/>
      <c r="M22" s="37"/>
      <c r="N22" s="37"/>
      <c r="O22" s="37"/>
      <c r="P22" s="37"/>
    </row>
    <row r="23" spans="2:22">
      <c r="B23" s="23"/>
      <c r="C23" s="25"/>
      <c r="D23" s="2"/>
      <c r="E23" s="28" t="s">
        <v>32</v>
      </c>
      <c r="F23" s="38">
        <v>7.7777777777777803</v>
      </c>
      <c r="G23" s="38">
        <v>7.7777777777777803</v>
      </c>
      <c r="H23" s="38">
        <v>7.7777777777777803</v>
      </c>
      <c r="I23" s="38">
        <v>7.7777777777777803</v>
      </c>
      <c r="J23" s="27"/>
      <c r="K23" s="58">
        <f>1/0.2*Historique_!U31</f>
        <v>7</v>
      </c>
      <c r="L23" t="s">
        <v>77</v>
      </c>
      <c r="M23" s="39"/>
      <c r="N23" s="39"/>
      <c r="O23" s="39"/>
      <c r="P23" s="39"/>
      <c r="S23" s="40"/>
      <c r="T23" s="40"/>
      <c r="U23" s="40"/>
      <c r="V23" s="40"/>
    </row>
    <row r="24" spans="2:22">
      <c r="B24" s="23"/>
      <c r="C24" s="25"/>
      <c r="D24" s="2"/>
      <c r="E24" s="28" t="s">
        <v>35</v>
      </c>
      <c r="F24" s="29">
        <v>10672.0416871088</v>
      </c>
      <c r="G24" s="29">
        <f>G19*1000*G20*G21*G22*G23/10000</f>
        <v>9688.2006690000035</v>
      </c>
      <c r="H24" s="29">
        <f>H19*1000*H20*H21*H22*H23/10000</f>
        <v>8217.4766940000045</v>
      </c>
      <c r="I24" s="29">
        <f>I19*1000*I20*I21*I22*I23/10000</f>
        <v>6130.5967800000008</v>
      </c>
      <c r="J24" s="27"/>
      <c r="K24" s="58"/>
    </row>
    <row r="25" spans="2:22">
      <c r="B25" s="23"/>
      <c r="C25" s="25"/>
      <c r="D25" s="2" t="s">
        <v>36</v>
      </c>
      <c r="E25" s="28" t="s">
        <v>28</v>
      </c>
      <c r="F25" s="36">
        <v>63.559055822799003</v>
      </c>
      <c r="G25" s="67">
        <v>63.6</v>
      </c>
      <c r="H25" s="67">
        <v>63.6</v>
      </c>
      <c r="I25" s="67">
        <v>63.6</v>
      </c>
      <c r="J25" s="27"/>
      <c r="K25" s="58"/>
    </row>
    <row r="26" spans="2:22">
      <c r="B26" s="23"/>
      <c r="C26" s="25"/>
      <c r="D26" s="2"/>
      <c r="E26" s="28" t="s">
        <v>32</v>
      </c>
      <c r="F26" s="38">
        <v>3.9682539682539701</v>
      </c>
      <c r="G26" s="38">
        <v>3.9682539682539701</v>
      </c>
      <c r="H26" s="38">
        <v>3.9682539682539701</v>
      </c>
      <c r="I26" s="38">
        <v>3.9682539682539701</v>
      </c>
      <c r="J26" s="27"/>
      <c r="K26" s="58">
        <f>1/0.2/Historique_!U31</f>
        <v>3.5714285714285716</v>
      </c>
      <c r="L26" t="s">
        <v>77</v>
      </c>
    </row>
    <row r="27" spans="2:22">
      <c r="B27" s="23"/>
      <c r="C27" s="25"/>
      <c r="D27" s="2"/>
      <c r="E27" s="28" t="s">
        <v>35</v>
      </c>
      <c r="F27" s="29">
        <v>4336.8572120264198</v>
      </c>
      <c r="G27" s="29">
        <f>G19*1000*G20*(1-G21)*G25*G26/10000</f>
        <v>3940.2081500000013</v>
      </c>
      <c r="H27" s="29">
        <f>H19*1000*H20*(1-H21)*H25*H26/10000</f>
        <v>3342.0621380952393</v>
      </c>
      <c r="I27" s="29">
        <f>I19*1000*I20*(1-I21)*I25*I26/10000</f>
        <v>2493.3244285714295</v>
      </c>
      <c r="J27" s="27"/>
      <c r="K27" s="58"/>
    </row>
    <row r="28" spans="2:22">
      <c r="B28" s="42"/>
      <c r="C28" s="43"/>
      <c r="D28" s="44"/>
      <c r="E28" s="43"/>
      <c r="F28" s="45"/>
      <c r="G28" s="45"/>
      <c r="H28" s="45"/>
      <c r="I28" s="45"/>
      <c r="J28" s="46"/>
      <c r="K28" s="58"/>
    </row>
    <row r="29" spans="2:22">
      <c r="B29" s="8"/>
      <c r="C29" s="8"/>
      <c r="D29" s="47"/>
      <c r="E29" s="8"/>
      <c r="F29" s="48"/>
      <c r="G29" s="48"/>
      <c r="H29" s="48"/>
      <c r="I29" s="48"/>
      <c r="J29" s="8"/>
      <c r="K29" s="58"/>
    </row>
    <row r="30" spans="2:22">
      <c r="B30" s="20"/>
      <c r="C30" s="21"/>
      <c r="D30" s="21"/>
      <c r="E30" s="21"/>
      <c r="F30" s="21"/>
      <c r="G30" s="21"/>
      <c r="H30" s="21"/>
      <c r="I30" s="21"/>
      <c r="J30" s="22"/>
      <c r="K30" s="58"/>
    </row>
    <row r="31" spans="2:22" ht="15.6">
      <c r="B31" s="23"/>
      <c r="C31" s="24" t="s">
        <v>40</v>
      </c>
      <c r="D31" s="25"/>
      <c r="E31" s="25"/>
      <c r="F31" s="26">
        <v>2018</v>
      </c>
      <c r="G31" s="26">
        <f>G6</f>
        <v>2030</v>
      </c>
      <c r="H31" s="26">
        <v>2040</v>
      </c>
      <c r="I31" s="26">
        <v>2050</v>
      </c>
      <c r="J31" s="27"/>
      <c r="K31" s="58"/>
    </row>
    <row r="32" spans="2:22">
      <c r="B32" s="23"/>
      <c r="C32" s="25"/>
      <c r="D32" s="28" t="s">
        <v>41</v>
      </c>
      <c r="E32" s="28"/>
      <c r="F32" s="28">
        <v>5673</v>
      </c>
      <c r="G32" s="64"/>
      <c r="H32" s="64"/>
      <c r="I32" s="64"/>
      <c r="J32" s="27"/>
      <c r="K32" s="58"/>
      <c r="L32" s="37"/>
      <c r="M32" s="37"/>
      <c r="N32" s="37"/>
      <c r="O32" s="37"/>
    </row>
    <row r="33" spans="2:15">
      <c r="B33" s="23"/>
      <c r="C33" s="25"/>
      <c r="D33" s="28" t="s">
        <v>42</v>
      </c>
      <c r="E33" s="28"/>
      <c r="F33" s="29">
        <v>5438.4782608695696</v>
      </c>
      <c r="G33" s="29">
        <f>G36*1000000*G37/10000</f>
        <v>3437.3838721664793</v>
      </c>
      <c r="H33" s="29">
        <f>H36*1000000*H37/10000</f>
        <v>3901.8952062430308</v>
      </c>
      <c r="I33" s="29">
        <f>I36*1000000*I37/10000</f>
        <v>3390.9327387588246</v>
      </c>
      <c r="J33" s="27"/>
      <c r="K33" s="58"/>
      <c r="L33" s="49"/>
      <c r="M33" s="49"/>
      <c r="N33" s="49"/>
      <c r="O33" s="49"/>
    </row>
    <row r="34" spans="2:15" hidden="1">
      <c r="B34" s="23"/>
      <c r="C34" s="25"/>
      <c r="D34" s="50" t="s">
        <v>43</v>
      </c>
      <c r="E34" s="50"/>
      <c r="F34" s="51">
        <v>11964.652173913</v>
      </c>
      <c r="G34" s="51">
        <f>G33*2.2</f>
        <v>7562.2445187662552</v>
      </c>
      <c r="H34" s="51"/>
      <c r="I34" s="51"/>
      <c r="J34" s="27"/>
      <c r="K34" s="58"/>
    </row>
    <row r="35" spans="2:15">
      <c r="B35" s="23"/>
      <c r="C35" s="25"/>
      <c r="D35" s="25"/>
      <c r="E35" s="25"/>
      <c r="F35" s="25"/>
      <c r="G35" s="25"/>
      <c r="H35" s="25"/>
      <c r="I35" s="25"/>
      <c r="J35" s="27"/>
      <c r="K35" s="58"/>
    </row>
    <row r="36" spans="2:15">
      <c r="B36" s="23"/>
      <c r="C36" s="25"/>
      <c r="D36" s="4" t="s">
        <v>56</v>
      </c>
      <c r="E36" s="4"/>
      <c r="F36" s="55">
        <v>25.016999999999999</v>
      </c>
      <c r="G36" s="74">
        <f>Historique_!X38</f>
        <v>15.811965811965813</v>
      </c>
      <c r="H36" s="74">
        <f>Historique_!X39</f>
        <v>17.948717948717949</v>
      </c>
      <c r="I36" s="74">
        <f>Historique_!X40</f>
        <v>15.5982905982906</v>
      </c>
      <c r="J36" s="27"/>
      <c r="K36" s="58"/>
    </row>
    <row r="37" spans="2:15">
      <c r="B37" s="23"/>
      <c r="C37" s="25"/>
      <c r="D37" s="4" t="s">
        <v>58</v>
      </c>
      <c r="E37" s="4"/>
      <c r="F37" s="55">
        <v>2.1739130434782599</v>
      </c>
      <c r="G37" s="55">
        <v>2.1739130434782599</v>
      </c>
      <c r="H37" s="55">
        <v>2.1739130434782599</v>
      </c>
      <c r="I37" s="55">
        <v>2.1739130434782599</v>
      </c>
      <c r="J37" s="27"/>
      <c r="K37" s="58">
        <f>1/0.55</f>
        <v>1.8181818181818181</v>
      </c>
      <c r="L37" s="8" t="s">
        <v>77</v>
      </c>
      <c r="M37" s="8"/>
      <c r="N37" s="8"/>
    </row>
    <row r="38" spans="2:15">
      <c r="B38" s="42"/>
      <c r="C38" s="43"/>
      <c r="D38" s="43"/>
      <c r="E38" s="43"/>
      <c r="F38" s="56"/>
      <c r="G38" s="56"/>
      <c r="H38" s="56"/>
      <c r="I38" s="56"/>
      <c r="J38" s="46"/>
      <c r="N38" s="57"/>
    </row>
    <row r="39" spans="2:15">
      <c r="N39" s="57"/>
    </row>
    <row r="40" spans="2:15">
      <c r="B40" s="20"/>
      <c r="C40" s="21"/>
      <c r="D40" s="21"/>
      <c r="E40" s="21"/>
      <c r="F40" s="21"/>
      <c r="G40" s="21"/>
      <c r="H40" s="21"/>
      <c r="I40" s="21"/>
      <c r="J40" s="22"/>
      <c r="N40" s="57"/>
    </row>
    <row r="41" spans="2:15" ht="15.75" customHeight="1">
      <c r="B41" s="23"/>
      <c r="C41" s="1" t="s">
        <v>59</v>
      </c>
      <c r="D41" s="1"/>
      <c r="E41" s="1"/>
      <c r="F41" s="26">
        <v>2018</v>
      </c>
      <c r="G41" s="26">
        <f>G6</f>
        <v>2030</v>
      </c>
      <c r="H41" s="26">
        <v>2040</v>
      </c>
      <c r="I41" s="26">
        <v>2050</v>
      </c>
      <c r="J41" s="27"/>
    </row>
    <row r="42" spans="2:15">
      <c r="B42" s="23"/>
      <c r="C42" s="1"/>
      <c r="D42" s="1"/>
      <c r="E42" s="1"/>
      <c r="F42" s="28">
        <v>1418</v>
      </c>
      <c r="G42" s="75">
        <f>G44*(G33+G15)</f>
        <v>1023.947561469989</v>
      </c>
      <c r="H42" s="75">
        <f>H44*(H33+H15)</f>
        <v>927.68604230029644</v>
      </c>
      <c r="I42" s="75">
        <f>I44*(I33+I15)</f>
        <v>720.89123683981529</v>
      </c>
      <c r="J42" s="27"/>
    </row>
    <row r="43" spans="2:15">
      <c r="B43" s="23"/>
      <c r="C43" s="25"/>
      <c r="D43" s="25"/>
      <c r="E43" s="25"/>
      <c r="F43" s="25"/>
      <c r="G43" s="25"/>
      <c r="H43" s="25"/>
      <c r="I43" s="25"/>
      <c r="J43" s="27"/>
    </row>
    <row r="44" spans="2:15">
      <c r="B44" s="23"/>
      <c r="C44" s="25"/>
      <c r="D44" s="25" t="s">
        <v>60</v>
      </c>
      <c r="E44" s="25"/>
      <c r="F44" s="61">
        <v>6.3055852009960903E-2</v>
      </c>
      <c r="G44" s="76">
        <v>0.06</v>
      </c>
      <c r="H44" s="76">
        <v>0.06</v>
      </c>
      <c r="I44" s="76">
        <v>0.06</v>
      </c>
      <c r="J44" s="27"/>
    </row>
    <row r="45" spans="2:15">
      <c r="B45" s="42"/>
      <c r="C45" s="43"/>
      <c r="D45" s="43"/>
      <c r="E45" s="43"/>
      <c r="F45" s="43"/>
      <c r="G45" s="43"/>
      <c r="H45" s="43"/>
      <c r="I45" s="43"/>
      <c r="J45" s="46"/>
    </row>
  </sheetData>
  <mergeCells count="10">
    <mergeCell ref="D22:D24"/>
    <mergeCell ref="D25:D27"/>
    <mergeCell ref="D36:E36"/>
    <mergeCell ref="D37:E37"/>
    <mergeCell ref="C41:E42"/>
    <mergeCell ref="D17:E17"/>
    <mergeCell ref="D18:E18"/>
    <mergeCell ref="D19:E19"/>
    <mergeCell ref="D20:E20"/>
    <mergeCell ref="D21:E2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DC3E6"/>
  </sheetPr>
  <dimension ref="B2:V45"/>
  <sheetViews>
    <sheetView zoomScale="88" zoomScaleNormal="88" workbookViewId="0">
      <selection activeCell="M13" sqref="M13"/>
    </sheetView>
  </sheetViews>
  <sheetFormatPr baseColWidth="10" defaultColWidth="8.88671875" defaultRowHeight="14.4"/>
  <cols>
    <col min="1" max="1" width="11" customWidth="1"/>
    <col min="2" max="2" width="2.88671875" customWidth="1"/>
    <col min="3" max="3" width="11" customWidth="1"/>
    <col min="4" max="4" width="5.21875" customWidth="1"/>
    <col min="5" max="5" width="30.33203125" customWidth="1"/>
    <col min="6" max="9" width="11" customWidth="1"/>
    <col min="10" max="10" width="2.88671875" customWidth="1"/>
    <col min="11" max="11" width="9.44140625" customWidth="1"/>
    <col min="12" max="1025" width="11" customWidth="1"/>
  </cols>
  <sheetData>
    <row r="2" spans="2:10">
      <c r="C2" t="s">
        <v>78</v>
      </c>
    </row>
    <row r="3" spans="2:10">
      <c r="C3" t="s">
        <v>79</v>
      </c>
    </row>
    <row r="5" spans="2:10">
      <c r="D5" s="5"/>
      <c r="E5" s="6"/>
      <c r="F5" s="6"/>
      <c r="G5" s="6"/>
      <c r="H5" s="6"/>
      <c r="I5" s="6"/>
      <c r="J5" s="7"/>
    </row>
    <row r="6" spans="2:10">
      <c r="D6" s="9"/>
      <c r="E6" s="10"/>
      <c r="F6" s="11">
        <v>2018</v>
      </c>
      <c r="G6" s="63">
        <v>2030</v>
      </c>
      <c r="H6" s="63">
        <v>2040</v>
      </c>
      <c r="I6" s="63">
        <v>2050</v>
      </c>
      <c r="J6" s="12"/>
    </row>
    <row r="7" spans="2:10">
      <c r="D7" s="9"/>
      <c r="E7" s="13" t="s">
        <v>4</v>
      </c>
      <c r="F7" s="14">
        <v>23295</v>
      </c>
      <c r="G7" s="64"/>
      <c r="H7" s="64"/>
      <c r="I7" s="64"/>
      <c r="J7" s="12"/>
    </row>
    <row r="8" spans="2:10">
      <c r="D8" s="9"/>
      <c r="E8" s="13" t="s">
        <v>7</v>
      </c>
      <c r="F8" s="14">
        <v>21865.377160004798</v>
      </c>
      <c r="G8" s="65">
        <f>G15+G33+G42</f>
        <v>16050.442874340402</v>
      </c>
      <c r="H8" s="65">
        <f>H15+H33+H42</f>
        <v>14489.191381573626</v>
      </c>
      <c r="I8" s="65">
        <f>I15+I33+I42</f>
        <v>11235.491602597422</v>
      </c>
      <c r="J8" s="12"/>
    </row>
    <row r="9" spans="2:10">
      <c r="D9" s="9"/>
      <c r="E9" s="15" t="s">
        <v>8</v>
      </c>
      <c r="F9" s="14">
        <v>33727.074112178801</v>
      </c>
      <c r="G9" s="16">
        <f>G8*$F9/$F8</f>
        <v>24757.609822818722</v>
      </c>
      <c r="H9" s="16">
        <f>H8*$F9/$F8</f>
        <v>22349.39868523031</v>
      </c>
      <c r="I9" s="16">
        <f>I8*$F9/$F8</f>
        <v>17330.606977166943</v>
      </c>
      <c r="J9" s="12"/>
    </row>
    <row r="10" spans="2:10">
      <c r="D10" s="17"/>
      <c r="E10" s="18"/>
      <c r="F10" s="18"/>
      <c r="G10" s="18"/>
      <c r="H10" s="18"/>
      <c r="I10" s="18"/>
      <c r="J10" s="19"/>
    </row>
    <row r="12" spans="2:10">
      <c r="B12" s="20"/>
      <c r="C12" s="21"/>
      <c r="D12" s="21"/>
      <c r="E12" s="21"/>
      <c r="F12" s="21"/>
      <c r="G12" s="21"/>
      <c r="H12" s="21"/>
      <c r="I12" s="21"/>
      <c r="J12" s="22"/>
    </row>
    <row r="13" spans="2:10" ht="15.6">
      <c r="B13" s="23"/>
      <c r="C13" s="24" t="s">
        <v>9</v>
      </c>
      <c r="D13" s="25"/>
      <c r="E13" s="25"/>
      <c r="F13" s="26">
        <v>2018</v>
      </c>
      <c r="G13" s="26">
        <f>G6</f>
        <v>2030</v>
      </c>
      <c r="H13" s="26">
        <v>2040</v>
      </c>
      <c r="I13" s="26">
        <v>2050</v>
      </c>
      <c r="J13" s="27"/>
    </row>
    <row r="14" spans="2:10">
      <c r="B14" s="23"/>
      <c r="C14" s="25"/>
      <c r="D14" s="28" t="s">
        <v>10</v>
      </c>
      <c r="E14" s="28"/>
      <c r="F14" s="30">
        <v>16815</v>
      </c>
      <c r="G14" s="64"/>
      <c r="H14" s="64"/>
      <c r="I14" s="64"/>
      <c r="J14" s="27"/>
    </row>
    <row r="15" spans="2:10">
      <c r="B15" s="23"/>
      <c r="C15" s="25"/>
      <c r="D15" s="28" t="s">
        <v>11</v>
      </c>
      <c r="E15" s="28"/>
      <c r="F15" s="31">
        <v>15008.8988991352</v>
      </c>
      <c r="G15" s="31">
        <f>G24+G27</f>
        <v>12264.149462165999</v>
      </c>
      <c r="H15" s="31">
        <f>H24+H27</f>
        <v>10402.381806515999</v>
      </c>
      <c r="I15" s="31">
        <f>I24+I27</f>
        <v>7760.6314909199991</v>
      </c>
      <c r="J15" s="27"/>
    </row>
    <row r="16" spans="2:10">
      <c r="B16" s="23"/>
      <c r="C16" s="25"/>
      <c r="D16" s="25"/>
      <c r="E16" s="25"/>
      <c r="F16" s="25"/>
      <c r="G16" s="25"/>
      <c r="H16" s="25"/>
      <c r="I16" s="25"/>
      <c r="J16" s="27"/>
    </row>
    <row r="17" spans="2:22" hidden="1">
      <c r="B17" s="23"/>
      <c r="C17" s="25"/>
      <c r="D17" s="4" t="s">
        <v>13</v>
      </c>
      <c r="E17" s="4"/>
      <c r="F17" s="28">
        <v>64.739999999999995</v>
      </c>
      <c r="G17" s="67">
        <v>66.95</v>
      </c>
      <c r="H17" s="68"/>
      <c r="I17" s="68"/>
      <c r="J17" s="27"/>
    </row>
    <row r="18" spans="2:22" hidden="1">
      <c r="B18" s="23"/>
      <c r="C18" s="25"/>
      <c r="D18" s="4" t="s">
        <v>14</v>
      </c>
      <c r="E18" s="4"/>
      <c r="F18" s="28">
        <v>2.2599999999999998</v>
      </c>
      <c r="G18" s="67">
        <v>2.17</v>
      </c>
      <c r="H18" s="68"/>
      <c r="I18" s="68"/>
      <c r="J18" s="27"/>
    </row>
    <row r="19" spans="2:22">
      <c r="B19" s="23"/>
      <c r="C19" s="25"/>
      <c r="D19" s="4" t="s">
        <v>15</v>
      </c>
      <c r="E19" s="4"/>
      <c r="F19" s="28">
        <v>335</v>
      </c>
      <c r="G19" s="67">
        <f>312.9</f>
        <v>312.89999999999998</v>
      </c>
      <c r="H19" s="67">
        <v>265.39999999999998</v>
      </c>
      <c r="I19" s="67">
        <v>198</v>
      </c>
      <c r="J19" s="27"/>
    </row>
    <row r="20" spans="2:22">
      <c r="B20" s="23"/>
      <c r="C20" s="25"/>
      <c r="D20" s="3" t="s">
        <v>19</v>
      </c>
      <c r="E20" s="3"/>
      <c r="F20" s="33">
        <v>0.87441040926125002</v>
      </c>
      <c r="G20" s="72">
        <v>0.85</v>
      </c>
      <c r="H20" s="72">
        <v>0.85</v>
      </c>
      <c r="I20" s="72">
        <v>0.85</v>
      </c>
      <c r="J20" s="27"/>
    </row>
    <row r="21" spans="2:22">
      <c r="B21" s="23"/>
      <c r="C21" s="25"/>
      <c r="D21" s="4" t="s">
        <v>23</v>
      </c>
      <c r="E21" s="4"/>
      <c r="F21" s="35">
        <v>0.41299999999999998</v>
      </c>
      <c r="G21" s="73">
        <v>0.41299999999999998</v>
      </c>
      <c r="H21" s="73">
        <v>0.41299999999999998</v>
      </c>
      <c r="I21" s="73">
        <v>0.41299999999999998</v>
      </c>
      <c r="J21" s="27"/>
    </row>
    <row r="22" spans="2:22">
      <c r="B22" s="23"/>
      <c r="C22" s="25"/>
      <c r="D22" s="2" t="s">
        <v>27</v>
      </c>
      <c r="E22" s="28" t="s">
        <v>28</v>
      </c>
      <c r="F22" s="36">
        <v>113.417953012181</v>
      </c>
      <c r="G22" s="67">
        <v>113.4</v>
      </c>
      <c r="H22" s="67">
        <v>113.4</v>
      </c>
      <c r="I22" s="67">
        <v>113.4</v>
      </c>
      <c r="J22" s="27"/>
      <c r="M22" s="37"/>
      <c r="N22" s="37"/>
      <c r="O22" s="37"/>
      <c r="P22" s="37"/>
    </row>
    <row r="23" spans="2:22">
      <c r="B23" s="23"/>
      <c r="C23" s="25"/>
      <c r="D23" s="2"/>
      <c r="E23" s="28" t="s">
        <v>32</v>
      </c>
      <c r="F23" s="38">
        <v>7.7777777777777803</v>
      </c>
      <c r="G23" s="38">
        <v>7</v>
      </c>
      <c r="H23" s="38">
        <v>7</v>
      </c>
      <c r="I23" s="38">
        <v>7</v>
      </c>
      <c r="J23" s="27"/>
      <c r="K23" s="58">
        <f>1/0.2*Historique_!U31</f>
        <v>7</v>
      </c>
      <c r="L23" t="s">
        <v>77</v>
      </c>
      <c r="M23" s="39"/>
      <c r="N23" s="39"/>
      <c r="O23" s="39"/>
      <c r="P23" s="39"/>
      <c r="S23" s="40"/>
      <c r="T23" s="40"/>
      <c r="U23" s="40"/>
      <c r="V23" s="40"/>
    </row>
    <row r="24" spans="2:22">
      <c r="B24" s="23"/>
      <c r="C24" s="25"/>
      <c r="D24" s="2"/>
      <c r="E24" s="28" t="s">
        <v>35</v>
      </c>
      <c r="F24" s="29">
        <v>10672.0416871088</v>
      </c>
      <c r="G24" s="29">
        <f>G19*1000*G20*G21*G22*G23/10000</f>
        <v>8719.3806021</v>
      </c>
      <c r="H24" s="29">
        <f>H19*1000*H20*H21*H22*H23/10000</f>
        <v>7395.7290246000002</v>
      </c>
      <c r="I24" s="29">
        <f>I19*1000*I20*I21*I22*I23/10000</f>
        <v>5517.5371019999993</v>
      </c>
      <c r="J24" s="27"/>
      <c r="K24" s="58"/>
    </row>
    <row r="25" spans="2:22">
      <c r="B25" s="23"/>
      <c r="C25" s="25"/>
      <c r="D25" s="2" t="s">
        <v>36</v>
      </c>
      <c r="E25" s="28" t="s">
        <v>28</v>
      </c>
      <c r="F25" s="36">
        <v>63.559055822799003</v>
      </c>
      <c r="G25" s="67">
        <v>63.6</v>
      </c>
      <c r="H25" s="67">
        <v>63.6</v>
      </c>
      <c r="I25" s="67">
        <v>63.6</v>
      </c>
      <c r="J25" s="27"/>
      <c r="K25" s="58"/>
    </row>
    <row r="26" spans="2:22">
      <c r="B26" s="23"/>
      <c r="C26" s="25"/>
      <c r="D26" s="2"/>
      <c r="E26" s="28" t="s">
        <v>32</v>
      </c>
      <c r="F26" s="38">
        <v>3.9682539682539701</v>
      </c>
      <c r="G26" s="38">
        <v>3.57</v>
      </c>
      <c r="H26" s="38">
        <v>3.57</v>
      </c>
      <c r="I26" s="38">
        <v>3.57</v>
      </c>
      <c r="J26" s="27"/>
      <c r="K26" s="58">
        <f>1/0.2/Historique_!U31</f>
        <v>3.5714285714285716</v>
      </c>
      <c r="L26" t="s">
        <v>77</v>
      </c>
    </row>
    <row r="27" spans="2:22">
      <c r="B27" s="23"/>
      <c r="C27" s="25"/>
      <c r="D27" s="2"/>
      <c r="E27" s="28" t="s">
        <v>35</v>
      </c>
      <c r="F27" s="29">
        <v>4336.8572120264198</v>
      </c>
      <c r="G27" s="29">
        <f>G19*1000*G20*(1-G21)*G25*G26/10000</f>
        <v>3544.7688600659994</v>
      </c>
      <c r="H27" s="29">
        <f>H19*1000*H20*(1-H21)*H25*H26/10000</f>
        <v>3006.6527819159996</v>
      </c>
      <c r="I27" s="29">
        <f>I19*1000*I20*(1-I21)*I25*I26/10000</f>
        <v>2243.0943889199998</v>
      </c>
      <c r="J27" s="27"/>
      <c r="K27" s="58"/>
    </row>
    <row r="28" spans="2:22">
      <c r="B28" s="42"/>
      <c r="C28" s="43"/>
      <c r="D28" s="44"/>
      <c r="E28" s="43"/>
      <c r="F28" s="45"/>
      <c r="G28" s="45"/>
      <c r="H28" s="45"/>
      <c r="I28" s="45"/>
      <c r="J28" s="46"/>
      <c r="K28" s="58"/>
    </row>
    <row r="29" spans="2:22">
      <c r="B29" s="8"/>
      <c r="C29" s="8"/>
      <c r="D29" s="47"/>
      <c r="E29" s="8"/>
      <c r="F29" s="48"/>
      <c r="G29" s="48"/>
      <c r="H29" s="48"/>
      <c r="I29" s="48"/>
      <c r="J29" s="8"/>
      <c r="K29" s="58"/>
    </row>
    <row r="30" spans="2:22">
      <c r="B30" s="20"/>
      <c r="C30" s="21"/>
      <c r="D30" s="21"/>
      <c r="E30" s="21"/>
      <c r="F30" s="21"/>
      <c r="G30" s="21"/>
      <c r="H30" s="21"/>
      <c r="I30" s="21"/>
      <c r="J30" s="22"/>
      <c r="K30" s="58"/>
    </row>
    <row r="31" spans="2:22" ht="15.6">
      <c r="B31" s="23"/>
      <c r="C31" s="24" t="s">
        <v>40</v>
      </c>
      <c r="D31" s="25"/>
      <c r="E31" s="25"/>
      <c r="F31" s="26">
        <v>2018</v>
      </c>
      <c r="G31" s="26">
        <f>G6</f>
        <v>2030</v>
      </c>
      <c r="H31" s="26">
        <v>2040</v>
      </c>
      <c r="I31" s="26">
        <v>2050</v>
      </c>
      <c r="J31" s="27"/>
      <c r="K31" s="58"/>
    </row>
    <row r="32" spans="2:22">
      <c r="B32" s="23"/>
      <c r="C32" s="25"/>
      <c r="D32" s="28" t="s">
        <v>41</v>
      </c>
      <c r="E32" s="28"/>
      <c r="F32" s="28">
        <v>5673</v>
      </c>
      <c r="G32" s="64"/>
      <c r="H32" s="64"/>
      <c r="I32" s="64"/>
      <c r="J32" s="27"/>
      <c r="K32" s="58"/>
      <c r="L32" s="37"/>
      <c r="M32" s="37"/>
      <c r="N32" s="37"/>
      <c r="O32" s="37"/>
    </row>
    <row r="33" spans="2:15">
      <c r="B33" s="23"/>
      <c r="C33" s="25"/>
      <c r="D33" s="28" t="s">
        <v>42</v>
      </c>
      <c r="E33" s="28"/>
      <c r="F33" s="29">
        <v>5438.4782608695696</v>
      </c>
      <c r="G33" s="29">
        <f>G36*1000000*G37/10000</f>
        <v>2877.7777777777778</v>
      </c>
      <c r="H33" s="29">
        <f>H36*1000000*H37/10000</f>
        <v>3266.666666666667</v>
      </c>
      <c r="I33" s="29">
        <f>I36*1000000*I37/10000</f>
        <v>2838.8888888888891</v>
      </c>
      <c r="J33" s="27"/>
      <c r="K33" s="58"/>
      <c r="L33" s="49"/>
      <c r="M33" s="49"/>
      <c r="N33" s="49"/>
      <c r="O33" s="49"/>
    </row>
    <row r="34" spans="2:15" hidden="1">
      <c r="B34" s="23"/>
      <c r="C34" s="25"/>
      <c r="D34" s="50" t="s">
        <v>43</v>
      </c>
      <c r="E34" s="50"/>
      <c r="F34" s="51">
        <v>11964.652173913</v>
      </c>
      <c r="G34" s="51">
        <f>G33*2.2</f>
        <v>6331.1111111111113</v>
      </c>
      <c r="H34" s="51"/>
      <c r="I34" s="51"/>
      <c r="J34" s="27"/>
      <c r="K34" s="58"/>
    </row>
    <row r="35" spans="2:15">
      <c r="B35" s="23"/>
      <c r="C35" s="25"/>
      <c r="D35" s="25"/>
      <c r="E35" s="25"/>
      <c r="F35" s="25"/>
      <c r="G35" s="25"/>
      <c r="H35" s="25"/>
      <c r="I35" s="25"/>
      <c r="J35" s="27"/>
      <c r="K35" s="58"/>
    </row>
    <row r="36" spans="2:15">
      <c r="B36" s="23"/>
      <c r="C36" s="25"/>
      <c r="D36" s="4" t="s">
        <v>56</v>
      </c>
      <c r="E36" s="4"/>
      <c r="F36" s="55">
        <v>25.016999999999999</v>
      </c>
      <c r="G36" s="74">
        <f>Historique_!X38</f>
        <v>15.811965811965813</v>
      </c>
      <c r="H36" s="74">
        <f>Historique_!X39</f>
        <v>17.948717948717949</v>
      </c>
      <c r="I36" s="74">
        <f>Historique_!X40</f>
        <v>15.5982905982906</v>
      </c>
      <c r="J36" s="27"/>
      <c r="K36" s="58"/>
    </row>
    <row r="37" spans="2:15">
      <c r="B37" s="23"/>
      <c r="C37" s="25"/>
      <c r="D37" s="4" t="s">
        <v>58</v>
      </c>
      <c r="E37" s="4"/>
      <c r="F37" s="55">
        <v>2.1739130434782599</v>
      </c>
      <c r="G37" s="55">
        <v>1.82</v>
      </c>
      <c r="H37" s="55">
        <v>1.82</v>
      </c>
      <c r="I37" s="55">
        <v>1.82</v>
      </c>
      <c r="J37" s="27"/>
      <c r="K37" s="58">
        <f>1/0.55</f>
        <v>1.8181818181818181</v>
      </c>
      <c r="L37" s="8" t="s">
        <v>77</v>
      </c>
      <c r="M37" s="8"/>
      <c r="N37" s="8"/>
    </row>
    <row r="38" spans="2:15">
      <c r="B38" s="42"/>
      <c r="C38" s="43"/>
      <c r="D38" s="43"/>
      <c r="E38" s="43"/>
      <c r="F38" s="56"/>
      <c r="G38" s="56"/>
      <c r="H38" s="56"/>
      <c r="I38" s="56"/>
      <c r="J38" s="46"/>
      <c r="N38" s="57"/>
    </row>
    <row r="39" spans="2:15">
      <c r="N39" s="57"/>
    </row>
    <row r="40" spans="2:15">
      <c r="B40" s="20"/>
      <c r="C40" s="21"/>
      <c r="D40" s="21"/>
      <c r="E40" s="21"/>
      <c r="F40" s="21"/>
      <c r="G40" s="21"/>
      <c r="H40" s="21"/>
      <c r="I40" s="21"/>
      <c r="J40" s="22"/>
      <c r="N40" s="57"/>
    </row>
    <row r="41" spans="2:15" ht="15.75" customHeight="1">
      <c r="B41" s="23"/>
      <c r="C41" s="1" t="s">
        <v>59</v>
      </c>
      <c r="D41" s="1"/>
      <c r="E41" s="1"/>
      <c r="F41" s="26">
        <v>2018</v>
      </c>
      <c r="G41" s="26">
        <f>G6</f>
        <v>2030</v>
      </c>
      <c r="H41" s="26">
        <v>2040</v>
      </c>
      <c r="I41" s="26">
        <v>2050</v>
      </c>
      <c r="J41" s="27"/>
    </row>
    <row r="42" spans="2:15">
      <c r="B42" s="23"/>
      <c r="C42" s="1"/>
      <c r="D42" s="1"/>
      <c r="E42" s="1"/>
      <c r="F42" s="28">
        <v>1418</v>
      </c>
      <c r="G42" s="75">
        <f>G44*(G33+G15)</f>
        <v>908.51563439662652</v>
      </c>
      <c r="H42" s="75">
        <f>H44*(H33+H15)</f>
        <v>820.14290839095986</v>
      </c>
      <c r="I42" s="75">
        <f>I44*(I33+I15)</f>
        <v>635.97122278853328</v>
      </c>
      <c r="J42" s="27"/>
    </row>
    <row r="43" spans="2:15">
      <c r="B43" s="23"/>
      <c r="C43" s="25"/>
      <c r="D43" s="25"/>
      <c r="E43" s="25"/>
      <c r="F43" s="25"/>
      <c r="G43" s="25"/>
      <c r="H43" s="25"/>
      <c r="I43" s="25"/>
      <c r="J43" s="27"/>
    </row>
    <row r="44" spans="2:15">
      <c r="B44" s="23"/>
      <c r="C44" s="25"/>
      <c r="D44" s="25" t="s">
        <v>60</v>
      </c>
      <c r="E44" s="25"/>
      <c r="F44" s="61">
        <v>6.3055852009960903E-2</v>
      </c>
      <c r="G44" s="76">
        <v>0.06</v>
      </c>
      <c r="H44" s="76">
        <v>0.06</v>
      </c>
      <c r="I44" s="76">
        <v>0.06</v>
      </c>
      <c r="J44" s="27"/>
    </row>
    <row r="45" spans="2:15">
      <c r="B45" s="42"/>
      <c r="C45" s="43"/>
      <c r="D45" s="43"/>
      <c r="E45" s="43"/>
      <c r="F45" s="43"/>
      <c r="G45" s="43"/>
      <c r="H45" s="43"/>
      <c r="I45" s="43"/>
      <c r="J45" s="46"/>
    </row>
  </sheetData>
  <mergeCells count="10">
    <mergeCell ref="D22:D24"/>
    <mergeCell ref="D25:D27"/>
    <mergeCell ref="D36:E36"/>
    <mergeCell ref="D37:E37"/>
    <mergeCell ref="C41:E42"/>
    <mergeCell ref="D17:E17"/>
    <mergeCell ref="D18:E18"/>
    <mergeCell ref="D19:E19"/>
    <mergeCell ref="D20:E20"/>
    <mergeCell ref="D21:E2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BFBF"/>
  </sheetPr>
  <dimension ref="B2:U49"/>
  <sheetViews>
    <sheetView topLeftCell="A28" zoomScale="88" zoomScaleNormal="88" workbookViewId="0">
      <selection activeCell="L24" sqref="L24"/>
    </sheetView>
  </sheetViews>
  <sheetFormatPr baseColWidth="10" defaultColWidth="8.88671875" defaultRowHeight="14.4"/>
  <cols>
    <col min="1" max="1" width="11" customWidth="1"/>
    <col min="2" max="2" width="2.88671875" customWidth="1"/>
    <col min="3" max="3" width="11" customWidth="1"/>
    <col min="4" max="4" width="5.21875" customWidth="1"/>
    <col min="5" max="5" width="30.33203125" customWidth="1"/>
    <col min="6" max="9" width="11" customWidth="1"/>
    <col min="10" max="10" width="2.88671875" customWidth="1"/>
    <col min="11" max="11" width="9.44140625" customWidth="1"/>
    <col min="12" max="1025" width="11" customWidth="1"/>
  </cols>
  <sheetData>
    <row r="2" spans="2:16">
      <c r="C2" t="s">
        <v>80</v>
      </c>
    </row>
    <row r="5" spans="2:16">
      <c r="D5" s="5"/>
      <c r="E5" s="6"/>
      <c r="F5" s="6"/>
      <c r="G5" s="6"/>
      <c r="H5" s="6"/>
      <c r="I5" s="6"/>
      <c r="J5" s="7"/>
    </row>
    <row r="6" spans="2:16">
      <c r="D6" s="9"/>
      <c r="E6" s="10"/>
      <c r="F6" s="11">
        <v>2018</v>
      </c>
      <c r="G6" s="11">
        <v>2030</v>
      </c>
      <c r="H6" s="11">
        <v>2040</v>
      </c>
      <c r="I6" s="11">
        <v>2050</v>
      </c>
      <c r="J6" s="12"/>
      <c r="L6" t="s">
        <v>81</v>
      </c>
      <c r="M6" s="81">
        <v>2015</v>
      </c>
      <c r="N6" s="81">
        <v>2030</v>
      </c>
      <c r="O6">
        <v>2040</v>
      </c>
      <c r="P6">
        <v>2050</v>
      </c>
    </row>
    <row r="7" spans="2:16">
      <c r="C7" t="s">
        <v>82</v>
      </c>
      <c r="D7" s="9"/>
      <c r="E7" s="13" t="s">
        <v>4</v>
      </c>
      <c r="F7" s="14">
        <v>23295</v>
      </c>
      <c r="G7" s="64">
        <f>N9</f>
        <v>31057.118028169014</v>
      </c>
      <c r="H7" s="64">
        <f>O9</f>
        <v>29859.850140845072</v>
      </c>
      <c r="I7" s="64">
        <f>P9</f>
        <v>27411.017746478872</v>
      </c>
      <c r="J7" s="12"/>
      <c r="L7" t="s">
        <v>83</v>
      </c>
      <c r="M7" s="48">
        <v>49700</v>
      </c>
      <c r="N7" s="48">
        <v>56627</v>
      </c>
      <c r="O7">
        <v>54444</v>
      </c>
      <c r="P7" s="8">
        <v>49979</v>
      </c>
    </row>
    <row r="8" spans="2:16">
      <c r="D8" s="9"/>
      <c r="E8" s="13" t="s">
        <v>7</v>
      </c>
      <c r="F8" s="14">
        <v>21865.377160004798</v>
      </c>
      <c r="G8" s="65">
        <f>G15+G31+G40</f>
        <v>19937.084750341008</v>
      </c>
      <c r="H8" s="65">
        <f>H15+H31+H40</f>
        <v>17139.747569989122</v>
      </c>
      <c r="I8" s="65">
        <f>I15+I31+I40</f>
        <v>14042.084303263979</v>
      </c>
      <c r="J8" s="12"/>
      <c r="M8" s="48"/>
      <c r="N8" s="48"/>
    </row>
    <row r="9" spans="2:16">
      <c r="D9" s="9"/>
      <c r="E9" s="15" t="s">
        <v>84</v>
      </c>
      <c r="F9" s="16">
        <v>33727.074112178801</v>
      </c>
      <c r="G9" s="16">
        <f>G8*'comparaison Agreste'!$N11</f>
        <v>17857.590994550821</v>
      </c>
      <c r="H9" s="16">
        <f>H8*'comparaison Agreste'!$N11</f>
        <v>15352.023913600351</v>
      </c>
      <c r="I9" s="16">
        <f>I8*'comparaison Agreste'!$N11</f>
        <v>12577.455597885306</v>
      </c>
      <c r="J9" s="12"/>
      <c r="L9" t="s">
        <v>85</v>
      </c>
      <c r="M9" s="48">
        <v>27258</v>
      </c>
      <c r="N9" s="48">
        <f>$M9*N7/$M7</f>
        <v>31057.118028169014</v>
      </c>
      <c r="O9" s="48">
        <f>$M9*O7/$M7</f>
        <v>29859.850140845072</v>
      </c>
      <c r="P9" s="48">
        <f>$M9*P7/$M7</f>
        <v>27411.017746478872</v>
      </c>
    </row>
    <row r="10" spans="2:16">
      <c r="D10" s="17"/>
      <c r="E10" s="18"/>
      <c r="F10" s="18"/>
      <c r="G10" s="18"/>
      <c r="H10" s="18"/>
      <c r="I10" s="18"/>
      <c r="J10" s="19"/>
      <c r="L10" t="s">
        <v>86</v>
      </c>
      <c r="M10" s="48" t="e">
        <f>#REF!</f>
        <v>#REF!</v>
      </c>
      <c r="N10" s="48" t="e">
        <f>$M10*N7/$M7</f>
        <v>#REF!</v>
      </c>
      <c r="O10" s="48" t="e">
        <f>$M10*O7/$M7</f>
        <v>#REF!</v>
      </c>
      <c r="P10" s="48" t="e">
        <f>$M10*P7/$M7</f>
        <v>#REF!</v>
      </c>
    </row>
    <row r="12" spans="2:16">
      <c r="B12" s="20"/>
      <c r="C12" s="21"/>
      <c r="D12" s="21"/>
      <c r="E12" s="21"/>
      <c r="F12" s="21"/>
      <c r="G12" s="21"/>
      <c r="H12" s="21"/>
      <c r="I12" s="21"/>
      <c r="J12" s="22"/>
    </row>
    <row r="13" spans="2:16" ht="15.6">
      <c r="B13" s="23"/>
      <c r="C13" s="24" t="s">
        <v>9</v>
      </c>
      <c r="D13" s="25"/>
      <c r="E13" s="25"/>
      <c r="F13" s="26">
        <v>2018</v>
      </c>
      <c r="G13" s="26">
        <v>2030</v>
      </c>
      <c r="H13" s="26">
        <v>2040</v>
      </c>
      <c r="I13" s="26">
        <v>2050</v>
      </c>
      <c r="J13" s="27"/>
    </row>
    <row r="14" spans="2:16">
      <c r="B14" s="23"/>
      <c r="C14" s="25"/>
      <c r="D14" s="28" t="s">
        <v>10</v>
      </c>
      <c r="E14" s="28"/>
      <c r="F14" s="30">
        <v>16815</v>
      </c>
      <c r="G14" s="64"/>
      <c r="H14" s="64"/>
      <c r="I14" s="64"/>
      <c r="J14" s="27"/>
    </row>
    <row r="15" spans="2:16">
      <c r="B15" s="23"/>
      <c r="C15" s="25"/>
      <c r="D15" s="28" t="s">
        <v>11</v>
      </c>
      <c r="E15" s="28"/>
      <c r="F15" s="31">
        <v>15008.8988991352</v>
      </c>
      <c r="G15" s="31">
        <f>G22+G25</f>
        <v>14999.57757976191</v>
      </c>
      <c r="H15" s="31">
        <f>H22+H25</f>
        <v>12778.640440476194</v>
      </c>
      <c r="I15" s="31">
        <f>I22+I25</f>
        <v>9624.060936904767</v>
      </c>
      <c r="J15" s="27"/>
    </row>
    <row r="16" spans="2:16">
      <c r="B16" s="23"/>
      <c r="C16" s="25"/>
      <c r="D16" s="25"/>
      <c r="E16" s="25"/>
      <c r="F16" s="25"/>
      <c r="G16" s="25"/>
      <c r="H16" s="25"/>
      <c r="I16" s="25"/>
      <c r="J16" s="27"/>
    </row>
    <row r="17" spans="2:15">
      <c r="B17" s="23"/>
      <c r="C17" s="25"/>
      <c r="D17" s="4" t="s">
        <v>15</v>
      </c>
      <c r="E17" s="4"/>
      <c r="F17" s="28">
        <v>335</v>
      </c>
      <c r="G17" s="67">
        <f>318.1</f>
        <v>318.10000000000002</v>
      </c>
      <c r="H17" s="67">
        <v>271</v>
      </c>
      <c r="I17" s="67">
        <v>204.1</v>
      </c>
      <c r="J17" s="27"/>
    </row>
    <row r="18" spans="2:15">
      <c r="B18" s="23"/>
      <c r="C18" s="25"/>
      <c r="D18" s="4" t="s">
        <v>19</v>
      </c>
      <c r="E18" s="4"/>
      <c r="F18" s="82">
        <v>0.87441040926125002</v>
      </c>
      <c r="G18" s="83">
        <v>0.87</v>
      </c>
      <c r="H18" s="83">
        <v>0.87</v>
      </c>
      <c r="I18" s="83">
        <v>0.87</v>
      </c>
      <c r="J18" s="27"/>
    </row>
    <row r="19" spans="2:15">
      <c r="B19" s="23"/>
      <c r="C19" s="25"/>
      <c r="D19" s="4" t="s">
        <v>23</v>
      </c>
      <c r="E19" s="4"/>
      <c r="F19" s="82">
        <v>0.41299999999999998</v>
      </c>
      <c r="G19" s="83">
        <v>0.39</v>
      </c>
      <c r="H19" s="83">
        <v>0.39</v>
      </c>
      <c r="I19" s="83">
        <v>0.39</v>
      </c>
      <c r="J19" s="27"/>
    </row>
    <row r="20" spans="2:15">
      <c r="B20" s="23"/>
      <c r="C20" s="25"/>
      <c r="D20" s="2" t="s">
        <v>27</v>
      </c>
      <c r="E20" s="28" t="s">
        <v>28</v>
      </c>
      <c r="F20" s="36">
        <v>113.417953012181</v>
      </c>
      <c r="G20" s="70">
        <v>122.5</v>
      </c>
      <c r="H20" s="70">
        <v>122.5</v>
      </c>
      <c r="I20" s="70">
        <v>122.5</v>
      </c>
      <c r="J20" s="27"/>
    </row>
    <row r="21" spans="2:15">
      <c r="B21" s="23"/>
      <c r="C21" s="25"/>
      <c r="D21" s="2"/>
      <c r="E21" s="28" t="s">
        <v>32</v>
      </c>
      <c r="F21" s="38">
        <v>7.7777777777777803</v>
      </c>
      <c r="G21" s="74">
        <f>F21</f>
        <v>7.7777777777777803</v>
      </c>
      <c r="H21" s="74">
        <f>G21</f>
        <v>7.7777777777777803</v>
      </c>
      <c r="I21" s="74">
        <f>H21</f>
        <v>7.7777777777777803</v>
      </c>
      <c r="J21" s="27"/>
    </row>
    <row r="22" spans="2:15">
      <c r="B22" s="23"/>
      <c r="C22" s="25"/>
      <c r="D22" s="2"/>
      <c r="E22" s="28" t="s">
        <v>35</v>
      </c>
      <c r="F22" s="29">
        <v>10672.0416871088</v>
      </c>
      <c r="G22" s="29">
        <f>G17*1000*G18*G19*G20*G21/10000</f>
        <v>10283.457275000004</v>
      </c>
      <c r="H22" s="29">
        <f>H17*1000*H18*H19*H20*H21/10000</f>
        <v>8760.8202500000025</v>
      </c>
      <c r="I22" s="29">
        <f>I17*1000*I18*I19*I20*I21/10000</f>
        <v>6598.093775000003</v>
      </c>
      <c r="J22" s="27"/>
    </row>
    <row r="23" spans="2:15">
      <c r="B23" s="23"/>
      <c r="C23" s="25"/>
      <c r="D23" s="2" t="s">
        <v>36</v>
      </c>
      <c r="E23" s="28" t="s">
        <v>28</v>
      </c>
      <c r="F23" s="36">
        <v>63.559055822799003</v>
      </c>
      <c r="G23" s="67">
        <v>70.400000000000006</v>
      </c>
      <c r="H23" s="67">
        <v>70.400000000000006</v>
      </c>
      <c r="I23" s="67">
        <v>70.400000000000006</v>
      </c>
      <c r="J23" s="27"/>
    </row>
    <row r="24" spans="2:15">
      <c r="B24" s="23"/>
      <c r="C24" s="25"/>
      <c r="D24" s="2"/>
      <c r="E24" s="28" t="s">
        <v>32</v>
      </c>
      <c r="F24" s="38">
        <v>3.9682539682539701</v>
      </c>
      <c r="G24" s="74">
        <f>F24</f>
        <v>3.9682539682539701</v>
      </c>
      <c r="H24" s="74">
        <f>G24</f>
        <v>3.9682539682539701</v>
      </c>
      <c r="I24" s="74">
        <f>H24</f>
        <v>3.9682539682539701</v>
      </c>
      <c r="J24" s="27"/>
    </row>
    <row r="25" spans="2:15">
      <c r="B25" s="23"/>
      <c r="C25" s="25"/>
      <c r="D25" s="2"/>
      <c r="E25" s="28" t="s">
        <v>35</v>
      </c>
      <c r="F25" s="29">
        <v>4336.8572120264198</v>
      </c>
      <c r="G25" s="29">
        <f>G17*1000*G18*(1-G19)*G23*G24/10000</f>
        <v>4716.1203047619065</v>
      </c>
      <c r="H25" s="29">
        <f>H17*1000*H18*(1-H19)*H23*H24/10000</f>
        <v>4017.8201904761918</v>
      </c>
      <c r="I25" s="29">
        <f>I17*1000*I18*(1-I19)*I23*I24/10000</f>
        <v>3025.9671619047635</v>
      </c>
      <c r="J25" s="27"/>
    </row>
    <row r="26" spans="2:15">
      <c r="B26" s="42"/>
      <c r="C26" s="43"/>
      <c r="D26" s="44"/>
      <c r="E26" s="43"/>
      <c r="F26" s="45"/>
      <c r="G26" s="45"/>
      <c r="H26" s="45"/>
      <c r="I26" s="45"/>
      <c r="J26" s="46"/>
    </row>
    <row r="27" spans="2:15">
      <c r="B27" s="8"/>
      <c r="C27" s="8"/>
      <c r="D27" s="47"/>
      <c r="E27" s="8"/>
      <c r="F27" s="48"/>
      <c r="G27" s="48"/>
      <c r="H27" s="48"/>
      <c r="I27" s="48"/>
      <c r="J27" s="8"/>
    </row>
    <row r="28" spans="2:15">
      <c r="B28" s="20"/>
      <c r="C28" s="21"/>
      <c r="D28" s="21"/>
      <c r="E28" s="21"/>
      <c r="F28" s="21"/>
      <c r="G28" s="21"/>
      <c r="H28" s="21"/>
      <c r="I28" s="21"/>
      <c r="J28" s="22"/>
    </row>
    <row r="29" spans="2:15" ht="15.6">
      <c r="B29" s="23"/>
      <c r="C29" s="24" t="s">
        <v>40</v>
      </c>
      <c r="D29" s="25"/>
      <c r="E29" s="25"/>
      <c r="F29" s="26">
        <v>2018</v>
      </c>
      <c r="G29" s="26">
        <v>2030</v>
      </c>
      <c r="H29" s="26">
        <v>2040</v>
      </c>
      <c r="I29" s="26">
        <v>2050</v>
      </c>
      <c r="J29" s="27"/>
    </row>
    <row r="30" spans="2:15">
      <c r="B30" s="23"/>
      <c r="C30" s="25"/>
      <c r="D30" s="28" t="s">
        <v>41</v>
      </c>
      <c r="E30" s="28"/>
      <c r="F30" s="28">
        <v>5673</v>
      </c>
      <c r="G30" s="64"/>
      <c r="H30" s="64"/>
      <c r="I30" s="64"/>
      <c r="J30" s="27"/>
      <c r="L30" s="37"/>
      <c r="M30" s="37"/>
      <c r="N30" s="37"/>
      <c r="O30" s="37"/>
    </row>
    <row r="31" spans="2:15">
      <c r="B31" s="23"/>
      <c r="C31" s="25"/>
      <c r="D31" s="28" t="s">
        <v>42</v>
      </c>
      <c r="E31" s="28"/>
      <c r="F31" s="29">
        <v>5438.4782608695696</v>
      </c>
      <c r="G31" s="29">
        <f>G34*1000000*G35/10000</f>
        <v>3808.9929394277201</v>
      </c>
      <c r="H31" s="29">
        <f>H34*1000000*H35/10000</f>
        <v>3390.9327387588246</v>
      </c>
      <c r="I31" s="29">
        <f>I34*1000000*I35/10000</f>
        <v>3623.1884057971001</v>
      </c>
      <c r="J31" s="27"/>
      <c r="L31" s="49"/>
      <c r="M31" s="49"/>
      <c r="N31" s="49"/>
      <c r="O31" s="49"/>
    </row>
    <row r="32" spans="2:15" hidden="1">
      <c r="B32" s="23"/>
      <c r="C32" s="25"/>
      <c r="D32" s="50" t="s">
        <v>43</v>
      </c>
      <c r="E32" s="50"/>
      <c r="F32" s="51">
        <v>11964.652173913</v>
      </c>
      <c r="G32" s="51">
        <f>G31*2.2</f>
        <v>8379.7844667409845</v>
      </c>
      <c r="H32" s="51"/>
      <c r="I32" s="51"/>
      <c r="J32" s="27"/>
    </row>
    <row r="33" spans="2:21">
      <c r="B33" s="23"/>
      <c r="C33" s="25"/>
      <c r="D33" s="25"/>
      <c r="E33" s="25"/>
      <c r="F33" s="25"/>
      <c r="G33" s="25"/>
      <c r="H33" s="25"/>
      <c r="I33" s="25"/>
      <c r="J33" s="27"/>
    </row>
    <row r="34" spans="2:21">
      <c r="B34" s="23"/>
      <c r="C34" s="25"/>
      <c r="D34" s="4" t="s">
        <v>56</v>
      </c>
      <c r="E34" s="4"/>
      <c r="F34" s="55">
        <v>25.016999999999999</v>
      </c>
      <c r="G34" s="74">
        <f>Historique_!V38</f>
        <v>17.52136752136752</v>
      </c>
      <c r="H34" s="74">
        <f>Historique_!V39</f>
        <v>15.5982905982906</v>
      </c>
      <c r="I34" s="74">
        <f>Historique_!V40</f>
        <v>16.666666666666668</v>
      </c>
      <c r="J34" s="27"/>
    </row>
    <row r="35" spans="2:21">
      <c r="B35" s="23"/>
      <c r="C35" s="25"/>
      <c r="D35" s="4" t="s">
        <v>58</v>
      </c>
      <c r="E35" s="4"/>
      <c r="F35" s="55">
        <v>2.1739130434782599</v>
      </c>
      <c r="G35" s="84">
        <f>F35</f>
        <v>2.1739130434782599</v>
      </c>
      <c r="H35" s="84">
        <f>G35</f>
        <v>2.1739130434782599</v>
      </c>
      <c r="I35" s="84">
        <f>H35</f>
        <v>2.1739130434782599</v>
      </c>
      <c r="J35" s="27"/>
    </row>
    <row r="36" spans="2:21">
      <c r="B36" s="42"/>
      <c r="C36" s="43"/>
      <c r="D36" s="43"/>
      <c r="E36" s="43"/>
      <c r="F36" s="56"/>
      <c r="G36" s="56"/>
      <c r="H36" s="56"/>
      <c r="I36" s="56"/>
      <c r="J36" s="46"/>
    </row>
    <row r="38" spans="2:21">
      <c r="B38" s="20"/>
      <c r="C38" s="21"/>
      <c r="D38" s="21"/>
      <c r="E38" s="21"/>
      <c r="F38" s="21"/>
      <c r="G38" s="21"/>
      <c r="H38" s="21"/>
      <c r="I38" s="21"/>
      <c r="J38" s="22"/>
    </row>
    <row r="39" spans="2:21" ht="15.75" customHeight="1">
      <c r="B39" s="23"/>
      <c r="C39" s="1" t="s">
        <v>59</v>
      </c>
      <c r="D39" s="1"/>
      <c r="E39" s="1"/>
      <c r="F39" s="26">
        <v>2018</v>
      </c>
      <c r="G39" s="26">
        <v>2030</v>
      </c>
      <c r="H39" s="85">
        <v>2040</v>
      </c>
      <c r="I39" s="85">
        <v>2050</v>
      </c>
      <c r="J39" s="27"/>
    </row>
    <row r="40" spans="2:21">
      <c r="B40" s="23"/>
      <c r="C40" s="1"/>
      <c r="D40" s="1"/>
      <c r="E40" s="1"/>
      <c r="F40" s="28">
        <v>1418</v>
      </c>
      <c r="G40" s="75">
        <f>G42*(G31+G15)</f>
        <v>1128.5142311513778</v>
      </c>
      <c r="H40" s="75">
        <f>H42*(H31+H15)</f>
        <v>970.17439075410118</v>
      </c>
      <c r="I40" s="75">
        <f>I42*(I31+I15)</f>
        <v>794.83496056211197</v>
      </c>
      <c r="J40" s="27"/>
    </row>
    <row r="41" spans="2:21">
      <c r="B41" s="23"/>
      <c r="C41" s="25"/>
      <c r="D41" s="25"/>
      <c r="E41" s="25"/>
      <c r="F41" s="25"/>
      <c r="G41" s="25"/>
      <c r="H41" s="25"/>
      <c r="I41" s="25"/>
      <c r="J41" s="27"/>
    </row>
    <row r="42" spans="2:21">
      <c r="B42" s="23"/>
      <c r="C42" s="25"/>
      <c r="D42" s="25" t="s">
        <v>87</v>
      </c>
      <c r="E42" s="25"/>
      <c r="F42" s="61">
        <v>6.3055852009960903E-2</v>
      </c>
      <c r="G42" s="76">
        <v>0.06</v>
      </c>
      <c r="H42" s="76">
        <v>0.06</v>
      </c>
      <c r="I42" s="76">
        <v>0.06</v>
      </c>
      <c r="J42" s="27"/>
      <c r="L42" t="s">
        <v>61</v>
      </c>
    </row>
    <row r="43" spans="2:21">
      <c r="B43" s="42"/>
      <c r="C43" s="43"/>
      <c r="D43" s="43"/>
      <c r="E43" s="43"/>
      <c r="F43" s="43"/>
      <c r="G43" s="43"/>
      <c r="H43" s="43"/>
      <c r="I43" s="43"/>
      <c r="J43" s="46"/>
    </row>
    <row r="44" spans="2:21">
      <c r="F44">
        <v>6.3055852009960903E-2</v>
      </c>
    </row>
    <row r="46" spans="2:21">
      <c r="L46" t="s">
        <v>62</v>
      </c>
    </row>
    <row r="47" spans="2:21">
      <c r="M47">
        <v>2010</v>
      </c>
      <c r="N47">
        <f t="shared" ref="N47:U47" si="0">M47+1</f>
        <v>2011</v>
      </c>
      <c r="O47">
        <f t="shared" si="0"/>
        <v>2012</v>
      </c>
      <c r="P47">
        <f t="shared" si="0"/>
        <v>2013</v>
      </c>
      <c r="Q47">
        <f t="shared" si="0"/>
        <v>2014</v>
      </c>
      <c r="R47">
        <f t="shared" si="0"/>
        <v>2015</v>
      </c>
      <c r="S47">
        <f t="shared" si="0"/>
        <v>2016</v>
      </c>
      <c r="T47">
        <f t="shared" si="0"/>
        <v>2017</v>
      </c>
      <c r="U47">
        <f t="shared" si="0"/>
        <v>2018</v>
      </c>
    </row>
    <row r="48" spans="2:21">
      <c r="L48" t="s">
        <v>88</v>
      </c>
      <c r="M48">
        <v>0.32</v>
      </c>
      <c r="N48">
        <v>0.29499999999999998</v>
      </c>
      <c r="O48">
        <v>0.315</v>
      </c>
      <c r="P48">
        <v>0.375</v>
      </c>
      <c r="Q48">
        <v>0.39500000000000002</v>
      </c>
      <c r="R48">
        <v>0.38</v>
      </c>
      <c r="S48">
        <v>0.42</v>
      </c>
      <c r="T48">
        <v>0.4</v>
      </c>
      <c r="U48">
        <v>0.46</v>
      </c>
    </row>
    <row r="49" spans="12:21">
      <c r="L49" t="s">
        <v>89</v>
      </c>
      <c r="M49">
        <v>0.14000000000000001</v>
      </c>
      <c r="N49">
        <v>0.15</v>
      </c>
      <c r="O49">
        <v>0.15</v>
      </c>
      <c r="P49">
        <v>0.14499999999999999</v>
      </c>
      <c r="Q49">
        <v>0.14199999999999999</v>
      </c>
      <c r="R49">
        <v>0.14000000000000001</v>
      </c>
      <c r="S49">
        <v>0.16</v>
      </c>
      <c r="T49">
        <v>0.16</v>
      </c>
      <c r="U49">
        <v>0.18</v>
      </c>
    </row>
  </sheetData>
  <mergeCells count="8">
    <mergeCell ref="D34:E34"/>
    <mergeCell ref="D35:E35"/>
    <mergeCell ref="C39:E40"/>
    <mergeCell ref="D17:E17"/>
    <mergeCell ref="D18:E18"/>
    <mergeCell ref="D19:E19"/>
    <mergeCell ref="D20:D22"/>
    <mergeCell ref="D23:D25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BFBF"/>
  </sheetPr>
  <dimension ref="B2:U49"/>
  <sheetViews>
    <sheetView topLeftCell="A31" zoomScale="88" zoomScaleNormal="88" workbookViewId="0">
      <selection activeCell="G34" sqref="G34"/>
    </sheetView>
  </sheetViews>
  <sheetFormatPr baseColWidth="10" defaultColWidth="8.88671875" defaultRowHeight="14.4"/>
  <cols>
    <col min="1" max="1" width="11" customWidth="1"/>
    <col min="2" max="2" width="2.88671875" customWidth="1"/>
    <col min="3" max="3" width="11" customWidth="1"/>
    <col min="4" max="4" width="5.21875" customWidth="1"/>
    <col min="5" max="5" width="30.33203125" customWidth="1"/>
    <col min="6" max="9" width="11" customWidth="1"/>
    <col min="10" max="10" width="2.88671875" customWidth="1"/>
    <col min="11" max="11" width="9.44140625" customWidth="1"/>
    <col min="12" max="1025" width="11" customWidth="1"/>
  </cols>
  <sheetData>
    <row r="2" spans="2:16">
      <c r="C2" t="s">
        <v>90</v>
      </c>
    </row>
    <row r="5" spans="2:16">
      <c r="D5" s="5"/>
      <c r="E5" s="6"/>
      <c r="F5" s="6"/>
      <c r="G5" s="6"/>
      <c r="H5" s="6"/>
      <c r="I5" s="6"/>
      <c r="J5" s="7"/>
    </row>
    <row r="6" spans="2:16">
      <c r="D6" s="9"/>
      <c r="E6" s="10"/>
      <c r="F6" s="11">
        <v>2018</v>
      </c>
      <c r="G6" s="11">
        <v>2030</v>
      </c>
      <c r="H6" s="11">
        <v>2040</v>
      </c>
      <c r="I6" s="11">
        <v>2050</v>
      </c>
      <c r="J6" s="12"/>
      <c r="L6" t="s">
        <v>81</v>
      </c>
      <c r="M6" s="81">
        <v>2015</v>
      </c>
      <c r="N6" s="81">
        <v>2030</v>
      </c>
      <c r="O6">
        <v>2040</v>
      </c>
      <c r="P6">
        <v>2050</v>
      </c>
    </row>
    <row r="7" spans="2:16">
      <c r="C7" t="s">
        <v>91</v>
      </c>
      <c r="D7" s="9"/>
      <c r="E7" s="13" t="s">
        <v>4</v>
      </c>
      <c r="F7" s="14">
        <v>23295</v>
      </c>
      <c r="G7" s="64">
        <f>N9</f>
        <v>20224.119718309859</v>
      </c>
      <c r="H7" s="64">
        <f>O9</f>
        <v>6512.8521126760561</v>
      </c>
      <c r="I7" s="64">
        <f>P9</f>
        <v>0</v>
      </c>
      <c r="J7" s="12"/>
      <c r="L7" t="s">
        <v>83</v>
      </c>
      <c r="M7" s="48">
        <v>49700</v>
      </c>
      <c r="N7" s="48">
        <v>36875</v>
      </c>
      <c r="O7">
        <v>11875</v>
      </c>
      <c r="P7" s="8">
        <v>0</v>
      </c>
    </row>
    <row r="8" spans="2:16">
      <c r="D8" s="9"/>
      <c r="E8" s="13" t="s">
        <v>7</v>
      </c>
      <c r="F8" s="14">
        <v>21865.377160004798</v>
      </c>
      <c r="G8" s="65">
        <f>G15+G31+G40-G47</f>
        <v>18925.919516266611</v>
      </c>
      <c r="H8" s="65">
        <f>H15+H31+H40-H47</f>
        <v>6879.8631978071789</v>
      </c>
      <c r="I8" s="65">
        <f>I15+I31+I40-I47</f>
        <v>176.16066239316297</v>
      </c>
      <c r="J8" s="12"/>
      <c r="M8" s="48"/>
      <c r="N8" s="48"/>
    </row>
    <row r="9" spans="2:16">
      <c r="D9" s="9"/>
      <c r="E9" s="15" t="s">
        <v>84</v>
      </c>
      <c r="F9" s="16">
        <v>33727.074112178801</v>
      </c>
      <c r="G9" s="16">
        <f>G8*'comparaison Agreste'!$N11</f>
        <v>16951.893125272265</v>
      </c>
      <c r="H9" s="16">
        <f>H8*'comparaison Agreste'!$N11</f>
        <v>6162.2742052496769</v>
      </c>
      <c r="I9" s="16">
        <f>I8*'comparaison Agreste'!$N11</f>
        <v>157.78661212203795</v>
      </c>
      <c r="J9" s="12"/>
      <c r="L9" t="s">
        <v>85</v>
      </c>
      <c r="M9" s="48">
        <v>27258</v>
      </c>
      <c r="N9" s="48">
        <f>$M9*N7/$M7</f>
        <v>20224.119718309859</v>
      </c>
      <c r="O9" s="48">
        <f>$M9*O7/$M7</f>
        <v>6512.8521126760561</v>
      </c>
      <c r="P9" s="48">
        <f>$M9*P7/$M7</f>
        <v>0</v>
      </c>
    </row>
    <row r="10" spans="2:16">
      <c r="D10" s="17"/>
      <c r="E10" s="18"/>
      <c r="F10" s="18"/>
      <c r="G10" s="18"/>
      <c r="H10" s="18"/>
      <c r="I10" s="18"/>
      <c r="J10" s="19"/>
      <c r="L10" t="s">
        <v>86</v>
      </c>
      <c r="M10" s="48" t="e">
        <f>#REF!</f>
        <v>#REF!</v>
      </c>
      <c r="N10" s="48" t="e">
        <f>$M10*N7/$M7</f>
        <v>#REF!</v>
      </c>
      <c r="O10" s="48" t="e">
        <f>$M10*O7/$M7</f>
        <v>#REF!</v>
      </c>
      <c r="P10" s="48" t="e">
        <f>$M10*P7/$M7</f>
        <v>#REF!</v>
      </c>
    </row>
    <row r="12" spans="2:16">
      <c r="B12" s="20"/>
      <c r="C12" s="21"/>
      <c r="D12" s="21"/>
      <c r="E12" s="21"/>
      <c r="F12" s="21"/>
      <c r="G12" s="21"/>
      <c r="H12" s="21"/>
      <c r="I12" s="21"/>
      <c r="J12" s="22"/>
    </row>
    <row r="13" spans="2:16" ht="15.6">
      <c r="B13" s="23"/>
      <c r="C13" s="24" t="s">
        <v>9</v>
      </c>
      <c r="D13" s="25"/>
      <c r="E13" s="25"/>
      <c r="F13" s="26">
        <v>2018</v>
      </c>
      <c r="G13" s="26">
        <v>2030</v>
      </c>
      <c r="H13" s="26">
        <v>2040</v>
      </c>
      <c r="I13" s="26">
        <v>2050</v>
      </c>
      <c r="J13" s="27"/>
    </row>
    <row r="14" spans="2:16">
      <c r="B14" s="23"/>
      <c r="C14" s="25"/>
      <c r="D14" s="28" t="s">
        <v>10</v>
      </c>
      <c r="E14" s="28"/>
      <c r="F14" s="30">
        <v>16815</v>
      </c>
      <c r="G14" s="64"/>
      <c r="H14" s="64"/>
      <c r="I14" s="64"/>
      <c r="J14" s="27"/>
    </row>
    <row r="15" spans="2:16">
      <c r="B15" s="23"/>
      <c r="C15" s="25"/>
      <c r="D15" s="28" t="s">
        <v>11</v>
      </c>
      <c r="E15" s="28"/>
      <c r="F15" s="31">
        <v>15008.8988991352</v>
      </c>
      <c r="G15" s="31">
        <f>G22+G25</f>
        <v>14440.482747619055</v>
      </c>
      <c r="H15" s="31">
        <f>H22+H25</f>
        <v>5363.2291439999999</v>
      </c>
      <c r="I15" s="31">
        <f>I22+I25</f>
        <v>863.76750000000015</v>
      </c>
      <c r="J15" s="27"/>
    </row>
    <row r="16" spans="2:16">
      <c r="B16" s="23"/>
      <c r="C16" s="25"/>
      <c r="D16" s="25"/>
      <c r="E16" s="25"/>
      <c r="F16" s="25"/>
      <c r="G16" s="25"/>
      <c r="H16" s="25"/>
      <c r="I16" s="25"/>
      <c r="J16" s="27"/>
    </row>
    <row r="17" spans="2:15">
      <c r="B17" s="23"/>
      <c r="C17" s="25"/>
      <c r="D17" s="4" t="s">
        <v>15</v>
      </c>
      <c r="E17" s="4"/>
      <c r="F17" s="28">
        <v>335</v>
      </c>
      <c r="G17" s="67">
        <f>318.1</f>
        <v>318.10000000000002</v>
      </c>
      <c r="H17" s="67">
        <v>290</v>
      </c>
      <c r="I17" s="67">
        <v>205</v>
      </c>
      <c r="J17" s="27"/>
    </row>
    <row r="18" spans="2:15">
      <c r="B18" s="23"/>
      <c r="C18" s="25"/>
      <c r="D18" s="4" t="s">
        <v>19</v>
      </c>
      <c r="E18" s="4"/>
      <c r="F18" s="82">
        <v>0.87441040926125002</v>
      </c>
      <c r="G18" s="86">
        <v>0.87</v>
      </c>
      <c r="H18" s="86">
        <v>0.6</v>
      </c>
      <c r="I18" s="86">
        <v>0.3</v>
      </c>
      <c r="J18" s="27"/>
    </row>
    <row r="19" spans="2:15">
      <c r="B19" s="23"/>
      <c r="C19" s="25"/>
      <c r="D19" s="4" t="s">
        <v>23</v>
      </c>
      <c r="E19" s="4"/>
      <c r="F19" s="82">
        <v>0.41299999999999998</v>
      </c>
      <c r="G19" s="83">
        <v>0.36</v>
      </c>
      <c r="H19" s="83">
        <v>0.314</v>
      </c>
      <c r="I19" s="83">
        <v>0.25</v>
      </c>
      <c r="J19" s="27"/>
    </row>
    <row r="20" spans="2:15">
      <c r="B20" s="23"/>
      <c r="C20" s="25"/>
      <c r="D20" s="2" t="s">
        <v>27</v>
      </c>
      <c r="E20" s="28" t="s">
        <v>28</v>
      </c>
      <c r="F20" s="36">
        <v>113.417953012181</v>
      </c>
      <c r="G20" s="70">
        <v>122.5</v>
      </c>
      <c r="H20" s="70">
        <v>122.5</v>
      </c>
      <c r="I20" s="70">
        <v>122.5</v>
      </c>
      <c r="J20" s="27"/>
    </row>
    <row r="21" spans="2:15">
      <c r="B21" s="23"/>
      <c r="C21" s="25"/>
      <c r="D21" s="2"/>
      <c r="E21" s="28" t="s">
        <v>32</v>
      </c>
      <c r="F21" s="38">
        <v>7.7777777777777803</v>
      </c>
      <c r="G21" s="87">
        <f>F21</f>
        <v>7.7777777777777803</v>
      </c>
      <c r="H21" s="87">
        <f>5</f>
        <v>5</v>
      </c>
      <c r="I21" s="87">
        <v>2</v>
      </c>
      <c r="J21" s="27"/>
    </row>
    <row r="22" spans="2:15">
      <c r="B22" s="23"/>
      <c r="C22" s="25"/>
      <c r="D22" s="2"/>
      <c r="E22" s="28" t="s">
        <v>35</v>
      </c>
      <c r="F22" s="29">
        <v>10672.0416871088</v>
      </c>
      <c r="G22" s="29">
        <f>G17*1000*G18*G19*G20*G21/10000</f>
        <v>9492.4221000000034</v>
      </c>
      <c r="H22" s="29">
        <f>H17*1000*H18*H19*H20*H21/10000</f>
        <v>3346.4549999999999</v>
      </c>
      <c r="I22" s="29">
        <f>I17*1000*I18*I19*I20*I21/10000</f>
        <v>376.6875</v>
      </c>
      <c r="J22" s="27"/>
    </row>
    <row r="23" spans="2:15">
      <c r="B23" s="23"/>
      <c r="C23" s="25"/>
      <c r="D23" s="2" t="s">
        <v>36</v>
      </c>
      <c r="E23" s="28" t="s">
        <v>28</v>
      </c>
      <c r="F23" s="36">
        <v>63.559055822799003</v>
      </c>
      <c r="G23" s="67">
        <v>70.400000000000006</v>
      </c>
      <c r="H23" s="67">
        <v>70.400000000000006</v>
      </c>
      <c r="I23" s="67">
        <v>70.400000000000006</v>
      </c>
      <c r="J23" s="27"/>
    </row>
    <row r="24" spans="2:15">
      <c r="B24" s="23"/>
      <c r="C24" s="25"/>
      <c r="D24" s="2"/>
      <c r="E24" s="28" t="s">
        <v>32</v>
      </c>
      <c r="F24" s="38">
        <v>3.9682539682539701</v>
      </c>
      <c r="G24" s="87">
        <f>F24</f>
        <v>3.9682539682539701</v>
      </c>
      <c r="H24" s="87">
        <f>2.4</f>
        <v>2.4</v>
      </c>
      <c r="I24" s="87">
        <v>1.5</v>
      </c>
      <c r="J24" s="27"/>
    </row>
    <row r="25" spans="2:15">
      <c r="B25" s="23"/>
      <c r="C25" s="25"/>
      <c r="D25" s="2"/>
      <c r="E25" s="28" t="s">
        <v>35</v>
      </c>
      <c r="F25" s="29">
        <v>4336.8572120264198</v>
      </c>
      <c r="G25" s="29">
        <f>G17*1000*G18*(1-G19)*G23*G24/10000</f>
        <v>4948.0606476190505</v>
      </c>
      <c r="H25" s="29">
        <f>H17*1000*H18*(1-H19)*H23*H24/10000</f>
        <v>2016.7741439999998</v>
      </c>
      <c r="I25" s="29">
        <f>I17*1000*I18*(1-I19)*I23*I24/10000</f>
        <v>487.0800000000001</v>
      </c>
      <c r="J25" s="27"/>
    </row>
    <row r="26" spans="2:15">
      <c r="B26" s="42"/>
      <c r="C26" s="43"/>
      <c r="D26" s="44"/>
      <c r="E26" s="43"/>
      <c r="F26" s="45"/>
      <c r="G26" s="45"/>
      <c r="H26" s="45"/>
      <c r="I26" s="45"/>
      <c r="J26" s="46"/>
    </row>
    <row r="27" spans="2:15">
      <c r="B27" s="8"/>
      <c r="C27" s="8"/>
      <c r="D27" s="47"/>
      <c r="E27" s="8"/>
      <c r="F27" s="48"/>
      <c r="G27" s="48"/>
      <c r="H27" s="48"/>
      <c r="I27" s="48"/>
      <c r="J27" s="8"/>
    </row>
    <row r="28" spans="2:15">
      <c r="B28" s="20"/>
      <c r="C28" s="21"/>
      <c r="D28" s="21"/>
      <c r="E28" s="21"/>
      <c r="F28" s="21"/>
      <c r="G28" s="21"/>
      <c r="H28" s="21"/>
      <c r="I28" s="21"/>
      <c r="J28" s="22"/>
    </row>
    <row r="29" spans="2:15" ht="15.6">
      <c r="B29" s="23"/>
      <c r="C29" s="24" t="s">
        <v>40</v>
      </c>
      <c r="D29" s="25"/>
      <c r="E29" s="25"/>
      <c r="F29" s="26">
        <v>2018</v>
      </c>
      <c r="G29" s="26">
        <v>2030</v>
      </c>
      <c r="H29" s="26">
        <v>2040</v>
      </c>
      <c r="I29" s="26">
        <v>2050</v>
      </c>
      <c r="J29" s="27"/>
    </row>
    <row r="30" spans="2:15">
      <c r="B30" s="23"/>
      <c r="C30" s="25"/>
      <c r="D30" s="28" t="s">
        <v>41</v>
      </c>
      <c r="E30" s="28"/>
      <c r="F30" s="28">
        <v>5673</v>
      </c>
      <c r="G30" s="64"/>
      <c r="H30" s="64"/>
      <c r="I30" s="64"/>
      <c r="J30" s="27"/>
      <c r="L30" s="37"/>
      <c r="M30" s="37"/>
      <c r="N30" s="37"/>
      <c r="O30" s="37"/>
    </row>
    <row r="31" spans="2:15">
      <c r="B31" s="23"/>
      <c r="C31" s="25"/>
      <c r="D31" s="28" t="s">
        <v>42</v>
      </c>
      <c r="E31" s="28"/>
      <c r="F31" s="29">
        <v>5438.4782608695696</v>
      </c>
      <c r="G31" s="29">
        <f>G34*1000000*G35/10000</f>
        <v>3414.1583054626517</v>
      </c>
      <c r="H31" s="29">
        <f>H34*1000000*H35/10000</f>
        <v>2092.9487179487178</v>
      </c>
      <c r="I31" s="29">
        <f>I34*1000000*I35/10000</f>
        <v>1612.3931623931628</v>
      </c>
      <c r="J31" s="27"/>
      <c r="L31" s="49"/>
      <c r="M31" s="49"/>
      <c r="N31" s="49"/>
      <c r="O31" s="49"/>
    </row>
    <row r="32" spans="2:15" hidden="1">
      <c r="B32" s="23"/>
      <c r="C32" s="25"/>
      <c r="D32" s="50" t="s">
        <v>43</v>
      </c>
      <c r="E32" s="50"/>
      <c r="F32" s="51">
        <v>11964.652173913</v>
      </c>
      <c r="G32" s="51">
        <f>G31*2.2</f>
        <v>7511.1482720178346</v>
      </c>
      <c r="H32" s="51"/>
      <c r="I32" s="51"/>
      <c r="J32" s="27"/>
    </row>
    <row r="33" spans="2:21">
      <c r="B33" s="23"/>
      <c r="C33" s="25"/>
      <c r="D33" s="25"/>
      <c r="E33" s="25"/>
      <c r="F33" s="25"/>
      <c r="G33" s="25"/>
      <c r="H33" s="25"/>
      <c r="I33" s="25"/>
      <c r="J33" s="27"/>
    </row>
    <row r="34" spans="2:21">
      <c r="B34" s="23"/>
      <c r="C34" s="25"/>
      <c r="D34" s="4" t="s">
        <v>56</v>
      </c>
      <c r="E34" s="4"/>
      <c r="F34" s="55">
        <v>25.016999999999999</v>
      </c>
      <c r="G34" s="74">
        <f>Historique_!Z38</f>
        <v>15.705128205128206</v>
      </c>
      <c r="H34" s="74">
        <f>Historique_!Z39</f>
        <v>13.952991452991453</v>
      </c>
      <c r="I34" s="74">
        <f>Historique_!Z40</f>
        <v>14.658119658119659</v>
      </c>
      <c r="J34" s="27"/>
    </row>
    <row r="35" spans="2:21">
      <c r="B35" s="23"/>
      <c r="C35" s="25"/>
      <c r="D35" s="4" t="s">
        <v>58</v>
      </c>
      <c r="E35" s="4"/>
      <c r="F35" s="55">
        <v>2.1739130434782599</v>
      </c>
      <c r="G35" s="88">
        <f>F35</f>
        <v>2.1739130434782599</v>
      </c>
      <c r="H35" s="88">
        <v>1.5</v>
      </c>
      <c r="I35" s="88">
        <v>1.1000000000000001</v>
      </c>
      <c r="J35" s="27"/>
    </row>
    <row r="36" spans="2:21">
      <c r="B36" s="42"/>
      <c r="C36" s="43"/>
      <c r="D36" s="43"/>
      <c r="E36" s="43"/>
      <c r="F36" s="56"/>
      <c r="G36" s="56"/>
      <c r="H36" s="56"/>
      <c r="I36" s="56"/>
      <c r="J36" s="46"/>
    </row>
    <row r="38" spans="2:21">
      <c r="B38" s="20"/>
      <c r="C38" s="21"/>
      <c r="D38" s="21"/>
      <c r="E38" s="21"/>
      <c r="F38" s="21"/>
      <c r="G38" s="21"/>
      <c r="H38" s="21"/>
      <c r="I38" s="21"/>
      <c r="J38" s="22"/>
    </row>
    <row r="39" spans="2:21" ht="15.75" customHeight="1">
      <c r="B39" s="23"/>
      <c r="C39" s="1" t="s">
        <v>59</v>
      </c>
      <c r="D39" s="1"/>
      <c r="E39" s="1"/>
      <c r="F39" s="26">
        <v>2018</v>
      </c>
      <c r="G39" s="26">
        <v>2030</v>
      </c>
      <c r="H39" s="85">
        <v>2040</v>
      </c>
      <c r="I39" s="85">
        <v>2050</v>
      </c>
      <c r="J39" s="27"/>
    </row>
    <row r="40" spans="2:21">
      <c r="B40" s="23"/>
      <c r="C40" s="1"/>
      <c r="D40" s="1"/>
      <c r="E40" s="1"/>
      <c r="F40" s="28">
        <v>1418</v>
      </c>
      <c r="G40" s="75">
        <f>G42*(G31+G15)</f>
        <v>1071.2784631849024</v>
      </c>
      <c r="H40" s="75">
        <f>H42*(H31+H15)</f>
        <v>223.68533585846151</v>
      </c>
      <c r="I40" s="75">
        <f>I42*(I31+I15)</f>
        <v>0</v>
      </c>
      <c r="J40" s="27"/>
    </row>
    <row r="41" spans="2:21">
      <c r="B41" s="23"/>
      <c r="C41" s="25"/>
      <c r="D41" s="25"/>
      <c r="E41" s="25"/>
      <c r="F41" s="25"/>
      <c r="G41" s="25"/>
      <c r="H41" s="25"/>
      <c r="I41" s="25"/>
      <c r="J41" s="27"/>
    </row>
    <row r="42" spans="2:21">
      <c r="B42" s="23"/>
      <c r="C42" s="25"/>
      <c r="D42" s="25" t="s">
        <v>87</v>
      </c>
      <c r="E42" s="25"/>
      <c r="F42" s="61">
        <v>6.3055852009960903E-2</v>
      </c>
      <c r="G42" s="89">
        <v>0.06</v>
      </c>
      <c r="H42" s="89">
        <v>0.03</v>
      </c>
      <c r="I42" s="89">
        <v>0</v>
      </c>
      <c r="J42" s="27"/>
      <c r="L42" t="s">
        <v>61</v>
      </c>
    </row>
    <row r="43" spans="2:21">
      <c r="B43" s="42"/>
      <c r="C43" s="43"/>
      <c r="D43" s="43"/>
      <c r="E43" s="43"/>
      <c r="F43" s="43"/>
      <c r="G43" s="43"/>
      <c r="H43" s="43"/>
      <c r="I43" s="43"/>
      <c r="J43" s="46"/>
    </row>
    <row r="45" spans="2:21">
      <c r="B45" s="20"/>
      <c r="C45" s="21"/>
      <c r="D45" s="21"/>
      <c r="E45" s="21"/>
      <c r="F45" s="21"/>
      <c r="G45" s="21"/>
      <c r="H45" s="21"/>
      <c r="I45" s="21"/>
      <c r="J45" s="22"/>
    </row>
    <row r="46" spans="2:21" ht="14.55" customHeight="1">
      <c r="B46" s="23"/>
      <c r="C46" s="1" t="s">
        <v>72</v>
      </c>
      <c r="D46" s="1"/>
      <c r="E46" s="1"/>
      <c r="F46" s="26">
        <v>2018</v>
      </c>
      <c r="G46" s="26">
        <v>2030</v>
      </c>
      <c r="H46" s="85">
        <v>2040</v>
      </c>
      <c r="I46" s="85">
        <v>2050</v>
      </c>
      <c r="J46" s="27"/>
      <c r="L46" t="s">
        <v>62</v>
      </c>
    </row>
    <row r="47" spans="2:21">
      <c r="B47" s="23"/>
      <c r="C47" s="1"/>
      <c r="D47" s="1"/>
      <c r="E47" s="1"/>
      <c r="F47" s="28">
        <v>0</v>
      </c>
      <c r="G47" s="75">
        <v>0</v>
      </c>
      <c r="H47" s="75">
        <v>800</v>
      </c>
      <c r="I47" s="75">
        <v>2300</v>
      </c>
      <c r="J47" s="27"/>
      <c r="M47">
        <v>2010</v>
      </c>
      <c r="N47">
        <f t="shared" ref="N47:U47" si="0">M47+1</f>
        <v>2011</v>
      </c>
      <c r="O47">
        <f t="shared" si="0"/>
        <v>2012</v>
      </c>
      <c r="P47">
        <f t="shared" si="0"/>
        <v>2013</v>
      </c>
      <c r="Q47">
        <f t="shared" si="0"/>
        <v>2014</v>
      </c>
      <c r="R47">
        <f t="shared" si="0"/>
        <v>2015</v>
      </c>
      <c r="S47">
        <f t="shared" si="0"/>
        <v>2016</v>
      </c>
      <c r="T47">
        <f t="shared" si="0"/>
        <v>2017</v>
      </c>
      <c r="U47">
        <f t="shared" si="0"/>
        <v>2018</v>
      </c>
    </row>
    <row r="48" spans="2:21">
      <c r="B48" s="42"/>
      <c r="C48" s="43"/>
      <c r="D48" s="43"/>
      <c r="E48" s="43"/>
      <c r="F48" s="43"/>
      <c r="G48" s="43"/>
      <c r="H48" s="43"/>
      <c r="I48" s="43"/>
      <c r="J48" s="46"/>
      <c r="L48" t="s">
        <v>88</v>
      </c>
      <c r="M48">
        <v>0.32</v>
      </c>
      <c r="N48">
        <v>0.29499999999999998</v>
      </c>
      <c r="O48">
        <v>0.315</v>
      </c>
      <c r="P48">
        <v>0.375</v>
      </c>
      <c r="Q48">
        <v>0.39500000000000002</v>
      </c>
      <c r="R48">
        <v>0.38</v>
      </c>
      <c r="S48">
        <v>0.42</v>
      </c>
      <c r="T48">
        <v>0.4</v>
      </c>
      <c r="U48">
        <v>0.46</v>
      </c>
    </row>
    <row r="49" spans="12:21">
      <c r="L49" t="s">
        <v>89</v>
      </c>
      <c r="M49">
        <v>0.14000000000000001</v>
      </c>
      <c r="N49">
        <v>0.15</v>
      </c>
      <c r="O49">
        <v>0.15</v>
      </c>
      <c r="P49">
        <v>0.14499999999999999</v>
      </c>
      <c r="Q49">
        <v>0.14199999999999999</v>
      </c>
      <c r="R49">
        <v>0.14000000000000001</v>
      </c>
      <c r="S49">
        <v>0.16</v>
      </c>
      <c r="T49">
        <v>0.16</v>
      </c>
      <c r="U49">
        <v>0.18</v>
      </c>
    </row>
  </sheetData>
  <mergeCells count="9">
    <mergeCell ref="D34:E34"/>
    <mergeCell ref="D35:E35"/>
    <mergeCell ref="C39:E40"/>
    <mergeCell ref="C46:E47"/>
    <mergeCell ref="D17:E17"/>
    <mergeCell ref="D18:E18"/>
    <mergeCell ref="D19:E19"/>
    <mergeCell ref="D20:D22"/>
    <mergeCell ref="D23:D25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17"/>
  <sheetViews>
    <sheetView zoomScale="88" zoomScaleNormal="88" workbookViewId="0">
      <selection activeCell="F58" sqref="F58"/>
    </sheetView>
  </sheetViews>
  <sheetFormatPr baseColWidth="10" defaultColWidth="8.88671875" defaultRowHeight="14.4"/>
  <cols>
    <col min="1" max="1025" width="10.44140625" customWidth="1"/>
  </cols>
  <sheetData>
    <row r="4" spans="1:28">
      <c r="C4">
        <v>2010</v>
      </c>
      <c r="D4">
        <f t="shared" ref="D4:Y4" si="0">C4+1</f>
        <v>2011</v>
      </c>
      <c r="E4">
        <f t="shared" si="0"/>
        <v>2012</v>
      </c>
      <c r="F4">
        <f t="shared" si="0"/>
        <v>2013</v>
      </c>
      <c r="G4">
        <f t="shared" si="0"/>
        <v>2014</v>
      </c>
      <c r="H4">
        <f t="shared" si="0"/>
        <v>2015</v>
      </c>
      <c r="I4">
        <f t="shared" si="0"/>
        <v>2016</v>
      </c>
      <c r="J4">
        <f t="shared" si="0"/>
        <v>2017</v>
      </c>
      <c r="K4">
        <f t="shared" si="0"/>
        <v>2018</v>
      </c>
      <c r="L4">
        <f t="shared" si="0"/>
        <v>2019</v>
      </c>
      <c r="M4">
        <f t="shared" si="0"/>
        <v>2020</v>
      </c>
      <c r="N4">
        <f t="shared" si="0"/>
        <v>2021</v>
      </c>
      <c r="O4">
        <f t="shared" si="0"/>
        <v>2022</v>
      </c>
      <c r="P4">
        <f t="shared" si="0"/>
        <v>2023</v>
      </c>
      <c r="Q4">
        <f t="shared" si="0"/>
        <v>2024</v>
      </c>
      <c r="R4">
        <f t="shared" si="0"/>
        <v>2025</v>
      </c>
      <c r="S4">
        <f t="shared" si="0"/>
        <v>2026</v>
      </c>
      <c r="T4">
        <f t="shared" si="0"/>
        <v>2027</v>
      </c>
      <c r="U4">
        <f t="shared" si="0"/>
        <v>2028</v>
      </c>
      <c r="V4">
        <f t="shared" si="0"/>
        <v>2029</v>
      </c>
      <c r="W4">
        <f t="shared" si="0"/>
        <v>2030</v>
      </c>
      <c r="X4">
        <f t="shared" si="0"/>
        <v>2031</v>
      </c>
      <c r="Y4">
        <f t="shared" si="0"/>
        <v>2032</v>
      </c>
      <c r="AA4">
        <v>2040</v>
      </c>
      <c r="AB4">
        <v>2050</v>
      </c>
    </row>
    <row r="5" spans="1:28">
      <c r="B5" t="s">
        <v>92</v>
      </c>
      <c r="C5">
        <v>32659.8</v>
      </c>
      <c r="D5">
        <v>32661.200000000001</v>
      </c>
      <c r="E5">
        <v>33012.080000000002</v>
      </c>
      <c r="F5">
        <v>30139.07</v>
      </c>
      <c r="G5">
        <v>29189.200000000001</v>
      </c>
      <c r="H5">
        <v>25486.01</v>
      </c>
      <c r="I5">
        <v>22383.58</v>
      </c>
      <c r="J5">
        <v>23650.42</v>
      </c>
      <c r="K5">
        <v>23667.03</v>
      </c>
      <c r="L5">
        <v>23528.34</v>
      </c>
      <c r="M5">
        <v>23000</v>
      </c>
      <c r="N5">
        <v>22000</v>
      </c>
      <c r="O5">
        <v>21000</v>
      </c>
      <c r="P5">
        <v>20000</v>
      </c>
      <c r="Q5">
        <v>18500</v>
      </c>
      <c r="R5">
        <v>16500</v>
      </c>
      <c r="S5">
        <v>15000</v>
      </c>
      <c r="T5">
        <v>14000</v>
      </c>
      <c r="U5">
        <v>13000</v>
      </c>
      <c r="V5">
        <v>11500</v>
      </c>
      <c r="W5">
        <v>11000</v>
      </c>
      <c r="X5">
        <v>10500</v>
      </c>
      <c r="Y5" s="79">
        <v>10000</v>
      </c>
    </row>
    <row r="7" spans="1:28">
      <c r="A7" t="s">
        <v>93</v>
      </c>
      <c r="B7" s="90">
        <v>2008</v>
      </c>
      <c r="C7" s="90">
        <v>2009</v>
      </c>
      <c r="D7" s="90">
        <v>2010</v>
      </c>
      <c r="E7" s="90">
        <v>2011</v>
      </c>
      <c r="F7" s="90">
        <v>2012</v>
      </c>
      <c r="G7" s="90">
        <v>2013</v>
      </c>
      <c r="H7" s="90">
        <v>2014</v>
      </c>
      <c r="I7" s="90">
        <v>2015</v>
      </c>
      <c r="J7" s="90">
        <v>2016</v>
      </c>
      <c r="K7" s="90">
        <v>2017</v>
      </c>
      <c r="L7" s="90">
        <v>2018</v>
      </c>
      <c r="M7" s="90">
        <v>2019</v>
      </c>
      <c r="N7" s="91">
        <v>2020</v>
      </c>
    </row>
    <row r="8" spans="1:28">
      <c r="A8" s="92" t="s">
        <v>94</v>
      </c>
      <c r="B8" s="92">
        <v>4903274</v>
      </c>
      <c r="C8" s="92">
        <v>4968117</v>
      </c>
      <c r="D8" s="92">
        <v>5029591</v>
      </c>
      <c r="E8" s="92">
        <v>5084762</v>
      </c>
      <c r="F8" s="92">
        <v>5136259</v>
      </c>
      <c r="G8" s="92">
        <v>5194217</v>
      </c>
      <c r="H8" s="92">
        <v>5244194</v>
      </c>
      <c r="I8" s="92">
        <v>5285642</v>
      </c>
      <c r="J8" s="92">
        <v>5319332</v>
      </c>
      <c r="K8" s="92">
        <v>5338670</v>
      </c>
      <c r="L8" s="92">
        <v>5381098</v>
      </c>
      <c r="M8" s="92">
        <v>5404262</v>
      </c>
      <c r="N8" s="93">
        <v>5422186</v>
      </c>
      <c r="P8" t="s">
        <v>95</v>
      </c>
    </row>
    <row r="9" spans="1:28">
      <c r="A9" t="s">
        <v>96</v>
      </c>
      <c r="C9">
        <f t="shared" ref="C9:N9" si="1">C8-B8</f>
        <v>64843</v>
      </c>
      <c r="D9">
        <f t="shared" si="1"/>
        <v>61474</v>
      </c>
      <c r="E9">
        <f t="shared" si="1"/>
        <v>55171</v>
      </c>
      <c r="F9">
        <f t="shared" si="1"/>
        <v>51497</v>
      </c>
      <c r="G9">
        <f t="shared" si="1"/>
        <v>57958</v>
      </c>
      <c r="H9">
        <f t="shared" si="1"/>
        <v>49977</v>
      </c>
      <c r="I9">
        <f t="shared" si="1"/>
        <v>41448</v>
      </c>
      <c r="J9">
        <f t="shared" si="1"/>
        <v>33690</v>
      </c>
      <c r="K9">
        <f t="shared" si="1"/>
        <v>19338</v>
      </c>
      <c r="L9">
        <f t="shared" si="1"/>
        <v>42428</v>
      </c>
      <c r="M9">
        <f t="shared" si="1"/>
        <v>23164</v>
      </c>
      <c r="N9">
        <f t="shared" si="1"/>
        <v>17924</v>
      </c>
    </row>
    <row r="10" spans="1:28">
      <c r="A10" t="s">
        <v>97</v>
      </c>
      <c r="D10" s="94">
        <v>31589.177800000001</v>
      </c>
      <c r="E10" s="94">
        <v>31590.570500000002</v>
      </c>
      <c r="F10" s="94">
        <v>31686.738399999998</v>
      </c>
      <c r="G10" s="94">
        <v>29235.450799999999</v>
      </c>
      <c r="H10" s="94">
        <v>27882.5324</v>
      </c>
      <c r="I10" s="94">
        <v>24530.912199999999</v>
      </c>
      <c r="J10" s="94">
        <v>21431.729599999999</v>
      </c>
      <c r="K10" s="94">
        <v>23061.539799999999</v>
      </c>
      <c r="L10" s="94">
        <v>22733.8586</v>
      </c>
      <c r="M10" s="94">
        <v>22553.195800000001</v>
      </c>
      <c r="N10" s="94">
        <v>20011.226999999999</v>
      </c>
    </row>
    <row r="11" spans="1:28">
      <c r="A11" t="s">
        <v>98</v>
      </c>
      <c r="D11" s="57">
        <f t="shared" ref="D11:N11" si="2">D9/D10</f>
        <v>1.9460462183982514</v>
      </c>
      <c r="E11" s="57">
        <f t="shared" si="2"/>
        <v>1.7464388621914884</v>
      </c>
      <c r="F11" s="57">
        <f t="shared" si="2"/>
        <v>1.6251909347665774</v>
      </c>
      <c r="G11" s="57">
        <f t="shared" si="2"/>
        <v>1.9824561761161557</v>
      </c>
      <c r="H11" s="57">
        <f t="shared" si="2"/>
        <v>1.7924125141516916</v>
      </c>
      <c r="I11" s="57">
        <f t="shared" si="2"/>
        <v>1.6896232664352369</v>
      </c>
      <c r="J11" s="57">
        <f t="shared" si="2"/>
        <v>1.5719683212128619</v>
      </c>
      <c r="K11" s="57">
        <f t="shared" si="2"/>
        <v>0.83853897734963911</v>
      </c>
      <c r="L11" s="57">
        <f t="shared" si="2"/>
        <v>1.8662911891252811</v>
      </c>
      <c r="M11" s="57">
        <f t="shared" si="2"/>
        <v>1.0270828225594528</v>
      </c>
      <c r="N11" s="57">
        <f t="shared" si="2"/>
        <v>0.89569720037656864</v>
      </c>
    </row>
    <row r="14" spans="1:28">
      <c r="I14" t="s">
        <v>99</v>
      </c>
      <c r="J14" t="s">
        <v>100</v>
      </c>
    </row>
    <row r="15" spans="1:28">
      <c r="H15" t="s">
        <v>101</v>
      </c>
      <c r="I15">
        <f>AVERAGE(H10:L10)</f>
        <v>23928.114520000003</v>
      </c>
      <c r="J15">
        <f>I15*J16/I16</f>
        <v>16086.58565041021</v>
      </c>
    </row>
    <row r="16" spans="1:28">
      <c r="H16" t="s">
        <v>102</v>
      </c>
      <c r="I16">
        <v>54850</v>
      </c>
      <c r="J16">
        <v>36875</v>
      </c>
    </row>
    <row r="17" spans="16:16">
      <c r="P17" s="79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Résultats</vt:lpstr>
      <vt:lpstr>Historique_</vt:lpstr>
      <vt:lpstr>AME 2023</vt:lpstr>
      <vt:lpstr>AMS 2023</vt:lpstr>
      <vt:lpstr>AME 2021</vt:lpstr>
      <vt:lpstr>AME 2021 bis</vt:lpstr>
      <vt:lpstr>AME 2018</vt:lpstr>
      <vt:lpstr>AMS 2018</vt:lpstr>
      <vt:lpstr>comparaison Agreste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PODESTA Gwenaël</dc:creator>
  <dc:description/>
  <cp:lastModifiedBy>PODESTA Gwenaël</cp:lastModifiedBy>
  <cp:revision>1</cp:revision>
  <dcterms:created xsi:type="dcterms:W3CDTF">2023-02-14T17:27:36Z</dcterms:created>
  <dcterms:modified xsi:type="dcterms:W3CDTF">2023-07-18T14:04:52Z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