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22-Outre mer\Hypothèses OM_run2\Hypothèses_AMS_DROM_COM_run_2\DROM\Hypothèses\"/>
    </mc:Choice>
  </mc:AlternateContent>
  <bookViews>
    <workbookView xWindow="0" yWindow="0" windowWidth="23040" windowHeight="8616" tabRatio="724" firstSheet="1" activeTab="8"/>
  </bookViews>
  <sheets>
    <sheet name="Pour Enerdata" sheetId="1" state="hidden" r:id="rId1"/>
    <sheet name="DESCRIPTION" sheetId="13" r:id="rId2"/>
    <sheet name="Hypothèses" sheetId="14" r:id="rId3"/>
    <sheet name="Bilan d'énergie" sheetId="12" r:id="rId4"/>
    <sheet name="Cadrage macroéconomique " sheetId="2" r:id="rId5"/>
    <sheet name="Prod Energie" sheetId="4" r:id="rId6"/>
    <sheet name="Transports" sheetId="5" r:id="rId7"/>
    <sheet name="Industrie" sheetId="6" r:id="rId8"/>
    <sheet name="Résidentiel-tertiaire" sheetId="7" r:id="rId9"/>
    <sheet name="Agriculture" sheetId="8" r:id="rId10"/>
    <sheet name="UTCATF" sheetId="9" r:id="rId11"/>
    <sheet name="Déchets" sheetId="10" r:id="rId12"/>
    <sheet name="GES" sheetId="3" r:id="rId13"/>
    <sheet name="Bilan d'énergie SDES historique" sheetId="11" r:id="rId14"/>
    <sheet name="Calculs" sheetId="15" r:id="rId15"/>
  </sheets>
  <externalReferences>
    <externalReference r:id="rId16"/>
  </externalReferenc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D273" i="12" l="1"/>
  <c r="AD279" i="12"/>
  <c r="AD232" i="12"/>
  <c r="AD238" i="12"/>
  <c r="AD191" i="12"/>
  <c r="AD197" i="12"/>
  <c r="AD109" i="12"/>
  <c r="AD150" i="12"/>
  <c r="AD156" i="12"/>
  <c r="AD115" i="12"/>
  <c r="AD74" i="12"/>
  <c r="Z280" i="12"/>
  <c r="AA280" i="12"/>
  <c r="AB280" i="12"/>
  <c r="AC280" i="12"/>
  <c r="AD280" i="12"/>
  <c r="AE280" i="12"/>
  <c r="AF280" i="12"/>
  <c r="AG280" i="12"/>
  <c r="AH280" i="12"/>
  <c r="AI280" i="12"/>
  <c r="AJ280" i="12"/>
  <c r="AK280" i="12"/>
  <c r="Y280" i="12"/>
  <c r="AM303" i="12"/>
  <c r="AM301" i="12"/>
  <c r="AM293" i="12"/>
  <c r="AM279" i="12"/>
  <c r="AM288" i="12"/>
  <c r="I79" i="7"/>
  <c r="W282" i="12" l="1"/>
  <c r="Y282" i="12"/>
  <c r="W241" i="12"/>
  <c r="Y241" i="12"/>
  <c r="W200" i="12"/>
  <c r="Y200" i="12"/>
  <c r="W159" i="12"/>
  <c r="W118" i="12"/>
  <c r="W77" i="12"/>
  <c r="AH282" i="12"/>
  <c r="AF282" i="12"/>
  <c r="AE282" i="12"/>
  <c r="AD282" i="12"/>
  <c r="AC282" i="12"/>
  <c r="AB282" i="12"/>
  <c r="AH241" i="12"/>
  <c r="AF241" i="12"/>
  <c r="AE241" i="12"/>
  <c r="AD241" i="12"/>
  <c r="AC241" i="12"/>
  <c r="AB241" i="12"/>
  <c r="AH200" i="12"/>
  <c r="AF200" i="12"/>
  <c r="AE200" i="12"/>
  <c r="AD200" i="12"/>
  <c r="AC200" i="12"/>
  <c r="AB200" i="12"/>
  <c r="AH159" i="12"/>
  <c r="AF159" i="12"/>
  <c r="AE159" i="12"/>
  <c r="AD159" i="12"/>
  <c r="AC159" i="12"/>
  <c r="AB159" i="12"/>
  <c r="Y159" i="12"/>
  <c r="AH118" i="12"/>
  <c r="AF118" i="12"/>
  <c r="AE118" i="12"/>
  <c r="AD118" i="12"/>
  <c r="AC118" i="12"/>
  <c r="AB118" i="12"/>
  <c r="Y118" i="12"/>
  <c r="Y38" i="8"/>
  <c r="V38" i="8"/>
  <c r="S38" i="8"/>
  <c r="P38" i="8"/>
  <c r="M38" i="8"/>
  <c r="J38" i="8"/>
  <c r="G38" i="8"/>
  <c r="Y77" i="12" l="1"/>
  <c r="AH77" i="12"/>
  <c r="AF77" i="12"/>
  <c r="AE77" i="12"/>
  <c r="AD77" i="12"/>
  <c r="AC77" i="12"/>
  <c r="AB77" i="12"/>
  <c r="D18" i="5" l="1"/>
  <c r="D17" i="5"/>
  <c r="J312" i="12" l="1"/>
  <c r="I312" i="12"/>
  <c r="H312" i="12"/>
  <c r="G312" i="12"/>
  <c r="F312" i="12"/>
  <c r="E312" i="12"/>
  <c r="K241" i="12"/>
  <c r="K200" i="12"/>
  <c r="K159" i="12"/>
  <c r="K118" i="12"/>
  <c r="K77" i="12"/>
  <c r="J241" i="12"/>
  <c r="J200" i="12"/>
  <c r="J159" i="12"/>
  <c r="J118" i="12"/>
  <c r="J77" i="12"/>
  <c r="N241" i="12"/>
  <c r="L241" i="12"/>
  <c r="I241" i="12"/>
  <c r="H241" i="12"/>
  <c r="E241" i="12"/>
  <c r="C241" i="12"/>
  <c r="N200" i="12"/>
  <c r="L200" i="12"/>
  <c r="I200" i="12"/>
  <c r="H200" i="12"/>
  <c r="E200" i="12"/>
  <c r="C200" i="12"/>
  <c r="N159" i="12"/>
  <c r="L159" i="12"/>
  <c r="I159" i="12"/>
  <c r="H159" i="12"/>
  <c r="E159" i="12"/>
  <c r="C159" i="12"/>
  <c r="N118" i="12"/>
  <c r="L118" i="12"/>
  <c r="I118" i="12"/>
  <c r="H118" i="12"/>
  <c r="E118" i="12"/>
  <c r="C118" i="12"/>
  <c r="N77" i="12"/>
  <c r="L77" i="12"/>
  <c r="I77" i="12"/>
  <c r="H77" i="12"/>
  <c r="E77" i="12"/>
  <c r="C77" i="12"/>
  <c r="N101" i="12" l="1"/>
  <c r="M101" i="12"/>
  <c r="L101" i="12"/>
  <c r="K101" i="12"/>
  <c r="I18" i="10" l="1"/>
  <c r="H18" i="10"/>
  <c r="G18" i="10"/>
  <c r="F18" i="10"/>
  <c r="E18" i="10"/>
  <c r="D18" i="10"/>
  <c r="C18" i="10"/>
  <c r="G6" i="10" l="1"/>
  <c r="H6" i="10"/>
  <c r="I6" i="10"/>
  <c r="J6" i="10"/>
  <c r="K6" i="10"/>
  <c r="B35" i="10"/>
  <c r="B34" i="10"/>
  <c r="B33" i="10"/>
  <c r="B32" i="10"/>
  <c r="I32" i="10" s="1"/>
  <c r="I33" i="10" s="1"/>
  <c r="H31" i="10"/>
  <c r="G31" i="10"/>
  <c r="G32" i="10" s="1"/>
  <c r="G33" i="10" s="1"/>
  <c r="F31" i="10"/>
  <c r="E31" i="10"/>
  <c r="D31" i="10"/>
  <c r="C31" i="10"/>
  <c r="I30" i="10"/>
  <c r="H30" i="10"/>
  <c r="G30" i="10"/>
  <c r="F30" i="10"/>
  <c r="E30" i="10"/>
  <c r="D30" i="10"/>
  <c r="C30" i="10"/>
  <c r="H29" i="10"/>
  <c r="G29" i="10"/>
  <c r="F29" i="10"/>
  <c r="E29" i="10"/>
  <c r="D29" i="10"/>
  <c r="C29" i="10"/>
  <c r="B28" i="10"/>
  <c r="I28" i="10" s="1"/>
  <c r="H17" i="10"/>
  <c r="G17" i="10"/>
  <c r="F17" i="10"/>
  <c r="E17" i="10"/>
  <c r="D17" i="10"/>
  <c r="C17" i="10"/>
  <c r="B17" i="10"/>
  <c r="F32" i="10" l="1"/>
  <c r="F33" i="10" s="1"/>
  <c r="F35" i="10" s="1"/>
  <c r="G34" i="10"/>
  <c r="I35" i="10"/>
  <c r="I34" i="10"/>
  <c r="C28" i="10"/>
  <c r="E28" i="10"/>
  <c r="F28" i="10"/>
  <c r="G28" i="10"/>
  <c r="G35" i="10" s="1"/>
  <c r="C32" i="10"/>
  <c r="C33" i="10" s="1"/>
  <c r="D28" i="10"/>
  <c r="H28" i="10"/>
  <c r="D32" i="10"/>
  <c r="D33" i="10" s="1"/>
  <c r="E32" i="10"/>
  <c r="E33" i="10" s="1"/>
  <c r="H32" i="10"/>
  <c r="H33" i="10" s="1"/>
  <c r="F34" i="10" l="1"/>
  <c r="C34" i="10"/>
  <c r="C35" i="10"/>
  <c r="H35" i="10"/>
  <c r="H34" i="10"/>
  <c r="E34" i="10"/>
  <c r="E35" i="10"/>
  <c r="D34" i="10"/>
  <c r="D35" i="10"/>
  <c r="AC273" i="12" l="1"/>
  <c r="AC232" i="12"/>
  <c r="AC191" i="12"/>
  <c r="AC150" i="12"/>
  <c r="AC109" i="12"/>
  <c r="AC68" i="12"/>
  <c r="I273" i="12"/>
  <c r="I232" i="12"/>
  <c r="I191" i="12"/>
  <c r="I150" i="12"/>
  <c r="I109" i="12"/>
  <c r="I68" i="12"/>
  <c r="G58" i="4" l="1"/>
  <c r="H58" i="4"/>
  <c r="I58" i="4"/>
  <c r="G59" i="4"/>
  <c r="H59" i="4"/>
  <c r="I59" i="4"/>
  <c r="F59" i="4"/>
  <c r="F58" i="4"/>
  <c r="G61" i="4"/>
  <c r="H61" i="4"/>
  <c r="I61" i="4"/>
  <c r="F61" i="4"/>
  <c r="G56" i="4"/>
  <c r="H56" i="4"/>
  <c r="I56" i="4"/>
  <c r="F56" i="4"/>
  <c r="G62" i="4"/>
  <c r="H62" i="4"/>
  <c r="I62" i="4"/>
  <c r="F62" i="4"/>
  <c r="G57" i="4"/>
  <c r="H57" i="4"/>
  <c r="I57" i="4"/>
  <c r="F57" i="4"/>
  <c r="I50" i="4"/>
  <c r="H50" i="4"/>
  <c r="G50" i="4"/>
  <c r="F50" i="4"/>
  <c r="E50" i="4"/>
  <c r="H29" i="4" l="1"/>
  <c r="G29" i="4"/>
  <c r="F29" i="4"/>
  <c r="E29" i="4"/>
  <c r="H40" i="4" s="1"/>
  <c r="F36" i="4" l="1"/>
  <c r="G40" i="4"/>
  <c r="F41" i="4"/>
  <c r="H41" i="4"/>
  <c r="G41" i="4"/>
  <c r="H36" i="4"/>
  <c r="G36" i="4"/>
  <c r="F40" i="4"/>
  <c r="F37" i="4" s="1"/>
  <c r="F42" i="4" s="1"/>
  <c r="F38" i="4"/>
  <c r="I167" i="7"/>
  <c r="H167" i="7"/>
  <c r="G167" i="7"/>
  <c r="F167" i="7"/>
  <c r="E167" i="7"/>
  <c r="D167" i="7"/>
  <c r="C167" i="7"/>
  <c r="B167" i="7"/>
  <c r="I162" i="7"/>
  <c r="H162" i="7"/>
  <c r="G162" i="7"/>
  <c r="F162" i="7"/>
  <c r="E162" i="7"/>
  <c r="D162" i="7"/>
  <c r="C162" i="7"/>
  <c r="B162" i="7"/>
  <c r="C116" i="7"/>
  <c r="B116" i="7"/>
  <c r="I116" i="7" s="1"/>
  <c r="C79" i="7"/>
  <c r="B79" i="7"/>
  <c r="F57" i="7"/>
  <c r="H38" i="4" l="1"/>
  <c r="H42" i="4" s="1"/>
  <c r="H37" i="4"/>
  <c r="G37" i="4"/>
  <c r="G38" i="4"/>
  <c r="G42" i="4"/>
  <c r="D116" i="7"/>
  <c r="E116" i="7"/>
  <c r="F116" i="7"/>
  <c r="G116" i="7"/>
  <c r="H116" i="7"/>
  <c r="I142" i="7"/>
  <c r="G142" i="7"/>
  <c r="E142" i="7"/>
  <c r="C142" i="7"/>
  <c r="I137" i="7" l="1"/>
  <c r="G137" i="7"/>
  <c r="E137" i="7"/>
  <c r="C137" i="7"/>
  <c r="C16" i="2" l="1"/>
  <c r="J18" i="12" l="1"/>
  <c r="C27" i="6"/>
  <c r="Y296" i="12" l="1"/>
  <c r="Y255" i="12"/>
  <c r="E44" i="8"/>
  <c r="E43" i="8"/>
  <c r="E56" i="6"/>
  <c r="F56" i="6"/>
  <c r="G56" i="6"/>
  <c r="H56" i="6"/>
  <c r="I56" i="6"/>
  <c r="D56" i="6"/>
  <c r="B26" i="6" l="1"/>
  <c r="S5" i="15" l="1"/>
  <c r="R5" i="15"/>
  <c r="Q5" i="15"/>
  <c r="P5" i="15"/>
  <c r="O5" i="15"/>
  <c r="N5" i="15"/>
  <c r="C42" i="4"/>
  <c r="D36" i="8" l="1"/>
  <c r="D37" i="8"/>
  <c r="D38" i="8"/>
  <c r="D35" i="8"/>
  <c r="C32" i="7"/>
  <c r="C26" i="7"/>
  <c r="B58" i="6"/>
  <c r="C49" i="6"/>
  <c r="D49" i="6"/>
  <c r="E49" i="6"/>
  <c r="F49" i="6"/>
  <c r="G49" i="6"/>
  <c r="H49" i="6"/>
  <c r="I49" i="6"/>
  <c r="C48" i="6"/>
  <c r="D48" i="6"/>
  <c r="E48" i="6"/>
  <c r="F48" i="6"/>
  <c r="G48" i="6"/>
  <c r="H48" i="6"/>
  <c r="I48" i="6"/>
  <c r="B48" i="6"/>
  <c r="C47" i="6"/>
  <c r="D47" i="6"/>
  <c r="E47" i="6"/>
  <c r="F47" i="6"/>
  <c r="G47" i="6"/>
  <c r="H47" i="6"/>
  <c r="I47" i="6"/>
  <c r="D46" i="6"/>
  <c r="E46" i="6"/>
  <c r="F46" i="6"/>
  <c r="G46" i="6"/>
  <c r="H46" i="6"/>
  <c r="I46" i="6"/>
  <c r="B46" i="6"/>
  <c r="C45" i="6"/>
  <c r="D45" i="6"/>
  <c r="E45" i="6"/>
  <c r="F45" i="6"/>
  <c r="G45" i="6"/>
  <c r="H45" i="6"/>
  <c r="I45" i="6"/>
  <c r="B45" i="6"/>
  <c r="E28" i="6"/>
  <c r="F28" i="6" s="1"/>
  <c r="G28" i="6" s="1"/>
  <c r="H28" i="6" s="1"/>
  <c r="I28" i="6" s="1"/>
  <c r="D28" i="6"/>
  <c r="B28" i="6"/>
  <c r="E25" i="6"/>
  <c r="F25" i="6"/>
  <c r="G25" i="6" s="1"/>
  <c r="H25" i="6" s="1"/>
  <c r="I25" i="6" s="1"/>
  <c r="D25" i="6"/>
  <c r="B25" i="6"/>
  <c r="V17" i="12" l="1"/>
  <c r="W17" i="12"/>
  <c r="X17" i="12"/>
  <c r="Y17" i="12"/>
  <c r="Z17" i="12"/>
  <c r="AA17" i="12"/>
  <c r="D17" i="2"/>
  <c r="E17" i="2"/>
  <c r="F17" i="2"/>
  <c r="G17" i="2"/>
  <c r="H17" i="2"/>
  <c r="C17" i="2"/>
  <c r="B15" i="2"/>
  <c r="B16" i="2"/>
  <c r="B17" i="2"/>
  <c r="H16" i="2" s="1"/>
  <c r="C41" i="7"/>
  <c r="C47" i="7"/>
  <c r="B44" i="7"/>
  <c r="B45" i="7"/>
  <c r="B47" i="7"/>
  <c r="B34" i="7"/>
  <c r="B49" i="7" s="1"/>
  <c r="B32" i="7"/>
  <c r="I10" i="9"/>
  <c r="D16" i="2" l="1"/>
  <c r="E16" i="2"/>
  <c r="F16" i="2"/>
  <c r="G16" i="2"/>
  <c r="E18" i="7" l="1"/>
  <c r="F18" i="7"/>
  <c r="G18" i="7"/>
  <c r="H18" i="7"/>
  <c r="I18" i="7"/>
  <c r="J18" i="7"/>
  <c r="K18" i="7"/>
  <c r="L18" i="7"/>
  <c r="E19" i="7"/>
  <c r="F19" i="7"/>
  <c r="G19" i="7"/>
  <c r="H19" i="7"/>
  <c r="I19" i="7"/>
  <c r="J19" i="7"/>
  <c r="K19" i="7"/>
  <c r="L19" i="7"/>
  <c r="I29" i="7" l="1"/>
  <c r="I30" i="7"/>
  <c r="C7" i="6"/>
  <c r="D7" i="6"/>
  <c r="E7" i="6"/>
  <c r="F7" i="6"/>
  <c r="G7" i="6"/>
  <c r="H7" i="6"/>
  <c r="I7" i="6"/>
  <c r="J7" i="6"/>
  <c r="K7" i="6"/>
  <c r="B7" i="6"/>
  <c r="C19" i="10" l="1"/>
  <c r="D19" i="10"/>
  <c r="E19" i="10"/>
  <c r="G19" i="10"/>
  <c r="F19" i="10"/>
  <c r="H19" i="10"/>
  <c r="I19" i="10"/>
  <c r="K22" i="4"/>
  <c r="L22" i="4"/>
  <c r="L21" i="4"/>
  <c r="C21" i="4"/>
  <c r="D21" i="4"/>
  <c r="E21" i="4"/>
  <c r="F21" i="4"/>
  <c r="G21" i="4"/>
  <c r="H21" i="4"/>
  <c r="I21" i="4"/>
  <c r="J21" i="4"/>
  <c r="K21" i="4"/>
  <c r="B21" i="4"/>
  <c r="I40" i="7" l="1"/>
  <c r="H40" i="7"/>
  <c r="G40" i="7"/>
  <c r="F40" i="7"/>
  <c r="E40" i="7"/>
  <c r="D40" i="7"/>
  <c r="I25" i="7"/>
  <c r="H25" i="7"/>
  <c r="G25" i="7"/>
  <c r="F25" i="7"/>
  <c r="E25" i="7"/>
  <c r="D25" i="7"/>
  <c r="K26" i="5"/>
  <c r="K53" i="5" s="1"/>
  <c r="J26" i="5"/>
  <c r="J53" i="5" s="1"/>
  <c r="I26" i="5"/>
  <c r="I53" i="5" s="1"/>
  <c r="H26" i="5"/>
  <c r="H53" i="5" s="1"/>
  <c r="G26" i="5"/>
  <c r="G53" i="5" s="1"/>
  <c r="F26" i="5"/>
  <c r="F53" i="5" s="1"/>
  <c r="E26" i="5"/>
  <c r="E53" i="5" s="1"/>
  <c r="D26" i="5"/>
  <c r="D53" i="5" s="1"/>
  <c r="C26" i="5"/>
  <c r="C53" i="5" s="1"/>
  <c r="B26" i="5"/>
  <c r="B53" i="5" s="1"/>
  <c r="Y298" i="12" l="1"/>
  <c r="Y297" i="12"/>
  <c r="AB303" i="12"/>
  <c r="X303" i="12"/>
  <c r="AK301" i="12"/>
  <c r="AK303" i="12" s="1"/>
  <c r="AB301" i="12"/>
  <c r="AA301" i="12"/>
  <c r="AA303" i="12" s="1"/>
  <c r="Z301" i="12"/>
  <c r="Z303" i="12" s="1"/>
  <c r="X301" i="12"/>
  <c r="W301" i="12"/>
  <c r="W303" i="12" s="1"/>
  <c r="AL300" i="12"/>
  <c r="AK293" i="12"/>
  <c r="AA293" i="12"/>
  <c r="Z293" i="12"/>
  <c r="X293" i="12"/>
  <c r="AL290" i="12"/>
  <c r="AL289" i="12"/>
  <c r="AL288" i="12"/>
  <c r="AL287" i="12"/>
  <c r="AL286" i="12"/>
  <c r="AL285" i="12"/>
  <c r="AL284" i="12"/>
  <c r="AL281" i="12"/>
  <c r="AK279" i="12"/>
  <c r="AJ279" i="12"/>
  <c r="AI279" i="12"/>
  <c r="AG279" i="12"/>
  <c r="AA279" i="12"/>
  <c r="Z279" i="12"/>
  <c r="AL278" i="12"/>
  <c r="AL277" i="12"/>
  <c r="AL276" i="12"/>
  <c r="AL275" i="12"/>
  <c r="AB262" i="12"/>
  <c r="AA262" i="12"/>
  <c r="AK260" i="12"/>
  <c r="AK262" i="12" s="1"/>
  <c r="AB260" i="12"/>
  <c r="AA260" i="12"/>
  <c r="Z260" i="12"/>
  <c r="Z262" i="12" s="1"/>
  <c r="X260" i="12"/>
  <c r="X262" i="12" s="1"/>
  <c r="W260" i="12"/>
  <c r="W262" i="12" s="1"/>
  <c r="AL259" i="12"/>
  <c r="AK252" i="12"/>
  <c r="AA252" i="12"/>
  <c r="Z252" i="12"/>
  <c r="X252" i="12"/>
  <c r="AL249" i="12"/>
  <c r="AL248" i="12"/>
  <c r="AL247" i="12"/>
  <c r="AL246" i="12"/>
  <c r="AL245" i="12"/>
  <c r="AL244" i="12"/>
  <c r="AL243" i="12"/>
  <c r="AL240" i="12"/>
  <c r="AK238" i="12"/>
  <c r="AJ238" i="12"/>
  <c r="AI238" i="12"/>
  <c r="AG238" i="12"/>
  <c r="AA238" i="12"/>
  <c r="Z238" i="12"/>
  <c r="AL237" i="12"/>
  <c r="AL236" i="12"/>
  <c r="AL235" i="12"/>
  <c r="AL234" i="12"/>
  <c r="AB221" i="12"/>
  <c r="AA221" i="12"/>
  <c r="AK219" i="12"/>
  <c r="AK221" i="12" s="1"/>
  <c r="AB219" i="12"/>
  <c r="AA219" i="12"/>
  <c r="Z219" i="12"/>
  <c r="Z221" i="12" s="1"/>
  <c r="X219" i="12"/>
  <c r="X221" i="12" s="1"/>
  <c r="W219" i="12"/>
  <c r="W221" i="12" s="1"/>
  <c r="AL218" i="12"/>
  <c r="AK211" i="12"/>
  <c r="AA211" i="12"/>
  <c r="Z211" i="12"/>
  <c r="X211" i="12"/>
  <c r="AL208" i="12"/>
  <c r="AL207" i="12"/>
  <c r="AL206" i="12"/>
  <c r="AL205" i="12"/>
  <c r="AL204" i="12"/>
  <c r="AL203" i="12"/>
  <c r="AL202" i="12"/>
  <c r="AL199" i="12"/>
  <c r="AK197" i="12"/>
  <c r="AJ197" i="12"/>
  <c r="AI197" i="12"/>
  <c r="AG197" i="12"/>
  <c r="AA197" i="12"/>
  <c r="Z197" i="12"/>
  <c r="AL196" i="12"/>
  <c r="AL195" i="12"/>
  <c r="AL194" i="12"/>
  <c r="AL193" i="12"/>
  <c r="AA180" i="12"/>
  <c r="AK178" i="12"/>
  <c r="AK180" i="12" s="1"/>
  <c r="AB178" i="12"/>
  <c r="AB180" i="12" s="1"/>
  <c r="AA178" i="12"/>
  <c r="Z178" i="12"/>
  <c r="Z180" i="12" s="1"/>
  <c r="X178" i="12"/>
  <c r="X180" i="12" s="1"/>
  <c r="W178" i="12"/>
  <c r="W180" i="12" s="1"/>
  <c r="AL177" i="12"/>
  <c r="AK170" i="12"/>
  <c r="AA170" i="12"/>
  <c r="Z170" i="12"/>
  <c r="X170" i="12"/>
  <c r="AL167" i="12"/>
  <c r="AL166" i="12"/>
  <c r="AL165" i="12"/>
  <c r="AL164" i="12"/>
  <c r="AL163" i="12"/>
  <c r="AL162" i="12"/>
  <c r="AL161" i="12"/>
  <c r="AL158" i="12"/>
  <c r="AK156" i="12"/>
  <c r="AJ156" i="12"/>
  <c r="AI156" i="12"/>
  <c r="AG156" i="12"/>
  <c r="AA156" i="12"/>
  <c r="Z156" i="12"/>
  <c r="AL155" i="12"/>
  <c r="AL154" i="12"/>
  <c r="AL153" i="12"/>
  <c r="AL152" i="12"/>
  <c r="AB139" i="12"/>
  <c r="AA139" i="12"/>
  <c r="AK137" i="12"/>
  <c r="AK139" i="12" s="1"/>
  <c r="AB137" i="12"/>
  <c r="AA137" i="12"/>
  <c r="Z137" i="12"/>
  <c r="Z139" i="12" s="1"/>
  <c r="X137" i="12"/>
  <c r="X139" i="12" s="1"/>
  <c r="W137" i="12"/>
  <c r="W139" i="12" s="1"/>
  <c r="AL136" i="12"/>
  <c r="AK129" i="12"/>
  <c r="AA129" i="12"/>
  <c r="Z129" i="12"/>
  <c r="X129" i="12"/>
  <c r="X115" i="12" s="1"/>
  <c r="X110" i="12" s="1"/>
  <c r="AL126" i="12"/>
  <c r="AL125" i="12"/>
  <c r="AL124" i="12"/>
  <c r="AL123" i="12"/>
  <c r="AL122" i="12"/>
  <c r="AL121" i="12"/>
  <c r="AL120" i="12"/>
  <c r="AL117" i="12"/>
  <c r="AK115" i="12"/>
  <c r="AJ115" i="12"/>
  <c r="AI115" i="12"/>
  <c r="AG115" i="12"/>
  <c r="AA115" i="12"/>
  <c r="Z115" i="12"/>
  <c r="AL114" i="12"/>
  <c r="AL113" i="12"/>
  <c r="AL112" i="12"/>
  <c r="AL111" i="12"/>
  <c r="X279" i="12" l="1"/>
  <c r="X274" i="12" s="1"/>
  <c r="X238" i="12"/>
  <c r="X233" i="12" s="1"/>
  <c r="X156" i="12"/>
  <c r="X151" i="12" s="1"/>
  <c r="W279" i="12"/>
  <c r="W238" i="12"/>
  <c r="W197" i="12"/>
  <c r="X197" i="12"/>
  <c r="X192" i="12" s="1"/>
  <c r="W156" i="12"/>
  <c r="W115" i="12"/>
  <c r="Q301" i="12"/>
  <c r="Q303" i="12" s="1"/>
  <c r="H301" i="12"/>
  <c r="H303" i="12" s="1"/>
  <c r="G301" i="12"/>
  <c r="G303" i="12" s="1"/>
  <c r="F301" i="12"/>
  <c r="F303" i="12" s="1"/>
  <c r="D301" i="12"/>
  <c r="D303" i="12" s="1"/>
  <c r="C301" i="12"/>
  <c r="C303" i="12" s="1"/>
  <c r="R300" i="12"/>
  <c r="Q293" i="12"/>
  <c r="G293" i="12"/>
  <c r="F293" i="12"/>
  <c r="D293" i="12"/>
  <c r="R290" i="12"/>
  <c r="R289" i="12"/>
  <c r="R288" i="12"/>
  <c r="R287" i="12"/>
  <c r="R286" i="12"/>
  <c r="R285" i="12"/>
  <c r="R284" i="12"/>
  <c r="R281" i="12"/>
  <c r="Q279" i="12"/>
  <c r="P279" i="12"/>
  <c r="O279" i="12"/>
  <c r="M279" i="12"/>
  <c r="G279" i="12"/>
  <c r="F279" i="12"/>
  <c r="R278" i="12"/>
  <c r="R277" i="12"/>
  <c r="R276" i="12"/>
  <c r="R275" i="12"/>
  <c r="Q260" i="12"/>
  <c r="Q262" i="12" s="1"/>
  <c r="H260" i="12"/>
  <c r="H262" i="12" s="1"/>
  <c r="G260" i="12"/>
  <c r="G262" i="12" s="1"/>
  <c r="F260" i="12"/>
  <c r="F262" i="12" s="1"/>
  <c r="D260" i="12"/>
  <c r="D262" i="12" s="1"/>
  <c r="C260" i="12"/>
  <c r="C262" i="12" s="1"/>
  <c r="R259" i="12"/>
  <c r="Q252" i="12"/>
  <c r="G252" i="12"/>
  <c r="F252" i="12"/>
  <c r="D252" i="12"/>
  <c r="R249" i="12"/>
  <c r="R248" i="12"/>
  <c r="R247" i="12"/>
  <c r="R246" i="12"/>
  <c r="R245" i="12"/>
  <c r="R244" i="12"/>
  <c r="R243" i="12"/>
  <c r="R240" i="12"/>
  <c r="Q238" i="12"/>
  <c r="P238" i="12"/>
  <c r="O238" i="12"/>
  <c r="M238" i="12"/>
  <c r="G238" i="12"/>
  <c r="F238" i="12"/>
  <c r="R237" i="12"/>
  <c r="R236" i="12"/>
  <c r="R235" i="12"/>
  <c r="R234" i="12"/>
  <c r="H221" i="12"/>
  <c r="Q219" i="12"/>
  <c r="Q221" i="12" s="1"/>
  <c r="H219" i="12"/>
  <c r="G219" i="12"/>
  <c r="G221" i="12" s="1"/>
  <c r="F219" i="12"/>
  <c r="F221" i="12" s="1"/>
  <c r="D219" i="12"/>
  <c r="D221" i="12" s="1"/>
  <c r="C219" i="12"/>
  <c r="C221" i="12" s="1"/>
  <c r="R218" i="12"/>
  <c r="Q211" i="12"/>
  <c r="G211" i="12"/>
  <c r="F211" i="12"/>
  <c r="D211" i="12"/>
  <c r="R208" i="12"/>
  <c r="R207" i="12"/>
  <c r="R206" i="12"/>
  <c r="R205" i="12"/>
  <c r="R204" i="12"/>
  <c r="R203" i="12"/>
  <c r="R202" i="12"/>
  <c r="R199" i="12"/>
  <c r="Q197" i="12"/>
  <c r="P197" i="12"/>
  <c r="O197" i="12"/>
  <c r="M197" i="12"/>
  <c r="G197" i="12"/>
  <c r="F197" i="12"/>
  <c r="R196" i="12"/>
  <c r="R195" i="12"/>
  <c r="R194" i="12"/>
  <c r="R193" i="12"/>
  <c r="H180" i="12"/>
  <c r="G180" i="12"/>
  <c r="Q178" i="12"/>
  <c r="Q180" i="12" s="1"/>
  <c r="H178" i="12"/>
  <c r="G178" i="12"/>
  <c r="F178" i="12"/>
  <c r="F180" i="12" s="1"/>
  <c r="D178" i="12"/>
  <c r="D180" i="12" s="1"/>
  <c r="C178" i="12"/>
  <c r="C180" i="12" s="1"/>
  <c r="R177" i="12"/>
  <c r="Q170" i="12"/>
  <c r="G170" i="12"/>
  <c r="F170" i="12"/>
  <c r="D170" i="12"/>
  <c r="R167" i="12"/>
  <c r="R166" i="12"/>
  <c r="R165" i="12"/>
  <c r="R164" i="12"/>
  <c r="R163" i="12"/>
  <c r="R162" i="12"/>
  <c r="R161" i="12"/>
  <c r="R158" i="12"/>
  <c r="Q156" i="12"/>
  <c r="P156" i="12"/>
  <c r="O156" i="12"/>
  <c r="M156" i="12"/>
  <c r="G156" i="12"/>
  <c r="F156" i="12"/>
  <c r="R155" i="12"/>
  <c r="R154" i="12"/>
  <c r="R153" i="12"/>
  <c r="R152" i="12"/>
  <c r="G139" i="12"/>
  <c r="Q137" i="12"/>
  <c r="Q139" i="12" s="1"/>
  <c r="H137" i="12"/>
  <c r="H139" i="12" s="1"/>
  <c r="G137" i="12"/>
  <c r="F137" i="12"/>
  <c r="F139" i="12" s="1"/>
  <c r="D137" i="12"/>
  <c r="D139" i="12" s="1"/>
  <c r="C137" i="12"/>
  <c r="C139" i="12" s="1"/>
  <c r="R136" i="12"/>
  <c r="Q129" i="12"/>
  <c r="G129" i="12"/>
  <c r="F129" i="12"/>
  <c r="D129" i="12"/>
  <c r="R126" i="12"/>
  <c r="R125" i="12"/>
  <c r="R124" i="12"/>
  <c r="R123" i="12"/>
  <c r="R122" i="12"/>
  <c r="R121" i="12"/>
  <c r="R120" i="12"/>
  <c r="R117" i="12"/>
  <c r="Q115" i="12"/>
  <c r="P115" i="12"/>
  <c r="O115" i="12"/>
  <c r="M115" i="12"/>
  <c r="G115" i="12"/>
  <c r="F115" i="12"/>
  <c r="R114" i="12"/>
  <c r="R113" i="12"/>
  <c r="R112" i="12"/>
  <c r="R111" i="12"/>
  <c r="D279" i="12" l="1"/>
  <c r="D274" i="12" s="1"/>
  <c r="D197" i="12"/>
  <c r="D192" i="12" s="1"/>
  <c r="D115" i="12"/>
  <c r="D110" i="12" s="1"/>
  <c r="W274" i="12"/>
  <c r="W233" i="12"/>
  <c r="W192" i="12"/>
  <c r="W151" i="12"/>
  <c r="W110" i="12"/>
  <c r="C279" i="12"/>
  <c r="D238" i="12"/>
  <c r="D233" i="12" s="1"/>
  <c r="C238" i="12"/>
  <c r="C197" i="12"/>
  <c r="C156" i="12"/>
  <c r="D156" i="12"/>
  <c r="D151" i="12" s="1"/>
  <c r="C115" i="12"/>
  <c r="AK96" i="12"/>
  <c r="AK98" i="12" s="1"/>
  <c r="AB96" i="12"/>
  <c r="AB98" i="12" s="1"/>
  <c r="AA96" i="12"/>
  <c r="AA98" i="12" s="1"/>
  <c r="Z96" i="12"/>
  <c r="Z98" i="12" s="1"/>
  <c r="X96" i="12"/>
  <c r="X98" i="12" s="1"/>
  <c r="W96" i="12"/>
  <c r="W98" i="12" s="1"/>
  <c r="AL95" i="12"/>
  <c r="AK88" i="12"/>
  <c r="AA88" i="12"/>
  <c r="Z88" i="12"/>
  <c r="X88" i="12"/>
  <c r="AL85" i="12"/>
  <c r="AL84" i="12"/>
  <c r="AL83" i="12"/>
  <c r="AL82" i="12"/>
  <c r="AL81" i="12"/>
  <c r="AL80" i="12"/>
  <c r="AL79" i="12"/>
  <c r="AL76" i="12"/>
  <c r="AK74" i="12"/>
  <c r="AJ74" i="12"/>
  <c r="AI74" i="12"/>
  <c r="AG74" i="12"/>
  <c r="AA74" i="12"/>
  <c r="Z74" i="12"/>
  <c r="AL73" i="12"/>
  <c r="AL72" i="12"/>
  <c r="AL71" i="12"/>
  <c r="AL70" i="12"/>
  <c r="R70" i="12"/>
  <c r="R71" i="12"/>
  <c r="R72" i="12"/>
  <c r="R73" i="12"/>
  <c r="F74" i="12"/>
  <c r="G74" i="12"/>
  <c r="M74" i="12"/>
  <c r="O74" i="12"/>
  <c r="P74" i="12"/>
  <c r="Q74" i="12"/>
  <c r="Q98" i="12"/>
  <c r="F98" i="12"/>
  <c r="D98" i="12"/>
  <c r="P18" i="12"/>
  <c r="R18" i="12" s="1"/>
  <c r="P17" i="12"/>
  <c r="R17" i="12"/>
  <c r="AD10" i="12"/>
  <c r="J10" i="12"/>
  <c r="W8" i="12"/>
  <c r="W7" i="12"/>
  <c r="R79" i="12"/>
  <c r="R80" i="12"/>
  <c r="R81" i="12"/>
  <c r="R82" i="12"/>
  <c r="R83" i="12"/>
  <c r="R84" i="12"/>
  <c r="R85" i="12"/>
  <c r="R76" i="12"/>
  <c r="R95" i="12"/>
  <c r="D88" i="12"/>
  <c r="D74" i="12" s="1"/>
  <c r="D69" i="12" s="1"/>
  <c r="F88" i="12"/>
  <c r="G88" i="12"/>
  <c r="Q88" i="12"/>
  <c r="D96" i="12"/>
  <c r="F96" i="12"/>
  <c r="G96" i="12"/>
  <c r="G98" i="12" s="1"/>
  <c r="H96" i="12"/>
  <c r="H98" i="12" s="1"/>
  <c r="Q96" i="12"/>
  <c r="C96" i="12"/>
  <c r="C98" i="12" s="1"/>
  <c r="C74" i="12" s="1"/>
  <c r="C69" i="12" s="1"/>
  <c r="C274" i="12" l="1"/>
  <c r="C233" i="12"/>
  <c r="C192" i="12"/>
  <c r="C151" i="12"/>
  <c r="C110" i="12"/>
  <c r="X74" i="12"/>
  <c r="X69" i="12" s="1"/>
  <c r="W74" i="12"/>
  <c r="W6" i="12"/>
  <c r="J19" i="12"/>
  <c r="L19" i="12" s="1"/>
  <c r="L18" i="12"/>
  <c r="D18" i="12"/>
  <c r="F18" i="12" s="1"/>
  <c r="J17" i="12"/>
  <c r="L17" i="12" s="1"/>
  <c r="D17" i="12"/>
  <c r="F17" i="12" s="1"/>
  <c r="W69" i="12" l="1"/>
  <c r="AE245" i="1"/>
  <c r="AE246" i="1"/>
  <c r="AE247" i="1"/>
  <c r="AE248" i="1"/>
  <c r="AE249" i="1"/>
  <c r="AE250" i="1"/>
  <c r="AE251" i="1"/>
  <c r="AE252" i="1"/>
  <c r="AE253" i="1"/>
  <c r="AE244" i="1"/>
  <c r="W253" i="1"/>
  <c r="X253" i="1"/>
  <c r="Y253" i="1"/>
  <c r="Z253" i="1"/>
  <c r="AA253" i="1"/>
  <c r="AB253" i="1"/>
  <c r="AC253" i="1"/>
  <c r="AD253" i="1"/>
  <c r="V253" i="1"/>
  <c r="S245" i="1"/>
  <c r="S246" i="1"/>
  <c r="S247" i="1"/>
  <c r="S248" i="1"/>
  <c r="S249" i="1"/>
  <c r="S250" i="1"/>
  <c r="S251" i="1"/>
  <c r="S252" i="1"/>
  <c r="S253" i="1"/>
  <c r="S244" i="1"/>
  <c r="D253" i="1"/>
  <c r="E253" i="1"/>
  <c r="F253" i="1"/>
  <c r="G253" i="1"/>
  <c r="H253" i="1"/>
  <c r="I253" i="1"/>
  <c r="J253" i="1"/>
  <c r="K253" i="1"/>
  <c r="L253" i="1"/>
  <c r="M253" i="1"/>
  <c r="N253" i="1"/>
  <c r="O253" i="1"/>
  <c r="P253" i="1"/>
  <c r="Q253" i="1"/>
  <c r="R253" i="1"/>
  <c r="C253" i="1"/>
  <c r="AE224" i="1"/>
  <c r="AE216" i="1"/>
  <c r="AE217" i="1"/>
  <c r="AE218" i="1"/>
  <c r="AE219" i="1"/>
  <c r="AE220" i="1"/>
  <c r="AE221" i="1"/>
  <c r="AE222" i="1"/>
  <c r="AE223" i="1"/>
  <c r="AE215" i="1"/>
  <c r="W224" i="1"/>
  <c r="X224" i="1"/>
  <c r="Y224" i="1"/>
  <c r="Z224" i="1"/>
  <c r="AA224" i="1"/>
  <c r="AB224" i="1"/>
  <c r="AC224" i="1"/>
  <c r="AD224" i="1"/>
  <c r="V224" i="1"/>
  <c r="S224" i="1"/>
  <c r="S216" i="1"/>
  <c r="S217" i="1"/>
  <c r="S218" i="1"/>
  <c r="S219" i="1"/>
  <c r="S220" i="1"/>
  <c r="S221" i="1"/>
  <c r="S222" i="1"/>
  <c r="S223" i="1"/>
  <c r="S215" i="1"/>
  <c r="D224" i="1"/>
  <c r="E224" i="1"/>
  <c r="F224" i="1"/>
  <c r="G224" i="1"/>
  <c r="H224" i="1"/>
  <c r="I224" i="1"/>
  <c r="J224" i="1"/>
  <c r="K224" i="1"/>
  <c r="L224" i="1"/>
  <c r="M224" i="1"/>
  <c r="N224" i="1"/>
  <c r="O224" i="1"/>
  <c r="P224" i="1"/>
  <c r="Q224" i="1"/>
  <c r="R224" i="1"/>
  <c r="C224" i="1"/>
  <c r="AE189" i="1"/>
  <c r="AE181" i="1"/>
  <c r="AE182" i="1"/>
  <c r="AE183" i="1"/>
  <c r="AE184" i="1"/>
  <c r="AE185" i="1"/>
  <c r="AE186" i="1"/>
  <c r="AE187" i="1"/>
  <c r="AE188" i="1"/>
  <c r="AE180" i="1"/>
  <c r="W189" i="1"/>
  <c r="X189" i="1"/>
  <c r="Y189" i="1"/>
  <c r="Z189" i="1"/>
  <c r="AA189" i="1"/>
  <c r="AB189" i="1"/>
  <c r="AC189" i="1"/>
  <c r="AD189" i="1"/>
  <c r="V189" i="1"/>
  <c r="S189" i="1"/>
  <c r="S181" i="1"/>
  <c r="S182" i="1"/>
  <c r="S183" i="1"/>
  <c r="S184" i="1"/>
  <c r="S185" i="1"/>
  <c r="S186" i="1"/>
  <c r="S187" i="1"/>
  <c r="S188" i="1"/>
  <c r="S180" i="1"/>
  <c r="D189" i="1"/>
  <c r="E189" i="1"/>
  <c r="F189" i="1"/>
  <c r="G189" i="1"/>
  <c r="H189" i="1"/>
  <c r="I189" i="1"/>
  <c r="J189" i="1"/>
  <c r="K189" i="1"/>
  <c r="L189" i="1"/>
  <c r="M189" i="1"/>
  <c r="N189" i="1"/>
  <c r="O189" i="1"/>
  <c r="P189" i="1"/>
  <c r="Q189" i="1"/>
  <c r="R189" i="1"/>
  <c r="C189" i="1"/>
  <c r="AE149" i="1"/>
  <c r="AE150" i="1"/>
  <c r="AE151" i="1"/>
  <c r="AE152" i="1"/>
  <c r="AE153" i="1"/>
  <c r="AE154" i="1"/>
  <c r="AE155" i="1"/>
  <c r="AE156" i="1"/>
  <c r="AE157" i="1"/>
  <c r="AE148" i="1"/>
  <c r="W157" i="1"/>
  <c r="X157" i="1"/>
  <c r="Y157" i="1"/>
  <c r="Z157" i="1"/>
  <c r="AA157" i="1"/>
  <c r="AB157" i="1"/>
  <c r="AC157" i="1"/>
  <c r="AD157" i="1"/>
  <c r="V157" i="1"/>
  <c r="S149" i="1"/>
  <c r="S150" i="1"/>
  <c r="S151" i="1"/>
  <c r="S152" i="1"/>
  <c r="S153" i="1"/>
  <c r="S154" i="1"/>
  <c r="S155" i="1"/>
  <c r="S156" i="1"/>
  <c r="S157" i="1"/>
  <c r="S148" i="1"/>
  <c r="D157" i="1"/>
  <c r="E157" i="1"/>
  <c r="F157" i="1"/>
  <c r="G157" i="1"/>
  <c r="H157" i="1"/>
  <c r="I157" i="1"/>
  <c r="J157" i="1"/>
  <c r="K157" i="1"/>
  <c r="L157" i="1"/>
  <c r="M157" i="1"/>
  <c r="N157" i="1"/>
  <c r="O157" i="1"/>
  <c r="P157" i="1"/>
  <c r="Q157" i="1"/>
  <c r="R157" i="1"/>
  <c r="C157" i="1"/>
  <c r="AE125" i="1"/>
  <c r="AE117" i="1"/>
  <c r="AE118" i="1"/>
  <c r="AE119" i="1"/>
  <c r="AE120" i="1"/>
  <c r="AE121" i="1"/>
  <c r="AE122" i="1"/>
  <c r="AE123" i="1"/>
  <c r="AE124" i="1"/>
  <c r="AE116" i="1"/>
  <c r="W125" i="1"/>
  <c r="X125" i="1"/>
  <c r="Y125" i="1"/>
  <c r="Z125" i="1"/>
  <c r="AA125" i="1"/>
  <c r="AB125" i="1"/>
  <c r="AC125" i="1"/>
  <c r="AD125" i="1"/>
  <c r="V125" i="1"/>
  <c r="S117" i="1"/>
  <c r="S118" i="1"/>
  <c r="S119" i="1"/>
  <c r="S120" i="1"/>
  <c r="S121" i="1"/>
  <c r="S122" i="1"/>
  <c r="S123" i="1"/>
  <c r="S124" i="1"/>
  <c r="S125" i="1"/>
  <c r="S116" i="1"/>
  <c r="D125" i="1"/>
  <c r="E125" i="1"/>
  <c r="F125" i="1"/>
  <c r="G125" i="1"/>
  <c r="H125" i="1"/>
  <c r="I125" i="1"/>
  <c r="J125" i="1"/>
  <c r="K125" i="1"/>
  <c r="L125" i="1"/>
  <c r="M125" i="1"/>
  <c r="N125" i="1"/>
  <c r="O125" i="1"/>
  <c r="P125" i="1"/>
  <c r="Q125" i="1"/>
  <c r="R125" i="1"/>
  <c r="C125" i="1"/>
  <c r="AE93" i="1"/>
  <c r="AE85" i="1"/>
  <c r="AE86" i="1"/>
  <c r="AE87" i="1"/>
  <c r="AE88" i="1"/>
  <c r="AE89" i="1"/>
  <c r="AE90" i="1"/>
  <c r="AE91" i="1"/>
  <c r="AE92" i="1"/>
  <c r="AE84" i="1"/>
  <c r="W93" i="1"/>
  <c r="X93" i="1"/>
  <c r="Y93" i="1"/>
  <c r="Z93" i="1"/>
  <c r="AA93" i="1"/>
  <c r="AB93" i="1"/>
  <c r="AC93" i="1"/>
  <c r="AD93" i="1"/>
  <c r="V93" i="1"/>
  <c r="S93" i="1"/>
  <c r="S85" i="1"/>
  <c r="S86" i="1"/>
  <c r="S87" i="1"/>
  <c r="S88" i="1"/>
  <c r="S89" i="1"/>
  <c r="S90" i="1"/>
  <c r="S91" i="1"/>
  <c r="S92" i="1"/>
  <c r="S84" i="1"/>
  <c r="D93" i="1"/>
  <c r="E93" i="1"/>
  <c r="F93" i="1"/>
  <c r="G93" i="1"/>
  <c r="H93" i="1"/>
  <c r="I93" i="1"/>
  <c r="J93" i="1"/>
  <c r="K93" i="1"/>
  <c r="L93" i="1"/>
  <c r="M93" i="1"/>
  <c r="N93" i="1"/>
  <c r="O93" i="1"/>
  <c r="P93" i="1"/>
  <c r="Q93" i="1"/>
  <c r="R93" i="1"/>
  <c r="C93" i="1"/>
  <c r="B22" i="4"/>
  <c r="C22" i="4"/>
  <c r="D22" i="4"/>
  <c r="E22" i="4"/>
  <c r="F22" i="4"/>
  <c r="G22" i="4"/>
  <c r="H22" i="4"/>
  <c r="I22" i="4"/>
  <c r="J22" i="4"/>
  <c r="X46" i="1" l="1"/>
  <c r="S46" i="1"/>
  <c r="D46" i="1"/>
  <c r="E14" i="6"/>
  <c r="B63" i="7" l="1"/>
  <c r="I63" i="4"/>
  <c r="H63" i="4"/>
  <c r="G63" i="4"/>
  <c r="F63" i="4"/>
  <c r="E63" i="4"/>
  <c r="D63" i="4"/>
  <c r="E43" i="4"/>
  <c r="F43" i="4"/>
  <c r="G43" i="4"/>
  <c r="H43" i="4"/>
  <c r="D43" i="4"/>
  <c r="E42" i="4"/>
  <c r="D42" i="4"/>
  <c r="W108" i="1"/>
  <c r="V108" i="1"/>
  <c r="W106" i="1"/>
  <c r="V106" i="1"/>
  <c r="Z170" i="1"/>
  <c r="Z172" i="1" s="1"/>
  <c r="Y170" i="1"/>
  <c r="Y172" i="1" s="1"/>
  <c r="D100" i="1"/>
  <c r="U32" i="10" l="1"/>
  <c r="N32" i="10"/>
  <c r="K10" i="10"/>
  <c r="J10" i="10"/>
  <c r="I10" i="10"/>
  <c r="H10" i="10"/>
  <c r="G10" i="10"/>
  <c r="F10" i="10"/>
  <c r="E10" i="10"/>
  <c r="D10" i="10"/>
  <c r="C10" i="10"/>
  <c r="C11" i="10" s="1"/>
  <c r="B10" i="10"/>
  <c r="B11" i="10" s="1"/>
  <c r="I9" i="10"/>
  <c r="H9" i="10"/>
  <c r="B9" i="10"/>
  <c r="K8" i="10"/>
  <c r="B19" i="10" s="1"/>
  <c r="J8" i="10"/>
  <c r="J9" i="10" s="1"/>
  <c r="I8" i="10"/>
  <c r="H8" i="10"/>
  <c r="G8" i="10"/>
  <c r="G9" i="10" s="1"/>
  <c r="F8" i="10"/>
  <c r="F9" i="10" s="1"/>
  <c r="F11" i="10" s="1"/>
  <c r="E8" i="10"/>
  <c r="E9" i="10" s="1"/>
  <c r="E11" i="10" s="1"/>
  <c r="D8" i="10"/>
  <c r="D9" i="10" s="1"/>
  <c r="D11" i="10" s="1"/>
  <c r="C8" i="10"/>
  <c r="C9" i="10" s="1"/>
  <c r="B8" i="10"/>
  <c r="L7" i="10"/>
  <c r="K7" i="10"/>
  <c r="J7" i="10"/>
  <c r="J5" i="10" s="1"/>
  <c r="I7" i="10"/>
  <c r="I5" i="10" s="1"/>
  <c r="B18" i="10"/>
  <c r="B30" i="10" s="1"/>
  <c r="K5" i="9"/>
  <c r="B16" i="9" s="1"/>
  <c r="J5" i="9"/>
  <c r="I5" i="9"/>
  <c r="H5" i="9"/>
  <c r="G5" i="9"/>
  <c r="F5" i="9"/>
  <c r="E5" i="9"/>
  <c r="D5" i="9"/>
  <c r="C5" i="9"/>
  <c r="B5" i="9"/>
  <c r="AR29" i="8"/>
  <c r="AO29" i="8"/>
  <c r="E46" i="8"/>
  <c r="AG45" i="8"/>
  <c r="AA265" i="1" s="1"/>
  <c r="AB45" i="8"/>
  <c r="AA45" i="8"/>
  <c r="Z45" i="8"/>
  <c r="X45" i="8"/>
  <c r="W45" i="8"/>
  <c r="V45" i="8"/>
  <c r="T45" i="8"/>
  <c r="S45" i="8"/>
  <c r="R45" i="8"/>
  <c r="P45" i="8"/>
  <c r="O45" i="8"/>
  <c r="N45" i="8"/>
  <c r="L45" i="8"/>
  <c r="K45" i="8"/>
  <c r="J45" i="8"/>
  <c r="H45" i="8"/>
  <c r="G45" i="8"/>
  <c r="F45" i="8"/>
  <c r="AG44" i="8"/>
  <c r="AI299" i="12" s="1"/>
  <c r="AB44" i="8"/>
  <c r="AA44" i="8"/>
  <c r="Z44" i="8"/>
  <c r="X44" i="8"/>
  <c r="W44" i="8"/>
  <c r="V44" i="8"/>
  <c r="T44" i="8"/>
  <c r="S44" i="8"/>
  <c r="R44" i="8"/>
  <c r="P44" i="8"/>
  <c r="O44" i="8"/>
  <c r="N44" i="8"/>
  <c r="L44" i="8"/>
  <c r="K44" i="8"/>
  <c r="J44" i="8"/>
  <c r="H44" i="8"/>
  <c r="G44" i="8"/>
  <c r="F44" i="8"/>
  <c r="AG43" i="8"/>
  <c r="Y43" i="8" s="1"/>
  <c r="AB43" i="8"/>
  <c r="AA43" i="8"/>
  <c r="Z43" i="8"/>
  <c r="X43" i="8"/>
  <c r="W43" i="8"/>
  <c r="V43" i="8"/>
  <c r="T43" i="8"/>
  <c r="S43" i="8"/>
  <c r="R43" i="8"/>
  <c r="P43" i="8"/>
  <c r="O43" i="8"/>
  <c r="N43" i="8"/>
  <c r="L43" i="8"/>
  <c r="K43" i="8"/>
  <c r="J43" i="8"/>
  <c r="H43" i="8"/>
  <c r="G43" i="8"/>
  <c r="F43" i="8"/>
  <c r="Y36" i="8"/>
  <c r="AD8" i="12" s="1"/>
  <c r="U36" i="8"/>
  <c r="T36" i="8"/>
  <c r="R36" i="8"/>
  <c r="Q36" i="8"/>
  <c r="S36" i="8" s="1"/>
  <c r="AB8" i="12" s="1"/>
  <c r="O36" i="8"/>
  <c r="N36" i="8"/>
  <c r="L36" i="8"/>
  <c r="K36" i="8"/>
  <c r="I36" i="8"/>
  <c r="H36" i="8"/>
  <c r="F36" i="8"/>
  <c r="E36" i="8"/>
  <c r="Y35" i="8"/>
  <c r="AD7" i="12" s="1"/>
  <c r="U35" i="8"/>
  <c r="T35" i="8"/>
  <c r="R35" i="8"/>
  <c r="Q35" i="8"/>
  <c r="O35" i="8"/>
  <c r="N35" i="8"/>
  <c r="L35" i="8"/>
  <c r="K35" i="8"/>
  <c r="I35" i="8"/>
  <c r="H35" i="8"/>
  <c r="F35" i="8"/>
  <c r="E35" i="8"/>
  <c r="G29" i="8"/>
  <c r="U28" i="8"/>
  <c r="T28" i="8"/>
  <c r="R28" i="8"/>
  <c r="Q28" i="8"/>
  <c r="O28" i="8"/>
  <c r="N28" i="8"/>
  <c r="L28" i="8"/>
  <c r="K28" i="8"/>
  <c r="I28" i="8"/>
  <c r="H28" i="8"/>
  <c r="F28" i="8"/>
  <c r="E28" i="8"/>
  <c r="U27" i="8"/>
  <c r="T27" i="8"/>
  <c r="R27" i="8"/>
  <c r="Q27" i="8"/>
  <c r="O27" i="8"/>
  <c r="N27" i="8"/>
  <c r="L27" i="8"/>
  <c r="K27" i="8"/>
  <c r="I27" i="8"/>
  <c r="H27" i="8"/>
  <c r="F27" i="8"/>
  <c r="E27" i="8"/>
  <c r="U20" i="8"/>
  <c r="T20" i="8"/>
  <c r="R20" i="8"/>
  <c r="Q20" i="8"/>
  <c r="O20" i="8"/>
  <c r="N20" i="8"/>
  <c r="L20" i="8"/>
  <c r="K20" i="8"/>
  <c r="I20" i="8"/>
  <c r="H20" i="8"/>
  <c r="F20" i="8"/>
  <c r="E20" i="8"/>
  <c r="U19" i="8"/>
  <c r="T19" i="8"/>
  <c r="R19" i="8"/>
  <c r="Q19" i="8"/>
  <c r="O19" i="8"/>
  <c r="N19" i="8"/>
  <c r="L19" i="8"/>
  <c r="K19" i="8"/>
  <c r="I19" i="8"/>
  <c r="H19" i="8"/>
  <c r="F19" i="8"/>
  <c r="E19" i="8"/>
  <c r="L13" i="8"/>
  <c r="K13" i="8"/>
  <c r="D28" i="8" s="1"/>
  <c r="J13" i="8"/>
  <c r="I13" i="8"/>
  <c r="H13" i="8"/>
  <c r="G13" i="8"/>
  <c r="F13" i="8"/>
  <c r="E13" i="8"/>
  <c r="L12" i="8"/>
  <c r="K12" i="8"/>
  <c r="D27" i="8" s="1"/>
  <c r="Y27" i="8" s="1"/>
  <c r="E299" i="12" s="1"/>
  <c r="J12" i="8"/>
  <c r="I12" i="8"/>
  <c r="H12" i="8"/>
  <c r="G12" i="8"/>
  <c r="F12" i="8"/>
  <c r="E12" i="8"/>
  <c r="H10" i="8"/>
  <c r="G10" i="8"/>
  <c r="F10" i="8"/>
  <c r="E10" i="8"/>
  <c r="C10" i="8"/>
  <c r="B10" i="8"/>
  <c r="K7" i="8"/>
  <c r="J7" i="8"/>
  <c r="I7" i="8"/>
  <c r="H7" i="8"/>
  <c r="G7" i="8"/>
  <c r="F7" i="8"/>
  <c r="E7" i="8"/>
  <c r="D7" i="8"/>
  <c r="C7" i="8"/>
  <c r="B7" i="8"/>
  <c r="K6" i="8"/>
  <c r="D19" i="8" s="1"/>
  <c r="C7" i="12" s="1"/>
  <c r="J6" i="8"/>
  <c r="J8" i="8" s="1"/>
  <c r="J9" i="8" s="1"/>
  <c r="I6" i="8"/>
  <c r="I8" i="8" s="1"/>
  <c r="I9" i="8" s="1"/>
  <c r="H6" i="8"/>
  <c r="G6" i="8"/>
  <c r="F6" i="8"/>
  <c r="F8" i="8" s="1"/>
  <c r="F9" i="8" s="1"/>
  <c r="E6" i="8"/>
  <c r="E8" i="8" s="1"/>
  <c r="E9" i="8" s="1"/>
  <c r="D6" i="8"/>
  <c r="C6" i="8"/>
  <c r="B6" i="8"/>
  <c r="K5" i="8"/>
  <c r="K11" i="8" s="1"/>
  <c r="J5" i="8"/>
  <c r="J11" i="8" s="1"/>
  <c r="I5" i="8"/>
  <c r="I11" i="8" s="1"/>
  <c r="H5" i="8"/>
  <c r="G5" i="8"/>
  <c r="F5" i="8"/>
  <c r="E5" i="8"/>
  <c r="D5" i="8"/>
  <c r="C5" i="8"/>
  <c r="B5" i="8"/>
  <c r="C170" i="7"/>
  <c r="B170" i="7"/>
  <c r="B184" i="7" s="1"/>
  <c r="C169" i="7"/>
  <c r="C183" i="7" s="1"/>
  <c r="B169" i="7"/>
  <c r="C168" i="7"/>
  <c r="C182" i="7" s="1"/>
  <c r="B168" i="7"/>
  <c r="B182" i="7" s="1"/>
  <c r="I154" i="7"/>
  <c r="G154" i="7"/>
  <c r="E154" i="7"/>
  <c r="C154" i="7"/>
  <c r="B154" i="7" s="1"/>
  <c r="I149" i="7"/>
  <c r="G149" i="7"/>
  <c r="E149" i="7"/>
  <c r="F149" i="7" s="1"/>
  <c r="C149" i="7"/>
  <c r="B149" i="7" s="1"/>
  <c r="B142" i="7"/>
  <c r="H137" i="7"/>
  <c r="B137" i="7"/>
  <c r="J122" i="7"/>
  <c r="J109" i="7"/>
  <c r="J107" i="7"/>
  <c r="B102" i="7"/>
  <c r="C101" i="7" s="1"/>
  <c r="C74" i="7"/>
  <c r="C90" i="7" s="1"/>
  <c r="B64" i="7"/>
  <c r="I45" i="7"/>
  <c r="I44" i="7"/>
  <c r="I43" i="7"/>
  <c r="C34" i="7"/>
  <c r="C49" i="7" s="1"/>
  <c r="C30" i="7"/>
  <c r="C45" i="7" s="1"/>
  <c r="C29" i="7"/>
  <c r="C44" i="7" s="1"/>
  <c r="I28" i="7"/>
  <c r="C28" i="7"/>
  <c r="C43" i="7" s="1"/>
  <c r="B164" i="7"/>
  <c r="C163" i="7"/>
  <c r="K17" i="7"/>
  <c r="J17" i="7"/>
  <c r="I17" i="7"/>
  <c r="H17" i="7"/>
  <c r="G17" i="7"/>
  <c r="F17" i="7"/>
  <c r="E17" i="7"/>
  <c r="D17" i="7"/>
  <c r="C17" i="7"/>
  <c r="B17" i="7"/>
  <c r="L16" i="7"/>
  <c r="K16" i="7"/>
  <c r="B165" i="7" s="1"/>
  <c r="J16" i="7"/>
  <c r="I16" i="7"/>
  <c r="H16" i="7"/>
  <c r="G16" i="7"/>
  <c r="F16" i="7"/>
  <c r="E16" i="7"/>
  <c r="K13" i="7"/>
  <c r="J13" i="7"/>
  <c r="J15" i="7" s="1"/>
  <c r="I13" i="7"/>
  <c r="I15" i="7" s="1"/>
  <c r="H13" i="7"/>
  <c r="H15" i="7" s="1"/>
  <c r="G13" i="7"/>
  <c r="F13" i="7"/>
  <c r="F15" i="7" s="1"/>
  <c r="E13" i="7"/>
  <c r="E15" i="7" s="1"/>
  <c r="D13" i="7"/>
  <c r="D15" i="7" s="1"/>
  <c r="C13" i="7"/>
  <c r="C15" i="7" s="1"/>
  <c r="B13" i="7"/>
  <c r="B15" i="7" s="1"/>
  <c r="H10" i="7"/>
  <c r="G10" i="7"/>
  <c r="B28" i="7" s="1"/>
  <c r="B43" i="7" s="1"/>
  <c r="F10" i="7"/>
  <c r="E10" i="7"/>
  <c r="D10" i="7"/>
  <c r="C10" i="7"/>
  <c r="B9" i="7"/>
  <c r="H8" i="7"/>
  <c r="G8" i="7"/>
  <c r="B26" i="7" s="1"/>
  <c r="B41" i="7" s="1"/>
  <c r="F8" i="7"/>
  <c r="E8" i="7"/>
  <c r="D8" i="7"/>
  <c r="C8" i="7"/>
  <c r="L7" i="7"/>
  <c r="K7" i="7"/>
  <c r="C25" i="7" s="1"/>
  <c r="J7" i="7"/>
  <c r="I7" i="7"/>
  <c r="I9" i="7" s="1"/>
  <c r="H7" i="7"/>
  <c r="G7" i="7"/>
  <c r="B25" i="7" s="1"/>
  <c r="B40" i="7" s="1"/>
  <c r="F7" i="7"/>
  <c r="E7" i="7"/>
  <c r="D7" i="7"/>
  <c r="C7" i="7"/>
  <c r="B7" i="7"/>
  <c r="D60" i="6"/>
  <c r="H58" i="6"/>
  <c r="G58" i="6"/>
  <c r="F58" i="6"/>
  <c r="E58" i="6"/>
  <c r="D58" i="6"/>
  <c r="C58" i="6"/>
  <c r="H54" i="6"/>
  <c r="G54" i="6"/>
  <c r="F54" i="6"/>
  <c r="E54" i="6"/>
  <c r="D54" i="6"/>
  <c r="C54" i="6"/>
  <c r="H53" i="6"/>
  <c r="G53" i="6"/>
  <c r="F53" i="6"/>
  <c r="E53" i="6"/>
  <c r="D53" i="6"/>
  <c r="C53" i="6"/>
  <c r="I52" i="6"/>
  <c r="H52" i="6"/>
  <c r="G52" i="6"/>
  <c r="F52" i="6"/>
  <c r="E52" i="6"/>
  <c r="D52" i="6"/>
  <c r="C52" i="6"/>
  <c r="H33" i="6"/>
  <c r="G33" i="6"/>
  <c r="F33" i="6"/>
  <c r="E33" i="6"/>
  <c r="D33" i="6"/>
  <c r="C33" i="6"/>
  <c r="C26" i="6"/>
  <c r="C46" i="6" s="1"/>
  <c r="L19" i="6"/>
  <c r="C39" i="6" s="1"/>
  <c r="K19" i="6"/>
  <c r="J19" i="6"/>
  <c r="I19" i="6"/>
  <c r="H19" i="6"/>
  <c r="G19" i="6"/>
  <c r="F19" i="6"/>
  <c r="E19" i="6"/>
  <c r="L18" i="6"/>
  <c r="C62" i="6" s="1"/>
  <c r="K18" i="6"/>
  <c r="B62" i="6" s="1"/>
  <c r="J18" i="6"/>
  <c r="I18" i="6"/>
  <c r="H18" i="6"/>
  <c r="G18" i="6"/>
  <c r="F18" i="6"/>
  <c r="E18" i="6"/>
  <c r="L17" i="6"/>
  <c r="C59" i="6" s="1"/>
  <c r="C61" i="6" s="1"/>
  <c r="K17" i="6"/>
  <c r="J17" i="6"/>
  <c r="I17" i="6"/>
  <c r="H17" i="6"/>
  <c r="G17" i="6"/>
  <c r="F17" i="6"/>
  <c r="E17" i="6"/>
  <c r="K16" i="6"/>
  <c r="J16" i="6"/>
  <c r="I16" i="6"/>
  <c r="H16" i="6"/>
  <c r="G16" i="6"/>
  <c r="F16" i="6"/>
  <c r="E16" i="6"/>
  <c r="D16" i="6"/>
  <c r="C16" i="6"/>
  <c r="B16" i="6"/>
  <c r="L15" i="6"/>
  <c r="C57" i="6" s="1"/>
  <c r="K15" i="6"/>
  <c r="B57" i="6" s="1"/>
  <c r="J15" i="6"/>
  <c r="I15" i="6"/>
  <c r="H15" i="6"/>
  <c r="G15" i="6"/>
  <c r="F15" i="6"/>
  <c r="E15" i="6"/>
  <c r="L14" i="6"/>
  <c r="C56" i="6" s="1"/>
  <c r="K14" i="6"/>
  <c r="B56" i="6" s="1"/>
  <c r="J14" i="6"/>
  <c r="I14" i="6"/>
  <c r="H14" i="6"/>
  <c r="G14" i="6"/>
  <c r="F14" i="6"/>
  <c r="H10" i="6"/>
  <c r="G10" i="6"/>
  <c r="F10" i="6"/>
  <c r="E10" i="6"/>
  <c r="C10" i="6"/>
  <c r="B10" i="6"/>
  <c r="L9" i="6"/>
  <c r="C28" i="6" s="1"/>
  <c r="C29" i="6" s="1"/>
  <c r="J9" i="6"/>
  <c r="J10" i="6" s="1"/>
  <c r="I9" i="6"/>
  <c r="I10" i="6" s="1"/>
  <c r="D9" i="6"/>
  <c r="D10" i="6" s="1"/>
  <c r="H8" i="6"/>
  <c r="G8" i="6"/>
  <c r="F8" i="6"/>
  <c r="E8" i="6"/>
  <c r="C6" i="6"/>
  <c r="D6" i="6" s="1"/>
  <c r="B6" i="6"/>
  <c r="B8" i="6" s="1"/>
  <c r="E70" i="5"/>
  <c r="D70" i="5"/>
  <c r="C70" i="5"/>
  <c r="B70" i="5"/>
  <c r="F68" i="5"/>
  <c r="G68" i="5" s="1"/>
  <c r="H68" i="5" s="1"/>
  <c r="I68" i="5" s="1"/>
  <c r="J68" i="5" s="1"/>
  <c r="K68" i="5" s="1"/>
  <c r="E66" i="5"/>
  <c r="D66" i="5"/>
  <c r="C66" i="5"/>
  <c r="B66" i="5"/>
  <c r="K65" i="5"/>
  <c r="J65" i="5"/>
  <c r="I65" i="5"/>
  <c r="H65" i="5"/>
  <c r="G65" i="5"/>
  <c r="F65" i="5"/>
  <c r="E65" i="5"/>
  <c r="D65" i="5"/>
  <c r="C65" i="5"/>
  <c r="B65" i="5"/>
  <c r="E64" i="5"/>
  <c r="E72" i="5" s="1"/>
  <c r="D64" i="5"/>
  <c r="D72" i="5" s="1"/>
  <c r="C64" i="5"/>
  <c r="B64" i="5"/>
  <c r="B72" i="5" s="1"/>
  <c r="K62" i="5"/>
  <c r="J62" i="5"/>
  <c r="I62" i="5"/>
  <c r="H62" i="5"/>
  <c r="G62" i="5"/>
  <c r="F62" i="5"/>
  <c r="E62" i="5"/>
  <c r="E60" i="5"/>
  <c r="D60" i="5"/>
  <c r="C60" i="5"/>
  <c r="B60" i="5"/>
  <c r="K59" i="5"/>
  <c r="J59" i="5"/>
  <c r="I59" i="5"/>
  <c r="H59" i="5"/>
  <c r="G59" i="5"/>
  <c r="F59" i="5"/>
  <c r="E59" i="5"/>
  <c r="D59" i="5"/>
  <c r="C59" i="5"/>
  <c r="B59" i="5"/>
  <c r="E46" i="5"/>
  <c r="D46" i="5"/>
  <c r="C46" i="5"/>
  <c r="B46" i="5"/>
  <c r="D45" i="5"/>
  <c r="E43" i="5"/>
  <c r="D43" i="5"/>
  <c r="C43" i="5"/>
  <c r="B43" i="5"/>
  <c r="F41" i="5"/>
  <c r="G41" i="5" s="1"/>
  <c r="H41" i="5" s="1"/>
  <c r="I41" i="5" s="1"/>
  <c r="J41" i="5" s="1"/>
  <c r="K41" i="5" s="1"/>
  <c r="E39" i="5"/>
  <c r="D39" i="5"/>
  <c r="C39" i="5"/>
  <c r="B39" i="5"/>
  <c r="K38" i="5"/>
  <c r="J38" i="5"/>
  <c r="I38" i="5"/>
  <c r="H38" i="5"/>
  <c r="G38" i="5"/>
  <c r="F38" i="5"/>
  <c r="E38" i="5"/>
  <c r="D38" i="5"/>
  <c r="C38" i="5"/>
  <c r="B38" i="5"/>
  <c r="E37" i="5"/>
  <c r="E45" i="5" s="1"/>
  <c r="D37" i="5"/>
  <c r="C37" i="5"/>
  <c r="C45" i="5" s="1"/>
  <c r="B37" i="5"/>
  <c r="B45" i="5" s="1"/>
  <c r="E33" i="5"/>
  <c r="D33" i="5"/>
  <c r="C33" i="5"/>
  <c r="B33" i="5"/>
  <c r="J32" i="5"/>
  <c r="I32" i="5"/>
  <c r="H32" i="5"/>
  <c r="E32" i="5"/>
  <c r="D32" i="5"/>
  <c r="F32" i="5" s="1"/>
  <c r="C32" i="5"/>
  <c r="B32" i="5"/>
  <c r="K29" i="5"/>
  <c r="K56" i="5" s="1"/>
  <c r="J29" i="5"/>
  <c r="J56" i="5" s="1"/>
  <c r="C29" i="5"/>
  <c r="G29" i="5" s="1"/>
  <c r="G56" i="5" s="1"/>
  <c r="C27" i="5"/>
  <c r="H20" i="5"/>
  <c r="I20" i="5" s="1"/>
  <c r="G17" i="5"/>
  <c r="G19" i="5" s="1"/>
  <c r="H16" i="5"/>
  <c r="H18" i="5" s="1"/>
  <c r="G16" i="5"/>
  <c r="G18" i="5" s="1"/>
  <c r="G20" i="5" s="1"/>
  <c r="H64" i="4"/>
  <c r="G64" i="4"/>
  <c r="F64" i="4"/>
  <c r="E64" i="4"/>
  <c r="D64" i="4"/>
  <c r="X265" i="1"/>
  <c r="X264" i="1"/>
  <c r="X263" i="1"/>
  <c r="AD266" i="1"/>
  <c r="AD268" i="1" s="1"/>
  <c r="Y266" i="1"/>
  <c r="Y268" i="1" s="1"/>
  <c r="R266" i="1"/>
  <c r="R268" i="1" s="1"/>
  <c r="F266" i="1"/>
  <c r="F268" i="1" s="1"/>
  <c r="S257" i="1"/>
  <c r="AE256" i="1"/>
  <c r="S256" i="1"/>
  <c r="D260" i="1"/>
  <c r="AD237" i="1"/>
  <c r="AD239" i="1" s="1"/>
  <c r="Z237" i="1"/>
  <c r="Z239" i="1" s="1"/>
  <c r="Y237" i="1"/>
  <c r="Y239" i="1" s="1"/>
  <c r="F237" i="1"/>
  <c r="AE228" i="1"/>
  <c r="S228" i="1"/>
  <c r="AE227" i="1"/>
  <c r="D231" i="1"/>
  <c r="Y202" i="1"/>
  <c r="Y204" i="1" s="1"/>
  <c r="F202" i="1"/>
  <c r="F204" i="1" s="1"/>
  <c r="S192" i="1"/>
  <c r="AD170" i="1"/>
  <c r="AD172" i="1" s="1"/>
  <c r="G170" i="1"/>
  <c r="G172" i="1" s="1"/>
  <c r="F170" i="1"/>
  <c r="F172" i="1" s="1"/>
  <c r="S161" i="1"/>
  <c r="AE160" i="1"/>
  <c r="W164" i="1"/>
  <c r="D164" i="1"/>
  <c r="R138" i="1"/>
  <c r="R140" i="1" s="1"/>
  <c r="G138" i="1"/>
  <c r="G140" i="1" s="1"/>
  <c r="F138" i="1"/>
  <c r="F140" i="1" s="1"/>
  <c r="AE129" i="1"/>
  <c r="S129" i="1"/>
  <c r="W132" i="1"/>
  <c r="S126" i="1"/>
  <c r="D108" i="1"/>
  <c r="C108" i="1"/>
  <c r="D106" i="1"/>
  <c r="C106" i="1"/>
  <c r="T105" i="1"/>
  <c r="T104" i="1"/>
  <c r="T103" i="1"/>
  <c r="R106" i="1"/>
  <c r="R108" i="1" s="1"/>
  <c r="AD106" i="1"/>
  <c r="AD108" i="1" s="1"/>
  <c r="Z106" i="1"/>
  <c r="Z108" i="1" s="1"/>
  <c r="F106" i="1"/>
  <c r="F108" i="1" s="1"/>
  <c r="AE97" i="1"/>
  <c r="S97" i="1"/>
  <c r="S96" i="1"/>
  <c r="Y100" i="1"/>
  <c r="S94" i="1"/>
  <c r="X47" i="1"/>
  <c r="Q47" i="1"/>
  <c r="P47" i="1"/>
  <c r="D47" i="1"/>
  <c r="T46" i="1"/>
  <c r="Q46" i="1"/>
  <c r="P46" i="1"/>
  <c r="AD10" i="1"/>
  <c r="J10" i="1"/>
  <c r="AD8" i="1"/>
  <c r="AB8" i="1"/>
  <c r="W8" i="1"/>
  <c r="W7" i="1"/>
  <c r="C7" i="1"/>
  <c r="K5" i="10" l="1"/>
  <c r="H154" i="7"/>
  <c r="K15" i="7"/>
  <c r="C31" i="7"/>
  <c r="G15" i="7"/>
  <c r="B33" i="7" s="1"/>
  <c r="B48" i="7" s="1"/>
  <c r="B31" i="7"/>
  <c r="B46" i="7" s="1"/>
  <c r="Y217" i="12"/>
  <c r="X201" i="1"/>
  <c r="U43" i="8"/>
  <c r="I43" i="8"/>
  <c r="H13" i="6"/>
  <c r="I32" i="7"/>
  <c r="C40" i="7"/>
  <c r="I31" i="7"/>
  <c r="C27" i="7"/>
  <c r="C42" i="7" s="1"/>
  <c r="G16" i="9"/>
  <c r="W10" i="12"/>
  <c r="H16" i="9"/>
  <c r="F16" i="9"/>
  <c r="C16" i="9"/>
  <c r="W10" i="1"/>
  <c r="B10" i="9"/>
  <c r="AD6" i="12"/>
  <c r="AC45" i="8"/>
  <c r="AE299" i="12"/>
  <c r="J35" i="8"/>
  <c r="Y7" i="12" s="1"/>
  <c r="M43" i="8"/>
  <c r="Y299" i="12"/>
  <c r="AL299" i="12" s="1"/>
  <c r="D137" i="7"/>
  <c r="F142" i="7"/>
  <c r="G43" i="7"/>
  <c r="H142" i="7"/>
  <c r="C72" i="5"/>
  <c r="H29" i="5"/>
  <c r="H56" i="5" s="1"/>
  <c r="I29" i="5"/>
  <c r="I56" i="5" s="1"/>
  <c r="AD7" i="1"/>
  <c r="AD6" i="1" s="1"/>
  <c r="P35" i="8"/>
  <c r="G8" i="8"/>
  <c r="G9" i="8" s="1"/>
  <c r="B8" i="8"/>
  <c r="B9" i="8" s="1"/>
  <c r="C8" i="8"/>
  <c r="C9" i="8" s="1"/>
  <c r="D8" i="8"/>
  <c r="D9" i="8" s="1"/>
  <c r="V35" i="8"/>
  <c r="AC7" i="12" s="1"/>
  <c r="G35" i="8"/>
  <c r="G37" i="8" s="1"/>
  <c r="Y7" i="1"/>
  <c r="AC7" i="1"/>
  <c r="M36" i="8"/>
  <c r="E11" i="8"/>
  <c r="S35" i="8"/>
  <c r="AB7" i="12" s="1"/>
  <c r="AB6" i="12" s="1"/>
  <c r="P36" i="8"/>
  <c r="V36" i="8"/>
  <c r="G36" i="8"/>
  <c r="M35" i="8"/>
  <c r="Z7" i="12" s="1"/>
  <c r="Y19" i="8"/>
  <c r="J36" i="8"/>
  <c r="G28" i="7"/>
  <c r="B27" i="7"/>
  <c r="B42" i="7" s="1"/>
  <c r="D43" i="7"/>
  <c r="B111" i="7"/>
  <c r="B126" i="7" s="1"/>
  <c r="B181" i="7" s="1"/>
  <c r="D149" i="7"/>
  <c r="H9" i="7"/>
  <c r="H43" i="7"/>
  <c r="D28" i="7"/>
  <c r="C176" i="7"/>
  <c r="E28" i="7"/>
  <c r="F28" i="7"/>
  <c r="C111" i="7"/>
  <c r="C126" i="7" s="1"/>
  <c r="B178" i="7"/>
  <c r="I26" i="7"/>
  <c r="H28" i="7"/>
  <c r="C9" i="7"/>
  <c r="E9" i="7"/>
  <c r="C184" i="7"/>
  <c r="E13" i="6"/>
  <c r="G13" i="6"/>
  <c r="B35" i="6"/>
  <c r="C35" i="6"/>
  <c r="B36" i="6"/>
  <c r="K9" i="6"/>
  <c r="K10" i="6" s="1"/>
  <c r="C36" i="6"/>
  <c r="C63" i="6"/>
  <c r="B29" i="6"/>
  <c r="B49" i="6" s="1"/>
  <c r="B52" i="6" s="1"/>
  <c r="C37" i="6"/>
  <c r="B27" i="6"/>
  <c r="B47" i="6" s="1"/>
  <c r="B13" i="6"/>
  <c r="B38" i="6"/>
  <c r="C38" i="6"/>
  <c r="C8" i="6"/>
  <c r="C13" i="6" s="1"/>
  <c r="D48" i="1"/>
  <c r="W6" i="1"/>
  <c r="Y164" i="1"/>
  <c r="S160" i="1"/>
  <c r="R237" i="1"/>
  <c r="R239" i="1" s="1"/>
  <c r="P48" i="1"/>
  <c r="AE128" i="1"/>
  <c r="Y231" i="1"/>
  <c r="X48" i="1"/>
  <c r="S227" i="1"/>
  <c r="S128" i="1"/>
  <c r="AE96" i="1"/>
  <c r="Q48" i="1"/>
  <c r="F196" i="1"/>
  <c r="F100" i="1"/>
  <c r="W100" i="1"/>
  <c r="D196" i="1"/>
  <c r="W260" i="1"/>
  <c r="G9" i="7"/>
  <c r="H11" i="8"/>
  <c r="H34" i="7"/>
  <c r="H49" i="7" s="1"/>
  <c r="I34" i="7"/>
  <c r="I49" i="7" s="1"/>
  <c r="AE94" i="1"/>
  <c r="W231" i="1"/>
  <c r="F13" i="6"/>
  <c r="AC44" i="8"/>
  <c r="Q44" i="8"/>
  <c r="Y44" i="8"/>
  <c r="M44" i="8"/>
  <c r="AB265" i="1"/>
  <c r="AE265" i="1" s="1"/>
  <c r="I44" i="8"/>
  <c r="U44" i="8"/>
  <c r="Y260" i="1"/>
  <c r="E73" i="5"/>
  <c r="R170" i="1"/>
  <c r="R172" i="1" s="1"/>
  <c r="S225" i="1"/>
  <c r="AE225" i="1"/>
  <c r="AE161" i="1"/>
  <c r="F231" i="1"/>
  <c r="G106" i="1"/>
  <c r="G108" i="1" s="1"/>
  <c r="AE126" i="1"/>
  <c r="Y138" i="1"/>
  <c r="Y140" i="1" s="1"/>
  <c r="S158" i="1"/>
  <c r="S254" i="1"/>
  <c r="F260" i="1"/>
  <c r="Z138" i="1"/>
  <c r="Z140" i="1" s="1"/>
  <c r="F239" i="1"/>
  <c r="R202" i="1"/>
  <c r="R204" i="1" s="1"/>
  <c r="Y106" i="1"/>
  <c r="Y108" i="1" s="1"/>
  <c r="D132" i="1"/>
  <c r="Y132" i="1"/>
  <c r="F164" i="1"/>
  <c r="AD138" i="1"/>
  <c r="AD140" i="1" s="1"/>
  <c r="W196" i="1"/>
  <c r="G266" i="1"/>
  <c r="G268" i="1" s="1"/>
  <c r="B183" i="7"/>
  <c r="F132" i="1"/>
  <c r="AE190" i="1"/>
  <c r="AE193" i="1"/>
  <c r="Z202" i="1"/>
  <c r="Z204" i="1" s="1"/>
  <c r="S190" i="1"/>
  <c r="Y196" i="1"/>
  <c r="AE192" i="1"/>
  <c r="AD202" i="1"/>
  <c r="AD204" i="1" s="1"/>
  <c r="AE257" i="1"/>
  <c r="I26" i="6"/>
  <c r="H19" i="5"/>
  <c r="I18" i="5"/>
  <c r="B36" i="5" s="1"/>
  <c r="G237" i="1"/>
  <c r="G239" i="1" s="1"/>
  <c r="C61" i="7"/>
  <c r="C73" i="7" s="1"/>
  <c r="C60" i="7"/>
  <c r="C72" i="7" s="1"/>
  <c r="C59" i="7"/>
  <c r="C71" i="7" s="1"/>
  <c r="C58" i="7"/>
  <c r="C70" i="7" s="1"/>
  <c r="C57" i="7"/>
  <c r="F154" i="7"/>
  <c r="D154" i="7"/>
  <c r="G202" i="1"/>
  <c r="G204" i="1" s="1"/>
  <c r="C28" i="5"/>
  <c r="C55" i="5" s="1"/>
  <c r="C54" i="5"/>
  <c r="D27" i="5"/>
  <c r="E265" i="1"/>
  <c r="B39" i="6"/>
  <c r="B63" i="6"/>
  <c r="B74" i="7"/>
  <c r="M28" i="8"/>
  <c r="Y28" i="8"/>
  <c r="V28" i="8"/>
  <c r="J28" i="8"/>
  <c r="S28" i="8"/>
  <c r="P28" i="8"/>
  <c r="AE158" i="1"/>
  <c r="AE254" i="1"/>
  <c r="B73" i="5"/>
  <c r="B177" i="7"/>
  <c r="B163" i="7"/>
  <c r="S193" i="1"/>
  <c r="Z266" i="1"/>
  <c r="Z268" i="1" s="1"/>
  <c r="C73" i="5"/>
  <c r="D8" i="6"/>
  <c r="D13" i="6" s="1"/>
  <c r="E60" i="6"/>
  <c r="I20" i="10"/>
  <c r="B179" i="7"/>
  <c r="F137" i="7"/>
  <c r="V27" i="8"/>
  <c r="E258" i="12" s="1"/>
  <c r="J27" i="8"/>
  <c r="D29" i="8"/>
  <c r="S27" i="8"/>
  <c r="E217" i="12" s="1"/>
  <c r="P27" i="8"/>
  <c r="E176" i="12" s="1"/>
  <c r="M27" i="8"/>
  <c r="E135" i="12" s="1"/>
  <c r="AG46" i="8"/>
  <c r="K6" i="6"/>
  <c r="K8" i="6" s="1"/>
  <c r="J6" i="6"/>
  <c r="J8" i="6" s="1"/>
  <c r="J13" i="6" s="1"/>
  <c r="I6" i="6"/>
  <c r="I8" i="6" s="1"/>
  <c r="I13" i="6" s="1"/>
  <c r="G11" i="10"/>
  <c r="D29" i="5"/>
  <c r="D56" i="5" s="1"/>
  <c r="C56" i="5"/>
  <c r="D73" i="5"/>
  <c r="D9" i="7"/>
  <c r="H8" i="8"/>
  <c r="H9" i="8" s="1"/>
  <c r="F11" i="8"/>
  <c r="H11" i="10"/>
  <c r="E29" i="5"/>
  <c r="E56" i="5" s="1"/>
  <c r="C164" i="7"/>
  <c r="C178" i="7"/>
  <c r="C99" i="7"/>
  <c r="D182" i="7"/>
  <c r="Y93" i="12" s="1"/>
  <c r="D20" i="8"/>
  <c r="C8" i="12" s="1"/>
  <c r="C6" i="12" s="1"/>
  <c r="K8" i="8"/>
  <c r="G11" i="8"/>
  <c r="I11" i="10"/>
  <c r="F29" i="5"/>
  <c r="F56" i="5" s="1"/>
  <c r="L6" i="6"/>
  <c r="C25" i="6" s="1"/>
  <c r="C32" i="6" s="1"/>
  <c r="F9" i="7"/>
  <c r="M19" i="8"/>
  <c r="F7" i="12" s="1"/>
  <c r="J11" i="10"/>
  <c r="B37" i="6"/>
  <c r="B59" i="6"/>
  <c r="C100" i="7"/>
  <c r="C98" i="7"/>
  <c r="V19" i="8"/>
  <c r="I7" i="12" s="1"/>
  <c r="J19" i="8"/>
  <c r="E7" i="12" s="1"/>
  <c r="S19" i="8"/>
  <c r="H7" i="12" s="1"/>
  <c r="G19" i="8"/>
  <c r="D7" i="12" s="1"/>
  <c r="P19" i="8"/>
  <c r="G7" i="12" s="1"/>
  <c r="Y45" i="8"/>
  <c r="M45" i="8"/>
  <c r="B21" i="10"/>
  <c r="F10" i="9"/>
  <c r="C165" i="7"/>
  <c r="C179" i="7" s="1"/>
  <c r="I45" i="8"/>
  <c r="I46" i="8" s="1"/>
  <c r="U45" i="8"/>
  <c r="G10" i="9"/>
  <c r="K9" i="10"/>
  <c r="H10" i="9"/>
  <c r="B22" i="10"/>
  <c r="E43" i="7"/>
  <c r="K73" i="7"/>
  <c r="C177" i="7"/>
  <c r="Y37" i="8"/>
  <c r="F43" i="7"/>
  <c r="D142" i="7"/>
  <c r="H149" i="7"/>
  <c r="Q43" i="8"/>
  <c r="Y135" i="12" s="1"/>
  <c r="AC43" i="8"/>
  <c r="Y258" i="12" s="1"/>
  <c r="D16" i="9"/>
  <c r="E16" i="9"/>
  <c r="Q45" i="8"/>
  <c r="B16" i="10" l="1"/>
  <c r="H26" i="7"/>
  <c r="H41" i="7" s="1"/>
  <c r="H42" i="7" s="1"/>
  <c r="G26" i="7"/>
  <c r="G41" i="7" s="1"/>
  <c r="G42" i="7" s="1"/>
  <c r="F26" i="7"/>
  <c r="F41" i="7" s="1"/>
  <c r="F42" i="7" s="1"/>
  <c r="I41" i="7"/>
  <c r="I42" i="7" s="1"/>
  <c r="D26" i="7"/>
  <c r="D41" i="7" s="1"/>
  <c r="D42" i="7" s="1"/>
  <c r="E26" i="7"/>
  <c r="E41" i="7" s="1"/>
  <c r="E42" i="7" s="1"/>
  <c r="C33" i="7"/>
  <c r="C48" i="7" s="1"/>
  <c r="C46" i="7"/>
  <c r="I46" i="7" s="1"/>
  <c r="Y176" i="12"/>
  <c r="X169" i="1"/>
  <c r="V37" i="8"/>
  <c r="K13" i="6"/>
  <c r="E31" i="7"/>
  <c r="G31" i="7"/>
  <c r="H31" i="7"/>
  <c r="D31" i="7"/>
  <c r="F31" i="7"/>
  <c r="E32" i="7"/>
  <c r="G32" i="7"/>
  <c r="H32" i="7"/>
  <c r="F32" i="7"/>
  <c r="D32" i="7"/>
  <c r="Y10" i="1"/>
  <c r="Y10" i="12"/>
  <c r="C10" i="9"/>
  <c r="C10" i="12"/>
  <c r="C10" i="1"/>
  <c r="E10" i="9"/>
  <c r="D10" i="9"/>
  <c r="Z10" i="1"/>
  <c r="Z10" i="12"/>
  <c r="G10" i="1"/>
  <c r="G10" i="12"/>
  <c r="I10" i="1"/>
  <c r="I10" i="12"/>
  <c r="X10" i="12"/>
  <c r="X10" i="1"/>
  <c r="AA10" i="12"/>
  <c r="AA10" i="1"/>
  <c r="H10" i="1"/>
  <c r="H10" i="12"/>
  <c r="AC10" i="12"/>
  <c r="AC10" i="1"/>
  <c r="AB10" i="12"/>
  <c r="AB10" i="1"/>
  <c r="C9" i="1"/>
  <c r="C9" i="12"/>
  <c r="W9" i="1"/>
  <c r="W9" i="12"/>
  <c r="E94" i="12"/>
  <c r="E105" i="1"/>
  <c r="P236" i="1"/>
  <c r="O258" i="12"/>
  <c r="R258" i="12" s="1"/>
  <c r="AB201" i="1"/>
  <c r="AI217" i="12"/>
  <c r="P265" i="1"/>
  <c r="S265" i="1" s="1"/>
  <c r="O299" i="12"/>
  <c r="R299" i="12" s="1"/>
  <c r="AB137" i="1"/>
  <c r="AI135" i="12"/>
  <c r="AL135" i="12" s="1"/>
  <c r="AA7" i="1"/>
  <c r="AA7" i="12"/>
  <c r="P137" i="1"/>
  <c r="O135" i="12"/>
  <c r="AB236" i="1"/>
  <c r="AI258" i="12"/>
  <c r="Z8" i="1"/>
  <c r="Z8" i="12"/>
  <c r="Z6" i="12" s="1"/>
  <c r="AA137" i="1"/>
  <c r="AE135" i="12"/>
  <c r="Y8" i="1"/>
  <c r="Y8" i="12"/>
  <c r="Y6" i="12" s="1"/>
  <c r="X105" i="1"/>
  <c r="Y94" i="12"/>
  <c r="J7" i="1"/>
  <c r="J7" i="12"/>
  <c r="X7" i="1"/>
  <c r="X7" i="12"/>
  <c r="R135" i="12"/>
  <c r="AB169" i="1"/>
  <c r="AI176" i="12"/>
  <c r="AA169" i="1"/>
  <c r="AE176" i="12"/>
  <c r="AA105" i="1"/>
  <c r="AE94" i="12"/>
  <c r="P169" i="1"/>
  <c r="O176" i="12"/>
  <c r="X8" i="1"/>
  <c r="X8" i="12"/>
  <c r="R176" i="12"/>
  <c r="P201" i="1"/>
  <c r="O217" i="12"/>
  <c r="R217" i="12" s="1"/>
  <c r="AC8" i="1"/>
  <c r="AC8" i="12"/>
  <c r="AC6" i="12" s="1"/>
  <c r="AA201" i="1"/>
  <c r="AE217" i="12"/>
  <c r="O94" i="12"/>
  <c r="P105" i="1"/>
  <c r="AB105" i="1"/>
  <c r="AI94" i="12"/>
  <c r="AA8" i="1"/>
  <c r="AA8" i="12"/>
  <c r="AA236" i="1"/>
  <c r="AE258" i="12"/>
  <c r="AL258" i="12" s="1"/>
  <c r="AC6" i="1"/>
  <c r="C110" i="7"/>
  <c r="B109" i="7"/>
  <c r="B123" i="7"/>
  <c r="B125" i="7"/>
  <c r="B110" i="7"/>
  <c r="D36" i="5"/>
  <c r="Y6" i="1"/>
  <c r="S37" i="8"/>
  <c r="AB7" i="1"/>
  <c r="AB6" i="1" s="1"/>
  <c r="Y29" i="8"/>
  <c r="P37" i="8"/>
  <c r="U46" i="8"/>
  <c r="M37" i="8"/>
  <c r="Z7" i="1"/>
  <c r="J37" i="8"/>
  <c r="Y46" i="8"/>
  <c r="F27" i="7"/>
  <c r="F79" i="7" s="1"/>
  <c r="H27" i="7"/>
  <c r="H79" i="7" s="1"/>
  <c r="I27" i="7"/>
  <c r="D27" i="7"/>
  <c r="D79" i="7" s="1"/>
  <c r="E27" i="7"/>
  <c r="E79" i="7" s="1"/>
  <c r="B32" i="6"/>
  <c r="I47" i="7"/>
  <c r="H20" i="10"/>
  <c r="K89" i="7"/>
  <c r="H26" i="6"/>
  <c r="H29" i="6" s="1"/>
  <c r="I62" i="6"/>
  <c r="G62" i="6"/>
  <c r="G57" i="6"/>
  <c r="H62" i="6"/>
  <c r="F62" i="6"/>
  <c r="D62" i="6"/>
  <c r="E57" i="6"/>
  <c r="D57" i="6"/>
  <c r="E62" i="6"/>
  <c r="I57" i="6"/>
  <c r="H57" i="6"/>
  <c r="F57" i="6"/>
  <c r="B20" i="10"/>
  <c r="H7" i="1"/>
  <c r="E59" i="6"/>
  <c r="B61" i="6"/>
  <c r="I59" i="6"/>
  <c r="Y302" i="12" s="1"/>
  <c r="AL302" i="12" s="1"/>
  <c r="H59" i="6"/>
  <c r="D59" i="6"/>
  <c r="G59" i="6"/>
  <c r="F59" i="6"/>
  <c r="B63" i="5"/>
  <c r="I7" i="1"/>
  <c r="D28" i="5"/>
  <c r="D55" i="5" s="1"/>
  <c r="E27" i="5"/>
  <c r="D54" i="5"/>
  <c r="C63" i="7"/>
  <c r="C69" i="7"/>
  <c r="F7" i="1"/>
  <c r="E34" i="7"/>
  <c r="E49" i="7" s="1"/>
  <c r="E26" i="6"/>
  <c r="D34" i="7"/>
  <c r="D49" i="7" s="1"/>
  <c r="D26" i="6"/>
  <c r="M46" i="8"/>
  <c r="I33" i="7"/>
  <c r="E7" i="1"/>
  <c r="C108" i="7"/>
  <c r="B108" i="7"/>
  <c r="B124" i="7"/>
  <c r="C36" i="5"/>
  <c r="D7" i="1"/>
  <c r="B73" i="7"/>
  <c r="B69" i="7"/>
  <c r="B70" i="7"/>
  <c r="B71" i="7"/>
  <c r="B72" i="7"/>
  <c r="B90" i="7"/>
  <c r="E36" i="5"/>
  <c r="G26" i="6"/>
  <c r="G34" i="7"/>
  <c r="G49" i="7" s="1"/>
  <c r="E169" i="1"/>
  <c r="P29" i="8"/>
  <c r="I63" i="6"/>
  <c r="H63" i="6"/>
  <c r="F63" i="6"/>
  <c r="D63" i="6"/>
  <c r="G63" i="6"/>
  <c r="E63" i="6"/>
  <c r="I19" i="5"/>
  <c r="C69" i="5" s="1"/>
  <c r="H17" i="5"/>
  <c r="E63" i="5"/>
  <c r="E182" i="7"/>
  <c r="Y134" i="12" s="1"/>
  <c r="X104" i="1"/>
  <c r="C63" i="5"/>
  <c r="C20" i="10"/>
  <c r="G7" i="1"/>
  <c r="D20" i="10"/>
  <c r="E61" i="6"/>
  <c r="AA139" i="1" s="1"/>
  <c r="F60" i="6"/>
  <c r="K108" i="7"/>
  <c r="K123" i="7"/>
  <c r="K109" i="7"/>
  <c r="K124" i="7"/>
  <c r="K110" i="7"/>
  <c r="K122" i="7"/>
  <c r="K107" i="7"/>
  <c r="K125" i="7"/>
  <c r="C109" i="7"/>
  <c r="C107" i="7"/>
  <c r="C102" i="7"/>
  <c r="B122" i="7"/>
  <c r="M29" i="8"/>
  <c r="E137" i="1"/>
  <c r="S137" i="1" s="1"/>
  <c r="C124" i="7"/>
  <c r="C125" i="7"/>
  <c r="C181" i="7"/>
  <c r="C122" i="7"/>
  <c r="C123" i="7"/>
  <c r="K11" i="10"/>
  <c r="L11" i="10" s="1"/>
  <c r="S29" i="8"/>
  <c r="E201" i="1"/>
  <c r="S201" i="1" s="1"/>
  <c r="B107" i="7"/>
  <c r="E20" i="10"/>
  <c r="K9" i="8"/>
  <c r="D22" i="8" s="1"/>
  <c r="D21" i="8"/>
  <c r="I29" i="6"/>
  <c r="I27" i="6"/>
  <c r="AC46" i="8"/>
  <c r="X236" i="1"/>
  <c r="F20" i="10"/>
  <c r="P20" i="8"/>
  <c r="M20" i="8"/>
  <c r="Y20" i="8"/>
  <c r="J8" i="12" s="1"/>
  <c r="V20" i="8"/>
  <c r="J20" i="8"/>
  <c r="S20" i="8"/>
  <c r="G20" i="8"/>
  <c r="C8" i="1"/>
  <c r="C6" i="1" s="1"/>
  <c r="F34" i="7"/>
  <c r="F49" i="7" s="1"/>
  <c r="F26" i="6"/>
  <c r="D63" i="5"/>
  <c r="S105" i="1"/>
  <c r="J29" i="8"/>
  <c r="Q46" i="8"/>
  <c r="X137" i="1"/>
  <c r="D177" i="7"/>
  <c r="Y92" i="12" s="1"/>
  <c r="G20" i="10"/>
  <c r="V29" i="8"/>
  <c r="E236" i="1"/>
  <c r="S236" i="1" s="1"/>
  <c r="C16" i="10" l="1"/>
  <c r="C22" i="10" s="1"/>
  <c r="D16" i="10"/>
  <c r="D22" i="10" s="1"/>
  <c r="E16" i="10"/>
  <c r="E22" i="10" s="1"/>
  <c r="H16" i="10"/>
  <c r="I16" i="10"/>
  <c r="I22" i="10" s="1"/>
  <c r="F16" i="10"/>
  <c r="F22" i="10" s="1"/>
  <c r="G16" i="10"/>
  <c r="G22" i="10" s="1"/>
  <c r="H22" i="10"/>
  <c r="K71" i="7"/>
  <c r="G27" i="7"/>
  <c r="G79" i="7" s="1"/>
  <c r="I110" i="7"/>
  <c r="AE201" i="1"/>
  <c r="AE105" i="1"/>
  <c r="AE137" i="1"/>
  <c r="AE236" i="1"/>
  <c r="Z6" i="1"/>
  <c r="F33" i="7"/>
  <c r="I123" i="7"/>
  <c r="H123" i="7" s="1"/>
  <c r="F46" i="7"/>
  <c r="G46" i="7"/>
  <c r="D46" i="7"/>
  <c r="H46" i="7"/>
  <c r="E46" i="7"/>
  <c r="E47" i="7"/>
  <c r="F47" i="7"/>
  <c r="G47" i="7"/>
  <c r="H47" i="7"/>
  <c r="D47" i="7"/>
  <c r="K69" i="7"/>
  <c r="I69" i="7" s="1"/>
  <c r="H69" i="7" s="1"/>
  <c r="I109" i="7"/>
  <c r="H109" i="7" s="1"/>
  <c r="E10" i="12"/>
  <c r="E10" i="1"/>
  <c r="F10" i="12"/>
  <c r="F10" i="1"/>
  <c r="D10" i="12"/>
  <c r="D10" i="1"/>
  <c r="AF201" i="1"/>
  <c r="D8" i="1"/>
  <c r="D8" i="12"/>
  <c r="D6" i="12" s="1"/>
  <c r="X6" i="12"/>
  <c r="X6" i="1"/>
  <c r="I8" i="1"/>
  <c r="I8" i="12"/>
  <c r="I6" i="12" s="1"/>
  <c r="F8" i="1"/>
  <c r="F6" i="1" s="1"/>
  <c r="F8" i="12"/>
  <c r="F6" i="12" s="1"/>
  <c r="J6" i="12"/>
  <c r="AL217" i="12"/>
  <c r="G8" i="1"/>
  <c r="G6" i="1" s="1"/>
  <c r="G8" i="12"/>
  <c r="G6" i="12" s="1"/>
  <c r="H8" i="1"/>
  <c r="H8" i="12"/>
  <c r="H6" i="12" s="1"/>
  <c r="AL176" i="12"/>
  <c r="AL94" i="12"/>
  <c r="AA6" i="1"/>
  <c r="AE169" i="1"/>
  <c r="S169" i="1"/>
  <c r="R94" i="12"/>
  <c r="E8" i="1"/>
  <c r="E6" i="1" s="1"/>
  <c r="E8" i="12"/>
  <c r="E6" i="12" s="1"/>
  <c r="AA6" i="12"/>
  <c r="I125" i="7"/>
  <c r="E125" i="7" s="1"/>
  <c r="K72" i="7"/>
  <c r="I72" i="7" s="1"/>
  <c r="D72" i="7" s="1"/>
  <c r="K70" i="7"/>
  <c r="I70" i="7" s="1"/>
  <c r="E70" i="7" s="1"/>
  <c r="H33" i="7"/>
  <c r="AC232" i="1"/>
  <c r="AC237" i="1" s="1"/>
  <c r="AC239" i="1" s="1"/>
  <c r="AC231" i="1" s="1"/>
  <c r="AC226" i="1" s="1"/>
  <c r="AC230" i="1" s="1"/>
  <c r="AJ254" i="12"/>
  <c r="AA101" i="1"/>
  <c r="AG90" i="12"/>
  <c r="AH90" i="12"/>
  <c r="AC90" i="12"/>
  <c r="AF90" i="12"/>
  <c r="AE90" i="12"/>
  <c r="AD90" i="12"/>
  <c r="AA165" i="1"/>
  <c r="AD172" i="12"/>
  <c r="AC172" i="12"/>
  <c r="AH172" i="12"/>
  <c r="AE172" i="12"/>
  <c r="AG172" i="12"/>
  <c r="AF172" i="12"/>
  <c r="AC261" i="1"/>
  <c r="AC266" i="1" s="1"/>
  <c r="AC268" i="1" s="1"/>
  <c r="AC260" i="1" s="1"/>
  <c r="AC255" i="1" s="1"/>
  <c r="AC259" i="1" s="1"/>
  <c r="AJ295" i="12"/>
  <c r="X261" i="1"/>
  <c r="Y295" i="12"/>
  <c r="AA232" i="1"/>
  <c r="AG254" i="12"/>
  <c r="AF254" i="12"/>
  <c r="AH254" i="12"/>
  <c r="AE254" i="12"/>
  <c r="AD254" i="12"/>
  <c r="AC254" i="12"/>
  <c r="X197" i="1"/>
  <c r="Y213" i="12"/>
  <c r="AB197" i="1"/>
  <c r="AI213" i="12"/>
  <c r="AB133" i="1"/>
  <c r="AI131" i="12"/>
  <c r="X171" i="1"/>
  <c r="Y179" i="12"/>
  <c r="AL179" i="12" s="1"/>
  <c r="X203" i="1"/>
  <c r="Y220" i="12"/>
  <c r="AL220" i="12" s="1"/>
  <c r="Y97" i="12"/>
  <c r="AL97" i="12" s="1"/>
  <c r="X107" i="1"/>
  <c r="AB165" i="1"/>
  <c r="AI172" i="12"/>
  <c r="X133" i="1"/>
  <c r="Y131" i="12"/>
  <c r="AC133" i="1"/>
  <c r="AC138" i="1" s="1"/>
  <c r="AC140" i="1" s="1"/>
  <c r="AC132" i="1" s="1"/>
  <c r="AC127" i="1" s="1"/>
  <c r="AC131" i="1" s="1"/>
  <c r="AJ131" i="12"/>
  <c r="X238" i="1"/>
  <c r="Y261" i="12"/>
  <c r="AB232" i="1"/>
  <c r="AI254" i="12"/>
  <c r="AA197" i="1"/>
  <c r="AF213" i="12"/>
  <c r="AE213" i="12"/>
  <c r="AD213" i="12"/>
  <c r="AC213" i="12"/>
  <c r="AG213" i="12"/>
  <c r="AH213" i="12"/>
  <c r="X165" i="1"/>
  <c r="Y172" i="12"/>
  <c r="AC197" i="1"/>
  <c r="AC202" i="1" s="1"/>
  <c r="AC204" i="1" s="1"/>
  <c r="AC196" i="1" s="1"/>
  <c r="AC191" i="1" s="1"/>
  <c r="AC195" i="1" s="1"/>
  <c r="AJ213" i="12"/>
  <c r="AB261" i="1"/>
  <c r="AI295" i="12"/>
  <c r="X101" i="1"/>
  <c r="Y90" i="12"/>
  <c r="AC101" i="1"/>
  <c r="AC106" i="1" s="1"/>
  <c r="AC108" i="1" s="1"/>
  <c r="AC100" i="1" s="1"/>
  <c r="AC95" i="1" s="1"/>
  <c r="AC99" i="1" s="1"/>
  <c r="AJ90" i="12"/>
  <c r="AA133" i="1"/>
  <c r="AC131" i="12"/>
  <c r="AG131" i="12"/>
  <c r="AH131" i="12"/>
  <c r="AF131" i="12"/>
  <c r="AD131" i="12"/>
  <c r="AE131" i="12"/>
  <c r="X232" i="1"/>
  <c r="Y254" i="12"/>
  <c r="AC165" i="1"/>
  <c r="AC170" i="1" s="1"/>
  <c r="AC172" i="1" s="1"/>
  <c r="AC164" i="1" s="1"/>
  <c r="AC159" i="1" s="1"/>
  <c r="AC163" i="1" s="1"/>
  <c r="AJ172" i="12"/>
  <c r="X139" i="1"/>
  <c r="AE139" i="1" s="1"/>
  <c r="Y138" i="12"/>
  <c r="AL138" i="12" s="1"/>
  <c r="AB101" i="1"/>
  <c r="AI90" i="12"/>
  <c r="AA261" i="1"/>
  <c r="AE295" i="12"/>
  <c r="AD295" i="12"/>
  <c r="AC295" i="12"/>
  <c r="AH295" i="12"/>
  <c r="AG295" i="12"/>
  <c r="AF295" i="12"/>
  <c r="D33" i="7"/>
  <c r="G21" i="8"/>
  <c r="G22" i="8" s="1"/>
  <c r="J21" i="8"/>
  <c r="J22" i="8" s="1"/>
  <c r="G33" i="7"/>
  <c r="E33" i="7"/>
  <c r="I48" i="7"/>
  <c r="H27" i="6"/>
  <c r="H32" i="6" s="1"/>
  <c r="K87" i="7"/>
  <c r="K88" i="7"/>
  <c r="K86" i="7"/>
  <c r="K85" i="7"/>
  <c r="H21" i="10"/>
  <c r="I21" i="10"/>
  <c r="E110" i="7"/>
  <c r="H110" i="7"/>
  <c r="G110" i="7"/>
  <c r="F110" i="7"/>
  <c r="D110" i="7"/>
  <c r="D6" i="1"/>
  <c r="B69" i="5"/>
  <c r="D21" i="10"/>
  <c r="C21" i="10"/>
  <c r="P21" i="8"/>
  <c r="P22" i="8" s="1"/>
  <c r="C71" i="5"/>
  <c r="E29" i="6"/>
  <c r="E27" i="6"/>
  <c r="D61" i="6"/>
  <c r="AA107" i="1" s="1"/>
  <c r="F21" i="10"/>
  <c r="I73" i="7"/>
  <c r="H73" i="7" s="1"/>
  <c r="D27" i="6"/>
  <c r="D29" i="6"/>
  <c r="H6" i="1"/>
  <c r="I108" i="7"/>
  <c r="H108" i="7" s="1"/>
  <c r="F29" i="6"/>
  <c r="F27" i="6"/>
  <c r="E177" i="7"/>
  <c r="Y133" i="12" s="1"/>
  <c r="X103" i="1"/>
  <c r="X267" i="1"/>
  <c r="I61" i="6"/>
  <c r="AA267" i="1" s="1"/>
  <c r="S21" i="8"/>
  <c r="S22" i="8" s="1"/>
  <c r="E42" i="5"/>
  <c r="E44" i="5" s="1"/>
  <c r="C42" i="5"/>
  <c r="C44" i="5" s="1"/>
  <c r="B42" i="5"/>
  <c r="B44" i="5" s="1"/>
  <c r="D42" i="5"/>
  <c r="D69" i="5"/>
  <c r="G29" i="6"/>
  <c r="G27" i="6"/>
  <c r="F182" i="7"/>
  <c r="Y175" i="12" s="1"/>
  <c r="X136" i="1"/>
  <c r="B88" i="7"/>
  <c r="B89" i="7"/>
  <c r="B85" i="7"/>
  <c r="B87" i="7"/>
  <c r="B86" i="7"/>
  <c r="B176" i="7"/>
  <c r="M21" i="8"/>
  <c r="M22" i="8" s="1"/>
  <c r="I122" i="7"/>
  <c r="H122" i="7" s="1"/>
  <c r="I6" i="1"/>
  <c r="B71" i="5"/>
  <c r="J8" i="1"/>
  <c r="J6" i="1" s="1"/>
  <c r="Y21" i="8"/>
  <c r="Y22" i="8" s="1"/>
  <c r="E21" i="10"/>
  <c r="E71" i="5"/>
  <c r="I71" i="7"/>
  <c r="H71" i="7" s="1"/>
  <c r="V21" i="8"/>
  <c r="V22" i="8" s="1"/>
  <c r="E28" i="5"/>
  <c r="E55" i="5" s="1"/>
  <c r="F27" i="5"/>
  <c r="E54" i="5"/>
  <c r="G21" i="10"/>
  <c r="I32" i="6"/>
  <c r="I107" i="7"/>
  <c r="G60" i="6"/>
  <c r="F61" i="6"/>
  <c r="AA171" i="1" s="1"/>
  <c r="E69" i="5"/>
  <c r="I124" i="7"/>
  <c r="E124" i="7" s="1"/>
  <c r="D123" i="7" l="1"/>
  <c r="G123" i="7"/>
  <c r="F123" i="7"/>
  <c r="E123" i="7"/>
  <c r="AE133" i="1"/>
  <c r="AE101" i="1"/>
  <c r="E48" i="7"/>
  <c r="G125" i="7"/>
  <c r="F109" i="7"/>
  <c r="G109" i="7"/>
  <c r="E109" i="7"/>
  <c r="D109" i="7"/>
  <c r="F125" i="7"/>
  <c r="H125" i="7"/>
  <c r="D125" i="7"/>
  <c r="H48" i="7"/>
  <c r="G48" i="7"/>
  <c r="F72" i="7"/>
  <c r="D48" i="7"/>
  <c r="F48" i="7"/>
  <c r="AE261" i="1"/>
  <c r="AF197" i="1"/>
  <c r="AE165" i="1"/>
  <c r="AE197" i="1"/>
  <c r="AE171" i="1"/>
  <c r="AE232" i="1"/>
  <c r="AL261" i="12"/>
  <c r="AL172" i="12"/>
  <c r="AJ129" i="12"/>
  <c r="AJ119" i="12" s="1"/>
  <c r="AJ137" i="12"/>
  <c r="AJ139" i="12" s="1"/>
  <c r="Y301" i="12"/>
  <c r="Y303" i="12" s="1"/>
  <c r="AL295" i="12"/>
  <c r="AJ211" i="12"/>
  <c r="AJ201" i="12" s="1"/>
  <c r="AJ219" i="12"/>
  <c r="AJ221" i="12" s="1"/>
  <c r="AL131" i="12"/>
  <c r="AJ88" i="12"/>
  <c r="AJ78" i="12" s="1"/>
  <c r="AJ96" i="12"/>
  <c r="AJ98" i="12" s="1"/>
  <c r="AJ301" i="12"/>
  <c r="AJ303" i="12" s="1"/>
  <c r="AJ293" i="12"/>
  <c r="AJ283" i="12" s="1"/>
  <c r="AL213" i="12"/>
  <c r="AJ178" i="12"/>
  <c r="AJ180" i="12" s="1"/>
  <c r="AJ170" i="12"/>
  <c r="AJ160" i="12" s="1"/>
  <c r="AL90" i="12"/>
  <c r="AL254" i="12"/>
  <c r="AJ260" i="12"/>
  <c r="AJ262" i="12" s="1"/>
  <c r="AJ252" i="12"/>
  <c r="AJ242" i="12" s="1"/>
  <c r="AA9" i="1"/>
  <c r="AA9" i="12"/>
  <c r="AB9" i="1"/>
  <c r="AB9" i="12"/>
  <c r="AD9" i="1"/>
  <c r="AD9" i="12"/>
  <c r="Y9" i="1"/>
  <c r="Y9" i="12"/>
  <c r="X9" i="1"/>
  <c r="X9" i="12"/>
  <c r="Z9" i="1"/>
  <c r="Z9" i="12"/>
  <c r="AC9" i="1"/>
  <c r="AC9" i="12"/>
  <c r="E9" i="1"/>
  <c r="E9" i="12"/>
  <c r="D9" i="1"/>
  <c r="D9" i="12"/>
  <c r="H9" i="1"/>
  <c r="H9" i="12"/>
  <c r="J9" i="1"/>
  <c r="J9" i="12"/>
  <c r="F9" i="1"/>
  <c r="F9" i="12"/>
  <c r="I9" i="1"/>
  <c r="I9" i="12"/>
  <c r="G9" i="1"/>
  <c r="G9" i="12"/>
  <c r="E72" i="7"/>
  <c r="H72" i="7"/>
  <c r="D124" i="7"/>
  <c r="F122" i="7"/>
  <c r="F124" i="7"/>
  <c r="G124" i="7"/>
  <c r="H70" i="7"/>
  <c r="I111" i="7"/>
  <c r="I169" i="7" s="1"/>
  <c r="H107" i="7"/>
  <c r="H111" i="7" s="1"/>
  <c r="D73" i="7"/>
  <c r="E108" i="7"/>
  <c r="D108" i="7"/>
  <c r="D70" i="7"/>
  <c r="F70" i="7"/>
  <c r="D122" i="7"/>
  <c r="F108" i="7"/>
  <c r="G70" i="7"/>
  <c r="E122" i="7"/>
  <c r="E126" i="7" s="1"/>
  <c r="E181" i="7" s="1"/>
  <c r="G108" i="7"/>
  <c r="G72" i="7"/>
  <c r="F73" i="7"/>
  <c r="G122" i="7"/>
  <c r="F69" i="7"/>
  <c r="F107" i="7"/>
  <c r="G107" i="7"/>
  <c r="G32" i="6"/>
  <c r="AE267" i="1"/>
  <c r="I74" i="7"/>
  <c r="H35" i="6"/>
  <c r="H38" i="6"/>
  <c r="H37" i="6"/>
  <c r="H39" i="6"/>
  <c r="I70" i="5"/>
  <c r="G69" i="5"/>
  <c r="H70" i="5"/>
  <c r="F69" i="5"/>
  <c r="G70" i="5"/>
  <c r="F70" i="5"/>
  <c r="J69" i="5"/>
  <c r="H69" i="5"/>
  <c r="K70" i="5"/>
  <c r="J70" i="5"/>
  <c r="K69" i="5"/>
  <c r="I69" i="5"/>
  <c r="E73" i="7"/>
  <c r="I86" i="7"/>
  <c r="D86" i="7" s="1"/>
  <c r="G71" i="7"/>
  <c r="I87" i="7"/>
  <c r="E87" i="7" s="1"/>
  <c r="G73" i="7"/>
  <c r="I85" i="7"/>
  <c r="G85" i="7" s="1"/>
  <c r="I89" i="7"/>
  <c r="F89" i="7" s="1"/>
  <c r="AE107" i="1"/>
  <c r="I35" i="6"/>
  <c r="I38" i="6"/>
  <c r="I36" i="6"/>
  <c r="I39" i="6"/>
  <c r="I37" i="6"/>
  <c r="H60" i="6"/>
  <c r="H61" i="6" s="1"/>
  <c r="AA238" i="1" s="1"/>
  <c r="AE238" i="1" s="1"/>
  <c r="G61" i="6"/>
  <c r="AA203" i="1" s="1"/>
  <c r="AE203" i="1" s="1"/>
  <c r="D71" i="7"/>
  <c r="E71" i="7"/>
  <c r="I88" i="7"/>
  <c r="H88" i="7" s="1"/>
  <c r="D69" i="7"/>
  <c r="G43" i="5"/>
  <c r="F43" i="5"/>
  <c r="K42" i="5"/>
  <c r="J43" i="5"/>
  <c r="H42" i="5"/>
  <c r="J42" i="5"/>
  <c r="I42" i="5"/>
  <c r="G42" i="5"/>
  <c r="F42" i="5"/>
  <c r="I43" i="5"/>
  <c r="K43" i="5"/>
  <c r="H43" i="5"/>
  <c r="D44" i="5"/>
  <c r="F54" i="5"/>
  <c r="G27" i="5"/>
  <c r="F28" i="5"/>
  <c r="F55" i="5" s="1"/>
  <c r="F36" i="5"/>
  <c r="F37" i="5"/>
  <c r="F177" i="7"/>
  <c r="Y174" i="12" s="1"/>
  <c r="X135" i="1"/>
  <c r="H124" i="7"/>
  <c r="H126" i="7" s="1"/>
  <c r="H181" i="7" s="1"/>
  <c r="D107" i="7"/>
  <c r="F71" i="7"/>
  <c r="I126" i="7"/>
  <c r="I181" i="7" s="1"/>
  <c r="E32" i="6"/>
  <c r="G69" i="7"/>
  <c r="E107" i="7"/>
  <c r="G182" i="7"/>
  <c r="Y216" i="12" s="1"/>
  <c r="X168" i="1"/>
  <c r="F32" i="6"/>
  <c r="D32" i="6"/>
  <c r="E69" i="7"/>
  <c r="D71" i="5"/>
  <c r="G126" i="7" l="1"/>
  <c r="G181" i="7" s="1"/>
  <c r="I168" i="7"/>
  <c r="E298" i="12" s="1"/>
  <c r="D126" i="7"/>
  <c r="D181" i="7" s="1"/>
  <c r="D183" i="7" s="1"/>
  <c r="AG93" i="12" s="1"/>
  <c r="F126" i="7"/>
  <c r="F181" i="7" s="1"/>
  <c r="H74" i="7"/>
  <c r="H164" i="7" s="1"/>
  <c r="AJ87" i="12"/>
  <c r="AE78" i="12"/>
  <c r="AF78" i="12"/>
  <c r="AG78" i="12"/>
  <c r="AG88" i="12" s="1"/>
  <c r="AH78" i="12"/>
  <c r="AD78" i="12"/>
  <c r="AC78" i="12"/>
  <c r="AJ251" i="12"/>
  <c r="AE242" i="12"/>
  <c r="AF242" i="12"/>
  <c r="AG242" i="12"/>
  <c r="AG252" i="12" s="1"/>
  <c r="AH242" i="12"/>
  <c r="AC242" i="12"/>
  <c r="AD242" i="12"/>
  <c r="AJ210" i="12"/>
  <c r="AF201" i="12"/>
  <c r="AG201" i="12"/>
  <c r="AG211" i="12" s="1"/>
  <c r="AH201" i="12"/>
  <c r="AC201" i="12"/>
  <c r="AD201" i="12"/>
  <c r="AE201" i="12"/>
  <c r="AJ169" i="12"/>
  <c r="AF160" i="12"/>
  <c r="AG160" i="12"/>
  <c r="AG170" i="12" s="1"/>
  <c r="AH160" i="12"/>
  <c r="AC160" i="12"/>
  <c r="AD160" i="12"/>
  <c r="AE160" i="12"/>
  <c r="AJ128" i="12"/>
  <c r="AF119" i="12"/>
  <c r="AG119" i="12"/>
  <c r="AG129" i="12" s="1"/>
  <c r="AH119" i="12"/>
  <c r="AC119" i="12"/>
  <c r="AE119" i="12"/>
  <c r="AD119" i="12"/>
  <c r="AJ292" i="12"/>
  <c r="AF283" i="12"/>
  <c r="AG283" i="12"/>
  <c r="AG293" i="12" s="1"/>
  <c r="AH283" i="12"/>
  <c r="AH293" i="12" s="1"/>
  <c r="AC283" i="12"/>
  <c r="AD283" i="12"/>
  <c r="AE283" i="12"/>
  <c r="F44" i="5"/>
  <c r="E91" i="12" s="1"/>
  <c r="Q261" i="1"/>
  <c r="Q266" i="1" s="1"/>
  <c r="Q268" i="1" s="1"/>
  <c r="Q260" i="1" s="1"/>
  <c r="Q255" i="1" s="1"/>
  <c r="Q259" i="1" s="1"/>
  <c r="P295" i="12"/>
  <c r="O264" i="1"/>
  <c r="N298" i="12"/>
  <c r="M298" i="12"/>
  <c r="L298" i="12"/>
  <c r="K298" i="12"/>
  <c r="J298" i="12"/>
  <c r="I298" i="12"/>
  <c r="E267" i="1"/>
  <c r="S267" i="1" s="1"/>
  <c r="E302" i="12"/>
  <c r="AA104" i="1"/>
  <c r="O261" i="1"/>
  <c r="N295" i="12"/>
  <c r="M295" i="12"/>
  <c r="L295" i="12"/>
  <c r="K295" i="12"/>
  <c r="J295" i="12"/>
  <c r="I295" i="12"/>
  <c r="E261" i="1"/>
  <c r="E295" i="12"/>
  <c r="P261" i="1"/>
  <c r="O295" i="12"/>
  <c r="Q232" i="1"/>
  <c r="Q237" i="1" s="1"/>
  <c r="Q239" i="1" s="1"/>
  <c r="Q231" i="1" s="1"/>
  <c r="Q226" i="1" s="1"/>
  <c r="Q230" i="1" s="1"/>
  <c r="P254" i="12"/>
  <c r="E238" i="1"/>
  <c r="S238" i="1" s="1"/>
  <c r="E261" i="12"/>
  <c r="I254" i="12"/>
  <c r="N254" i="12"/>
  <c r="M254" i="12"/>
  <c r="L254" i="12"/>
  <c r="K254" i="12"/>
  <c r="J254" i="12"/>
  <c r="E232" i="1"/>
  <c r="E254" i="12"/>
  <c r="E111" i="7"/>
  <c r="E168" i="7" s="1"/>
  <c r="E134" i="12" s="1"/>
  <c r="I170" i="7"/>
  <c r="D111" i="7"/>
  <c r="D168" i="7" s="1"/>
  <c r="F74" i="7"/>
  <c r="F164" i="7" s="1"/>
  <c r="H169" i="7"/>
  <c r="H170" i="7"/>
  <c r="H168" i="7"/>
  <c r="D184" i="7"/>
  <c r="G74" i="7"/>
  <c r="G163" i="7" s="1"/>
  <c r="E215" i="12" s="1"/>
  <c r="G89" i="7"/>
  <c r="D85" i="7"/>
  <c r="E85" i="7"/>
  <c r="H85" i="7"/>
  <c r="C87" i="7"/>
  <c r="C85" i="7"/>
  <c r="G111" i="7"/>
  <c r="G168" i="7" s="1"/>
  <c r="F85" i="7"/>
  <c r="F111" i="7"/>
  <c r="E88" i="7"/>
  <c r="D87" i="7"/>
  <c r="F87" i="7"/>
  <c r="H87" i="7"/>
  <c r="G87" i="7"/>
  <c r="E74" i="7"/>
  <c r="E163" i="7" s="1"/>
  <c r="E133" i="12" s="1"/>
  <c r="H36" i="6"/>
  <c r="E86" i="7"/>
  <c r="D74" i="7"/>
  <c r="D164" i="7" s="1"/>
  <c r="F86" i="7"/>
  <c r="G86" i="7"/>
  <c r="H86" i="7"/>
  <c r="H183" i="7"/>
  <c r="F38" i="6"/>
  <c r="F35" i="6"/>
  <c r="F37" i="6"/>
  <c r="F39" i="6"/>
  <c r="F183" i="7"/>
  <c r="E35" i="6"/>
  <c r="E38" i="6"/>
  <c r="E37" i="6"/>
  <c r="E39" i="6"/>
  <c r="I183" i="7"/>
  <c r="F88" i="7"/>
  <c r="I164" i="7"/>
  <c r="I165" i="7"/>
  <c r="I163" i="7"/>
  <c r="E297" i="12" s="1"/>
  <c r="G54" i="5"/>
  <c r="H27" i="5"/>
  <c r="G28" i="5"/>
  <c r="G55" i="5" s="1"/>
  <c r="G36" i="5"/>
  <c r="G44" i="5" s="1"/>
  <c r="E132" i="12" s="1"/>
  <c r="G37" i="5"/>
  <c r="G45" i="5" s="1"/>
  <c r="C88" i="7"/>
  <c r="G35" i="6"/>
  <c r="G36" i="6" s="1"/>
  <c r="G38" i="6"/>
  <c r="G37" i="6"/>
  <c r="G39" i="6"/>
  <c r="H89" i="7"/>
  <c r="D35" i="6"/>
  <c r="D38" i="6"/>
  <c r="D39" i="6"/>
  <c r="D37" i="6"/>
  <c r="F64" i="5"/>
  <c r="F72" i="5" s="1"/>
  <c r="F63" i="5"/>
  <c r="F71" i="5" s="1"/>
  <c r="Y91" i="12" s="1"/>
  <c r="G183" i="7"/>
  <c r="G177" i="7"/>
  <c r="Y215" i="12" s="1"/>
  <c r="X167" i="1"/>
  <c r="E264" i="1"/>
  <c r="E183" i="7"/>
  <c r="D89" i="7"/>
  <c r="I90" i="7"/>
  <c r="I176" i="7" s="1"/>
  <c r="H182" i="7"/>
  <c r="Y257" i="12" s="1"/>
  <c r="X200" i="1"/>
  <c r="D88" i="7"/>
  <c r="C89" i="7"/>
  <c r="F45" i="5"/>
  <c r="G88" i="7"/>
  <c r="E89" i="7"/>
  <c r="C86" i="7"/>
  <c r="O197" i="1"/>
  <c r="O232" i="1"/>
  <c r="AC93" i="12" l="1"/>
  <c r="H165" i="7"/>
  <c r="H163" i="7"/>
  <c r="E256" i="12" s="1"/>
  <c r="E169" i="7"/>
  <c r="I134" i="12" s="1"/>
  <c r="E170" i="7"/>
  <c r="AD93" i="12"/>
  <c r="AE93" i="12"/>
  <c r="AF93" i="12"/>
  <c r="AH93" i="12"/>
  <c r="D169" i="7"/>
  <c r="L93" i="12" s="1"/>
  <c r="S261" i="1"/>
  <c r="E102" i="1"/>
  <c r="D163" i="7"/>
  <c r="E103" i="1" s="1"/>
  <c r="D165" i="7"/>
  <c r="O92" i="12" s="1"/>
  <c r="F163" i="7"/>
  <c r="E174" i="12" s="1"/>
  <c r="F165" i="7"/>
  <c r="P167" i="1" s="1"/>
  <c r="AB102" i="1"/>
  <c r="AI91" i="12"/>
  <c r="AL91" i="12" s="1"/>
  <c r="P134" i="1"/>
  <c r="O132" i="12"/>
  <c r="R132" i="12" s="1"/>
  <c r="O91" i="12"/>
  <c r="R91" i="12" s="1"/>
  <c r="P102" i="1"/>
  <c r="Y96" i="12"/>
  <c r="Y98" i="12" s="1"/>
  <c r="P235" i="1"/>
  <c r="O257" i="12"/>
  <c r="AE175" i="12"/>
  <c r="AG175" i="12"/>
  <c r="AF175" i="12"/>
  <c r="AD175" i="12"/>
  <c r="AH175" i="12"/>
  <c r="AC175" i="12"/>
  <c r="O103" i="1"/>
  <c r="L92" i="12"/>
  <c r="N92" i="12"/>
  <c r="M92" i="12"/>
  <c r="K92" i="12"/>
  <c r="J92" i="12"/>
  <c r="I92" i="12"/>
  <c r="E200" i="1"/>
  <c r="E216" i="12"/>
  <c r="O167" i="1"/>
  <c r="N174" i="12"/>
  <c r="M174" i="12"/>
  <c r="L174" i="12"/>
  <c r="K174" i="12"/>
  <c r="J174" i="12"/>
  <c r="I174" i="12"/>
  <c r="R302" i="12"/>
  <c r="AA200" i="1"/>
  <c r="AF216" i="12"/>
  <c r="AE216" i="12"/>
  <c r="AD216" i="12"/>
  <c r="AC216" i="12"/>
  <c r="AH216" i="12"/>
  <c r="AG216" i="12"/>
  <c r="M134" i="12"/>
  <c r="L134" i="12"/>
  <c r="K134" i="12"/>
  <c r="G170" i="7"/>
  <c r="E93" i="12"/>
  <c r="E104" i="1"/>
  <c r="P264" i="1"/>
  <c r="S264" i="1" s="1"/>
  <c r="O298" i="12"/>
  <c r="P136" i="1"/>
  <c r="O134" i="12"/>
  <c r="P263" i="1"/>
  <c r="O297" i="12"/>
  <c r="O263" i="1"/>
  <c r="O266" i="1" s="1"/>
  <c r="O268" i="1" s="1"/>
  <c r="J297" i="12"/>
  <c r="J301" i="12" s="1"/>
  <c r="J303" i="12" s="1"/>
  <c r="I297" i="12"/>
  <c r="I301" i="12" s="1"/>
  <c r="I303" i="12" s="1"/>
  <c r="K297" i="12"/>
  <c r="K301" i="12" s="1"/>
  <c r="K303" i="12" s="1"/>
  <c r="N297" i="12"/>
  <c r="N301" i="12" s="1"/>
  <c r="N303" i="12" s="1"/>
  <c r="M297" i="12"/>
  <c r="M301" i="12" s="1"/>
  <c r="M303" i="12" s="1"/>
  <c r="L297" i="12"/>
  <c r="L301" i="12" s="1"/>
  <c r="L303" i="12" s="1"/>
  <c r="G164" i="7"/>
  <c r="O235" i="1"/>
  <c r="N257" i="12"/>
  <c r="M257" i="12"/>
  <c r="J257" i="12"/>
  <c r="I257" i="12"/>
  <c r="L257" i="12"/>
  <c r="K257" i="12"/>
  <c r="P234" i="1"/>
  <c r="O256" i="12"/>
  <c r="AA235" i="1"/>
  <c r="AH257" i="12"/>
  <c r="AG257" i="12"/>
  <c r="AF257" i="12"/>
  <c r="AE257" i="12"/>
  <c r="AD257" i="12"/>
  <c r="AC257" i="12"/>
  <c r="R295" i="12"/>
  <c r="P301" i="12"/>
  <c r="P303" i="12" s="1"/>
  <c r="P293" i="12"/>
  <c r="P283" i="12" s="1"/>
  <c r="O234" i="1"/>
  <c r="K256" i="12"/>
  <c r="J256" i="12"/>
  <c r="I256" i="12"/>
  <c r="L256" i="12"/>
  <c r="N256" i="12"/>
  <c r="M256" i="12"/>
  <c r="AF298" i="12"/>
  <c r="AE298" i="12"/>
  <c r="AD298" i="12"/>
  <c r="AC298" i="12"/>
  <c r="AH298" i="12"/>
  <c r="AG298" i="12"/>
  <c r="AH134" i="12"/>
  <c r="AG134" i="12"/>
  <c r="AF134" i="12"/>
  <c r="AC134" i="12"/>
  <c r="AE134" i="12"/>
  <c r="AD134" i="12"/>
  <c r="AB104" i="1"/>
  <c r="AE104" i="1" s="1"/>
  <c r="AI93" i="12"/>
  <c r="E257" i="12"/>
  <c r="P232" i="1"/>
  <c r="S232" i="1" s="1"/>
  <c r="O254" i="12"/>
  <c r="R261" i="12"/>
  <c r="P260" i="12"/>
  <c r="P262" i="12" s="1"/>
  <c r="P252" i="12"/>
  <c r="P242" i="12" s="1"/>
  <c r="P197" i="1"/>
  <c r="O213" i="12"/>
  <c r="N213" i="12"/>
  <c r="I213" i="12"/>
  <c r="M213" i="12"/>
  <c r="L213" i="12"/>
  <c r="K213" i="12"/>
  <c r="J213" i="12"/>
  <c r="Q197" i="1"/>
  <c r="Q202" i="1" s="1"/>
  <c r="Q204" i="1" s="1"/>
  <c r="Q196" i="1" s="1"/>
  <c r="Q191" i="1" s="1"/>
  <c r="Q195" i="1" s="1"/>
  <c r="P213" i="12"/>
  <c r="E203" i="1"/>
  <c r="S203" i="1" s="1"/>
  <c r="E220" i="12"/>
  <c r="E197" i="1"/>
  <c r="E213" i="12"/>
  <c r="O165" i="1"/>
  <c r="N172" i="12"/>
  <c r="M172" i="12"/>
  <c r="L172" i="12"/>
  <c r="K172" i="12"/>
  <c r="J172" i="12"/>
  <c r="I172" i="12"/>
  <c r="E171" i="1"/>
  <c r="S171" i="1" s="1"/>
  <c r="E179" i="12"/>
  <c r="R179" i="12" s="1"/>
  <c r="Q165" i="1"/>
  <c r="Q170" i="1" s="1"/>
  <c r="Q172" i="1" s="1"/>
  <c r="Q164" i="1" s="1"/>
  <c r="Q159" i="1" s="1"/>
  <c r="Q163" i="1" s="1"/>
  <c r="P172" i="12"/>
  <c r="E165" i="1"/>
  <c r="E172" i="12"/>
  <c r="Q133" i="1"/>
  <c r="Q138" i="1" s="1"/>
  <c r="Q140" i="1" s="1"/>
  <c r="Q132" i="1" s="1"/>
  <c r="Q127" i="1" s="1"/>
  <c r="Q131" i="1" s="1"/>
  <c r="P131" i="12"/>
  <c r="O133" i="1"/>
  <c r="N131" i="12"/>
  <c r="M131" i="12"/>
  <c r="I131" i="12"/>
  <c r="L131" i="12"/>
  <c r="K131" i="12"/>
  <c r="J131" i="12"/>
  <c r="E133" i="1"/>
  <c r="E131" i="12"/>
  <c r="E139" i="1"/>
  <c r="S139" i="1" s="1"/>
  <c r="E138" i="12"/>
  <c r="R138" i="12" s="1"/>
  <c r="O101" i="1"/>
  <c r="N90" i="12"/>
  <c r="J90" i="12"/>
  <c r="I90" i="12"/>
  <c r="M90" i="12"/>
  <c r="L90" i="12"/>
  <c r="K90" i="12"/>
  <c r="P90" i="12"/>
  <c r="Q101" i="1"/>
  <c r="Q106" i="1" s="1"/>
  <c r="Q108" i="1" s="1"/>
  <c r="Q100" i="1" s="1"/>
  <c r="Q95" i="1" s="1"/>
  <c r="Q99" i="1" s="1"/>
  <c r="E90" i="12"/>
  <c r="E101" i="1"/>
  <c r="E97" i="12"/>
  <c r="R97" i="12" s="1"/>
  <c r="E107" i="1"/>
  <c r="S107" i="1" s="1"/>
  <c r="E235" i="1"/>
  <c r="D170" i="7"/>
  <c r="E90" i="7"/>
  <c r="E176" i="7" s="1"/>
  <c r="E178" i="7" s="1"/>
  <c r="G165" i="7"/>
  <c r="G169" i="7"/>
  <c r="E164" i="7"/>
  <c r="F90" i="7"/>
  <c r="F176" i="7" s="1"/>
  <c r="F178" i="7" s="1"/>
  <c r="F169" i="7"/>
  <c r="F170" i="7"/>
  <c r="F168" i="7"/>
  <c r="E175" i="12" s="1"/>
  <c r="D90" i="7"/>
  <c r="D176" i="7" s="1"/>
  <c r="D178" i="7" s="1"/>
  <c r="G184" i="7"/>
  <c r="F36" i="6"/>
  <c r="G90" i="7"/>
  <c r="G176" i="7" s="1"/>
  <c r="G178" i="7" s="1"/>
  <c r="E165" i="7"/>
  <c r="H90" i="7"/>
  <c r="H176" i="7" s="1"/>
  <c r="H178" i="7" s="1"/>
  <c r="E135" i="1"/>
  <c r="E199" i="1"/>
  <c r="I178" i="7"/>
  <c r="E234" i="1"/>
  <c r="X235" i="1"/>
  <c r="F73" i="5"/>
  <c r="X102" i="1"/>
  <c r="X106" i="1" s="1"/>
  <c r="X108" i="1" s="1"/>
  <c r="D36" i="6"/>
  <c r="AA264" i="1"/>
  <c r="F46" i="5"/>
  <c r="I184" i="7"/>
  <c r="AA168" i="1"/>
  <c r="AA136" i="1"/>
  <c r="E184" i="7"/>
  <c r="G46" i="5"/>
  <c r="E134" i="1"/>
  <c r="F184" i="7"/>
  <c r="H184" i="7"/>
  <c r="E136" i="1"/>
  <c r="H54" i="5"/>
  <c r="I27" i="5"/>
  <c r="H28" i="5"/>
  <c r="H55" i="5" s="1"/>
  <c r="H36" i="5"/>
  <c r="H44" i="5" s="1"/>
  <c r="E173" i="12" s="1"/>
  <c r="H37" i="5"/>
  <c r="H45" i="5" s="1"/>
  <c r="E36" i="6"/>
  <c r="H177" i="7"/>
  <c r="Y256" i="12" s="1"/>
  <c r="Y260" i="12" s="1"/>
  <c r="Y262" i="12" s="1"/>
  <c r="X199" i="1"/>
  <c r="G63" i="5"/>
  <c r="G71" i="5" s="1"/>
  <c r="Y132" i="12" s="1"/>
  <c r="G64" i="5"/>
  <c r="G72" i="5" s="1"/>
  <c r="E263" i="1"/>
  <c r="N93" i="12" l="1"/>
  <c r="I93" i="12"/>
  <c r="I96" i="12" s="1"/>
  <c r="I98" i="12" s="1"/>
  <c r="O104" i="1"/>
  <c r="N134" i="12"/>
  <c r="O136" i="1"/>
  <c r="J134" i="12"/>
  <c r="R134" i="12" s="1"/>
  <c r="J93" i="12"/>
  <c r="J96" i="12" s="1"/>
  <c r="J98" i="12" s="1"/>
  <c r="M93" i="12"/>
  <c r="E92" i="12"/>
  <c r="E96" i="12" s="1"/>
  <c r="K93" i="12"/>
  <c r="K96" i="12" s="1"/>
  <c r="K98" i="12" s="1"/>
  <c r="P103" i="1"/>
  <c r="S103" i="1" s="1"/>
  <c r="S235" i="1"/>
  <c r="O237" i="1"/>
  <c r="O239" i="1" s="1"/>
  <c r="E167" i="1"/>
  <c r="S167" i="1" s="1"/>
  <c r="O174" i="12"/>
  <c r="R174" i="12" s="1"/>
  <c r="O106" i="1"/>
  <c r="O108" i="1" s="1"/>
  <c r="S234" i="1"/>
  <c r="S263" i="1"/>
  <c r="N260" i="12"/>
  <c r="N262" i="12" s="1"/>
  <c r="P251" i="12"/>
  <c r="L242" i="12"/>
  <c r="I242" i="12"/>
  <c r="J242" i="12"/>
  <c r="K242" i="12"/>
  <c r="M242" i="12"/>
  <c r="M252" i="12" s="1"/>
  <c r="N242" i="12"/>
  <c r="N252" i="12" s="1"/>
  <c r="S197" i="1"/>
  <c r="P292" i="12"/>
  <c r="J283" i="12"/>
  <c r="M283" i="12"/>
  <c r="M293" i="12" s="1"/>
  <c r="I283" i="12"/>
  <c r="K283" i="12"/>
  <c r="L283" i="12"/>
  <c r="N283" i="12"/>
  <c r="M260" i="12"/>
  <c r="M262" i="12" s="1"/>
  <c r="I260" i="12"/>
  <c r="I262" i="12" s="1"/>
  <c r="J260" i="12"/>
  <c r="J262" i="12" s="1"/>
  <c r="E179" i="7"/>
  <c r="AF133" i="12"/>
  <c r="AF137" i="12" s="1"/>
  <c r="AF139" i="12" s="1"/>
  <c r="AC133" i="12"/>
  <c r="AC137" i="12" s="1"/>
  <c r="AH133" i="12"/>
  <c r="AH137" i="12" s="1"/>
  <c r="AH139" i="12" s="1"/>
  <c r="AG133" i="12"/>
  <c r="AG137" i="12" s="1"/>
  <c r="AG139" i="12" s="1"/>
  <c r="AE133" i="12"/>
  <c r="AE137" i="12" s="1"/>
  <c r="AE139" i="12" s="1"/>
  <c r="AD133" i="12"/>
  <c r="AD137" i="12" s="1"/>
  <c r="AD139" i="12" s="1"/>
  <c r="D179" i="7"/>
  <c r="AH92" i="12"/>
  <c r="AH96" i="12" s="1"/>
  <c r="AH98" i="12" s="1"/>
  <c r="AG92" i="12"/>
  <c r="AG96" i="12" s="1"/>
  <c r="AG98" i="12" s="1"/>
  <c r="AF92" i="12"/>
  <c r="AF96" i="12" s="1"/>
  <c r="AF98" i="12" s="1"/>
  <c r="AE92" i="12"/>
  <c r="AE96" i="12" s="1"/>
  <c r="AE98" i="12" s="1"/>
  <c r="AD92" i="12"/>
  <c r="AD96" i="12" s="1"/>
  <c r="AD98" i="12" s="1"/>
  <c r="AC92" i="12"/>
  <c r="AC174" i="12"/>
  <c r="AG174" i="12"/>
  <c r="AG178" i="12" s="1"/>
  <c r="AG180" i="12" s="1"/>
  <c r="AD174" i="12"/>
  <c r="AD178" i="12" s="1"/>
  <c r="AD180" i="12" s="1"/>
  <c r="AH174" i="12"/>
  <c r="AH178" i="12" s="1"/>
  <c r="AH180" i="12" s="1"/>
  <c r="AF174" i="12"/>
  <c r="AF178" i="12" s="1"/>
  <c r="AF180" i="12" s="1"/>
  <c r="AE174" i="12"/>
  <c r="AE178" i="12" s="1"/>
  <c r="AE180" i="12" s="1"/>
  <c r="I179" i="7"/>
  <c r="AF297" i="12"/>
  <c r="AF301" i="12" s="1"/>
  <c r="AF303" i="12" s="1"/>
  <c r="AE297" i="12"/>
  <c r="AE301" i="12" s="1"/>
  <c r="AE303" i="12" s="1"/>
  <c r="AD297" i="12"/>
  <c r="AD301" i="12" s="1"/>
  <c r="AD303" i="12" s="1"/>
  <c r="AC297" i="12"/>
  <c r="AC301" i="12" s="1"/>
  <c r="AH297" i="12"/>
  <c r="AH301" i="12" s="1"/>
  <c r="AH303" i="12" s="1"/>
  <c r="AH279" i="12" s="1"/>
  <c r="AH273" i="12" s="1"/>
  <c r="AG297" i="12"/>
  <c r="AG301" i="12" s="1"/>
  <c r="AG303" i="12" s="1"/>
  <c r="AH256" i="12"/>
  <c r="AH260" i="12" s="1"/>
  <c r="AH262" i="12" s="1"/>
  <c r="AG256" i="12"/>
  <c r="AG260" i="12" s="1"/>
  <c r="AG262" i="12" s="1"/>
  <c r="AF256" i="12"/>
  <c r="AF260" i="12" s="1"/>
  <c r="AF262" i="12" s="1"/>
  <c r="AE256" i="12"/>
  <c r="AE260" i="12" s="1"/>
  <c r="AE262" i="12" s="1"/>
  <c r="AD256" i="12"/>
  <c r="AD260" i="12" s="1"/>
  <c r="AD262" i="12" s="1"/>
  <c r="AC256" i="12"/>
  <c r="AC260" i="12" s="1"/>
  <c r="AA199" i="1"/>
  <c r="AA202" i="1" s="1"/>
  <c r="AA204" i="1" s="1"/>
  <c r="AG215" i="12"/>
  <c r="AG219" i="12" s="1"/>
  <c r="AG221" i="12" s="1"/>
  <c r="AF215" i="12"/>
  <c r="AF219" i="12" s="1"/>
  <c r="AF221" i="12" s="1"/>
  <c r="AH215" i="12"/>
  <c r="AH219" i="12" s="1"/>
  <c r="AH221" i="12" s="1"/>
  <c r="AE215" i="12"/>
  <c r="AE219" i="12" s="1"/>
  <c r="AE221" i="12" s="1"/>
  <c r="AD215" i="12"/>
  <c r="AD219" i="12" s="1"/>
  <c r="AD221" i="12" s="1"/>
  <c r="AC215" i="12"/>
  <c r="AC219" i="12" s="1"/>
  <c r="M96" i="12"/>
  <c r="M98" i="12" s="1"/>
  <c r="K260" i="12"/>
  <c r="K262" i="12" s="1"/>
  <c r="L260" i="12"/>
  <c r="L262" i="12" s="1"/>
  <c r="P166" i="1"/>
  <c r="O173" i="12"/>
  <c r="R173" i="12" s="1"/>
  <c r="AB134" i="1"/>
  <c r="AI132" i="12"/>
  <c r="AL132" i="12" s="1"/>
  <c r="Y137" i="12"/>
  <c r="Y139" i="12" s="1"/>
  <c r="AB136" i="1"/>
  <c r="AE136" i="1" s="1"/>
  <c r="AI134" i="12"/>
  <c r="P135" i="1"/>
  <c r="O133" i="12"/>
  <c r="O200" i="1"/>
  <c r="K216" i="12"/>
  <c r="J216" i="12"/>
  <c r="I216" i="12"/>
  <c r="L216" i="12"/>
  <c r="N216" i="12"/>
  <c r="M216" i="12"/>
  <c r="P200" i="1"/>
  <c r="O216" i="12"/>
  <c r="AB200" i="1"/>
  <c r="AF200" i="1" s="1"/>
  <c r="AI216" i="12"/>
  <c r="AL216" i="12" s="1"/>
  <c r="R256" i="12"/>
  <c r="R297" i="12"/>
  <c r="AB264" i="1"/>
  <c r="AE264" i="1" s="1"/>
  <c r="AI298" i="12"/>
  <c r="O199" i="1"/>
  <c r="N215" i="12"/>
  <c r="L215" i="12"/>
  <c r="K215" i="12"/>
  <c r="M215" i="12"/>
  <c r="J215" i="12"/>
  <c r="I215" i="12"/>
  <c r="L96" i="12"/>
  <c r="L98" i="12" s="1"/>
  <c r="O93" i="12"/>
  <c r="P104" i="1"/>
  <c r="S104" i="1" s="1"/>
  <c r="S136" i="1"/>
  <c r="P168" i="1"/>
  <c r="O175" i="12"/>
  <c r="N96" i="12"/>
  <c r="N98" i="12" s="1"/>
  <c r="R298" i="12"/>
  <c r="O168" i="1"/>
  <c r="O170" i="1" s="1"/>
  <c r="O172" i="1" s="1"/>
  <c r="N175" i="12"/>
  <c r="N178" i="12" s="1"/>
  <c r="N180" i="12" s="1"/>
  <c r="M175" i="12"/>
  <c r="M178" i="12" s="1"/>
  <c r="M180" i="12" s="1"/>
  <c r="L175" i="12"/>
  <c r="L178" i="12" s="1"/>
  <c r="L180" i="12" s="1"/>
  <c r="K175" i="12"/>
  <c r="K178" i="12" s="1"/>
  <c r="K180" i="12" s="1"/>
  <c r="J175" i="12"/>
  <c r="J178" i="12" s="1"/>
  <c r="J180" i="12" s="1"/>
  <c r="I175" i="12"/>
  <c r="I178" i="12" s="1"/>
  <c r="I180" i="12" s="1"/>
  <c r="AL93" i="12"/>
  <c r="P199" i="1"/>
  <c r="O215" i="12"/>
  <c r="AB235" i="1"/>
  <c r="AE235" i="1" s="1"/>
  <c r="AI257" i="12"/>
  <c r="AB168" i="1"/>
  <c r="AE168" i="1" s="1"/>
  <c r="AI175" i="12"/>
  <c r="O135" i="1"/>
  <c r="O138" i="1" s="1"/>
  <c r="O140" i="1" s="1"/>
  <c r="J133" i="12"/>
  <c r="J137" i="12" s="1"/>
  <c r="J139" i="12" s="1"/>
  <c r="I133" i="12"/>
  <c r="L133" i="12"/>
  <c r="L137" i="12" s="1"/>
  <c r="L139" i="12" s="1"/>
  <c r="K133" i="12"/>
  <c r="K137" i="12" s="1"/>
  <c r="K139" i="12" s="1"/>
  <c r="N133" i="12"/>
  <c r="N137" i="12" s="1"/>
  <c r="N139" i="12" s="1"/>
  <c r="M133" i="12"/>
  <c r="M137" i="12" s="1"/>
  <c r="M139" i="12" s="1"/>
  <c r="R257" i="12"/>
  <c r="R254" i="12"/>
  <c r="R220" i="12"/>
  <c r="P219" i="12"/>
  <c r="P221" i="12" s="1"/>
  <c r="P211" i="12"/>
  <c r="P201" i="12" s="1"/>
  <c r="R213" i="12"/>
  <c r="P170" i="12"/>
  <c r="P160" i="12" s="1"/>
  <c r="P178" i="12"/>
  <c r="P180" i="12" s="1"/>
  <c r="P165" i="1"/>
  <c r="S165" i="1" s="1"/>
  <c r="O172" i="12"/>
  <c r="R172" i="12" s="1"/>
  <c r="E178" i="12"/>
  <c r="E137" i="12"/>
  <c r="P133" i="1"/>
  <c r="S133" i="1" s="1"/>
  <c r="O131" i="12"/>
  <c r="R131" i="12" s="1"/>
  <c r="P129" i="12"/>
  <c r="P119" i="12" s="1"/>
  <c r="P137" i="12"/>
  <c r="P139" i="12" s="1"/>
  <c r="P88" i="12"/>
  <c r="P78" i="12" s="1"/>
  <c r="I78" i="12" s="1"/>
  <c r="P96" i="12"/>
  <c r="P98" i="12" s="1"/>
  <c r="O90" i="12"/>
  <c r="P101" i="1"/>
  <c r="AA234" i="1"/>
  <c r="AA237" i="1" s="1"/>
  <c r="AA239" i="1" s="1"/>
  <c r="E168" i="1"/>
  <c r="E138" i="1"/>
  <c r="E140" i="1" s="1"/>
  <c r="G47" i="5"/>
  <c r="S134" i="1"/>
  <c r="I54" i="5"/>
  <c r="J27" i="5"/>
  <c r="I28" i="5"/>
  <c r="I55" i="5" s="1"/>
  <c r="I37" i="5"/>
  <c r="I45" i="5" s="1"/>
  <c r="I36" i="5"/>
  <c r="I44" i="5" s="1"/>
  <c r="E214" i="12" s="1"/>
  <c r="E219" i="12" s="1"/>
  <c r="AA167" i="1"/>
  <c r="E106" i="1"/>
  <c r="E108" i="1" s="1"/>
  <c r="T108" i="1" s="1"/>
  <c r="X234" i="1"/>
  <c r="H63" i="5"/>
  <c r="H71" i="5" s="1"/>
  <c r="Y173" i="12" s="1"/>
  <c r="H64" i="5"/>
  <c r="H72" i="5" s="1"/>
  <c r="F47" i="5"/>
  <c r="S102" i="1"/>
  <c r="F179" i="7"/>
  <c r="AE102" i="1"/>
  <c r="F74" i="5"/>
  <c r="H179" i="7"/>
  <c r="G73" i="5"/>
  <c r="X134" i="1"/>
  <c r="X138" i="1" s="1"/>
  <c r="X140" i="1" s="1"/>
  <c r="G179" i="7"/>
  <c r="AI215" i="12" s="1"/>
  <c r="H46" i="5"/>
  <c r="E166" i="1"/>
  <c r="AA263" i="1"/>
  <c r="AA135" i="1"/>
  <c r="AA103" i="1"/>
  <c r="R92" i="12" l="1"/>
  <c r="R93" i="12"/>
  <c r="S199" i="1"/>
  <c r="S135" i="1"/>
  <c r="J219" i="12"/>
  <c r="J221" i="12" s="1"/>
  <c r="S200" i="1"/>
  <c r="P106" i="1"/>
  <c r="P108" i="1" s="1"/>
  <c r="P100" i="1" s="1"/>
  <c r="P95" i="1" s="1"/>
  <c r="G95" i="1" s="1"/>
  <c r="G100" i="1" s="1"/>
  <c r="P138" i="1"/>
  <c r="P140" i="1" s="1"/>
  <c r="P132" i="1" s="1"/>
  <c r="P127" i="1" s="1"/>
  <c r="C127" i="1" s="1"/>
  <c r="C132" i="1" s="1"/>
  <c r="N238" i="12"/>
  <c r="N232" i="12" s="1"/>
  <c r="AE200" i="1"/>
  <c r="S101" i="1"/>
  <c r="S106" i="1" s="1"/>
  <c r="S108" i="1" s="1"/>
  <c r="P170" i="1"/>
  <c r="P172" i="1" s="1"/>
  <c r="P164" i="1" s="1"/>
  <c r="P159" i="1" s="1"/>
  <c r="E159" i="1" s="1"/>
  <c r="E164" i="1" s="1"/>
  <c r="P128" i="12"/>
  <c r="J119" i="12"/>
  <c r="L119" i="12"/>
  <c r="N119" i="12"/>
  <c r="N129" i="12" s="1"/>
  <c r="N115" i="12" s="1"/>
  <c r="N109" i="12" s="1"/>
  <c r="I119" i="12"/>
  <c r="K119" i="12"/>
  <c r="M119" i="12"/>
  <c r="M129" i="12" s="1"/>
  <c r="P210" i="12"/>
  <c r="J201" i="12"/>
  <c r="L201" i="12"/>
  <c r="N201" i="12"/>
  <c r="N211" i="12" s="1"/>
  <c r="I201" i="12"/>
  <c r="K201" i="12"/>
  <c r="M201" i="12"/>
  <c r="M211" i="12" s="1"/>
  <c r="P169" i="12"/>
  <c r="J160" i="12"/>
  <c r="M160" i="12"/>
  <c r="M170" i="12" s="1"/>
  <c r="K160" i="12"/>
  <c r="L160" i="12"/>
  <c r="N160" i="12"/>
  <c r="N170" i="12" s="1"/>
  <c r="N156" i="12" s="1"/>
  <c r="N150" i="12" s="1"/>
  <c r="I160" i="12"/>
  <c r="P87" i="12"/>
  <c r="K78" i="12"/>
  <c r="L78" i="12"/>
  <c r="M78" i="12"/>
  <c r="M88" i="12" s="1"/>
  <c r="N78" i="12"/>
  <c r="N88" i="12" s="1"/>
  <c r="N74" i="12" s="1"/>
  <c r="N68" i="12" s="1"/>
  <c r="J78" i="12"/>
  <c r="R216" i="12"/>
  <c r="N219" i="12"/>
  <c r="N221" i="12" s="1"/>
  <c r="R175" i="12"/>
  <c r="M219" i="12"/>
  <c r="M221" i="12" s="1"/>
  <c r="K219" i="12"/>
  <c r="K221" i="12" s="1"/>
  <c r="L219" i="12"/>
  <c r="L221" i="12" s="1"/>
  <c r="AC96" i="12"/>
  <c r="AL215" i="12"/>
  <c r="AB234" i="1"/>
  <c r="AE234" i="1" s="1"/>
  <c r="AI256" i="12"/>
  <c r="AL256" i="12" s="1"/>
  <c r="AB167" i="1"/>
  <c r="AE167" i="1" s="1"/>
  <c r="AI174" i="12"/>
  <c r="AL174" i="12" s="1"/>
  <c r="AC178" i="12"/>
  <c r="AC180" i="12" s="1"/>
  <c r="AB263" i="1"/>
  <c r="AE263" i="1" s="1"/>
  <c r="AI297" i="12"/>
  <c r="AL297" i="12" s="1"/>
  <c r="AB103" i="1"/>
  <c r="AB106" i="1" s="1"/>
  <c r="AB108" i="1" s="1"/>
  <c r="AB100" i="1" s="1"/>
  <c r="AB95" i="1" s="1"/>
  <c r="AI92" i="12"/>
  <c r="AI96" i="12" s="1"/>
  <c r="AI98" i="12" s="1"/>
  <c r="AI88" i="12" s="1"/>
  <c r="AI77" i="12" s="1"/>
  <c r="AB135" i="1"/>
  <c r="AB138" i="1" s="1"/>
  <c r="AB140" i="1" s="1"/>
  <c r="AB132" i="1" s="1"/>
  <c r="AB127" i="1" s="1"/>
  <c r="AI133" i="12"/>
  <c r="AI137" i="12" s="1"/>
  <c r="R215" i="12"/>
  <c r="I219" i="12"/>
  <c r="I221" i="12" s="1"/>
  <c r="R133" i="12"/>
  <c r="O137" i="12"/>
  <c r="O139" i="12" s="1"/>
  <c r="O129" i="12" s="1"/>
  <c r="O118" i="12" s="1"/>
  <c r="P198" i="1"/>
  <c r="P202" i="1" s="1"/>
  <c r="P204" i="1" s="1"/>
  <c r="P196" i="1" s="1"/>
  <c r="P191" i="1" s="1"/>
  <c r="O191" i="1" s="1"/>
  <c r="O196" i="1" s="1"/>
  <c r="O214" i="12"/>
  <c r="O219" i="12" s="1"/>
  <c r="O221" i="12" s="1"/>
  <c r="O211" i="12" s="1"/>
  <c r="O200" i="12" s="1"/>
  <c r="Y178" i="12"/>
  <c r="Y180" i="12" s="1"/>
  <c r="AB166" i="1"/>
  <c r="AI173" i="12"/>
  <c r="AC303" i="12"/>
  <c r="AL298" i="12"/>
  <c r="AC221" i="12"/>
  <c r="O202" i="1"/>
  <c r="O204" i="1" s="1"/>
  <c r="O178" i="12"/>
  <c r="O180" i="12" s="1"/>
  <c r="O170" i="12" s="1"/>
  <c r="O159" i="12" s="1"/>
  <c r="I137" i="12"/>
  <c r="I139" i="12" s="1"/>
  <c r="O96" i="12"/>
  <c r="O98" i="12" s="1"/>
  <c r="O88" i="12" s="1"/>
  <c r="O77" i="12" s="1"/>
  <c r="S168" i="1"/>
  <c r="AC262" i="12"/>
  <c r="AC139" i="12"/>
  <c r="AL175" i="12"/>
  <c r="AL257" i="12"/>
  <c r="AL134" i="12"/>
  <c r="E221" i="12"/>
  <c r="E180" i="12"/>
  <c r="E139" i="12"/>
  <c r="P98" i="1"/>
  <c r="S98" i="1" s="1"/>
  <c r="E98" i="12"/>
  <c r="R90" i="12"/>
  <c r="E170" i="1"/>
  <c r="E172" i="1" s="1"/>
  <c r="S138" i="1"/>
  <c r="S140" i="1" s="1"/>
  <c r="AA170" i="1"/>
  <c r="AA172" i="1" s="1"/>
  <c r="AA266" i="1"/>
  <c r="AA268" i="1" s="1"/>
  <c r="I46" i="5"/>
  <c r="E198" i="1"/>
  <c r="E202" i="1" s="1"/>
  <c r="E204" i="1" s="1"/>
  <c r="J54" i="5"/>
  <c r="K27" i="5"/>
  <c r="J28" i="5"/>
  <c r="J55" i="5" s="1"/>
  <c r="J36" i="5"/>
  <c r="J44" i="5" s="1"/>
  <c r="E255" i="12" s="1"/>
  <c r="J37" i="5"/>
  <c r="J45" i="5" s="1"/>
  <c r="AA138" i="1"/>
  <c r="AA140" i="1" s="1"/>
  <c r="H47" i="5"/>
  <c r="S166" i="1"/>
  <c r="I63" i="5"/>
  <c r="I71" i="5" s="1"/>
  <c r="Y214" i="12" s="1"/>
  <c r="I64" i="5"/>
  <c r="I72" i="5" s="1"/>
  <c r="G74" i="5"/>
  <c r="AE134" i="1"/>
  <c r="AB199" i="1"/>
  <c r="AA106" i="1"/>
  <c r="AA108" i="1" s="1"/>
  <c r="AF108" i="1" s="1"/>
  <c r="X166" i="1"/>
  <c r="X170" i="1" s="1"/>
  <c r="X172" i="1" s="1"/>
  <c r="H73" i="5"/>
  <c r="P99" i="1" l="1"/>
  <c r="S99" i="1" s="1"/>
  <c r="C95" i="1"/>
  <c r="C100" i="1" s="1"/>
  <c r="P131" i="1"/>
  <c r="S131" i="1" s="1"/>
  <c r="G127" i="1"/>
  <c r="G132" i="1" s="1"/>
  <c r="E127" i="1"/>
  <c r="E132" i="1" s="1"/>
  <c r="T140" i="1"/>
  <c r="O127" i="1"/>
  <c r="O132" i="1" s="1"/>
  <c r="S170" i="1"/>
  <c r="S172" i="1" s="1"/>
  <c r="I95" i="1"/>
  <c r="E95" i="1"/>
  <c r="E100" i="1" s="1"/>
  <c r="S100" i="1" s="1"/>
  <c r="P130" i="1"/>
  <c r="S130" i="1" s="1"/>
  <c r="M95" i="1"/>
  <c r="J95" i="1"/>
  <c r="K95" i="1"/>
  <c r="H95" i="1"/>
  <c r="O95" i="1"/>
  <c r="N197" i="12"/>
  <c r="N191" i="12" s="1"/>
  <c r="AE135" i="1"/>
  <c r="AE138" i="1" s="1"/>
  <c r="AE140" i="1" s="1"/>
  <c r="G159" i="1"/>
  <c r="G164" i="1" s="1"/>
  <c r="P163" i="1"/>
  <c r="S163" i="1" s="1"/>
  <c r="T172" i="1"/>
  <c r="O159" i="1"/>
  <c r="O164" i="1" s="1"/>
  <c r="P162" i="1"/>
  <c r="S162" i="1" s="1"/>
  <c r="C159" i="1"/>
  <c r="C164" i="1" s="1"/>
  <c r="AE103" i="1"/>
  <c r="AE106" i="1" s="1"/>
  <c r="AE108" i="1" s="1"/>
  <c r="H129" i="12"/>
  <c r="H115" i="12" s="1"/>
  <c r="H109" i="12" s="1"/>
  <c r="I129" i="12"/>
  <c r="I115" i="12" s="1"/>
  <c r="I110" i="12" s="1"/>
  <c r="L129" i="12"/>
  <c r="L115" i="12" s="1"/>
  <c r="L109" i="12" s="1"/>
  <c r="K129" i="12"/>
  <c r="K115" i="12" s="1"/>
  <c r="K110" i="12" s="1"/>
  <c r="J129" i="12"/>
  <c r="J115" i="12" s="1"/>
  <c r="J109" i="12" s="1"/>
  <c r="O87" i="12"/>
  <c r="O86" i="12"/>
  <c r="R86" i="12" s="1"/>
  <c r="AC88" i="12"/>
  <c r="AC74" i="12" s="1"/>
  <c r="AC69" i="12" s="1"/>
  <c r="AH88" i="12"/>
  <c r="AH74" i="12" s="1"/>
  <c r="AH68" i="12" s="1"/>
  <c r="AE88" i="12"/>
  <c r="AE74" i="12" s="1"/>
  <c r="AE69" i="12" s="1"/>
  <c r="AF88" i="12"/>
  <c r="AF74" i="12" s="1"/>
  <c r="AF68" i="12" s="1"/>
  <c r="K170" i="12"/>
  <c r="K156" i="12" s="1"/>
  <c r="K151" i="12" s="1"/>
  <c r="J170" i="12"/>
  <c r="J156" i="12" s="1"/>
  <c r="J150" i="12" s="1"/>
  <c r="L170" i="12"/>
  <c r="L156" i="12" s="1"/>
  <c r="L150" i="12" s="1"/>
  <c r="L211" i="12"/>
  <c r="L197" i="12" s="1"/>
  <c r="L191" i="12" s="1"/>
  <c r="K211" i="12"/>
  <c r="K197" i="12" s="1"/>
  <c r="K192" i="12" s="1"/>
  <c r="J211" i="12"/>
  <c r="J197" i="12" s="1"/>
  <c r="J191" i="12" s="1"/>
  <c r="I211" i="12"/>
  <c r="I197" i="12" s="1"/>
  <c r="I192" i="12" s="1"/>
  <c r="R214" i="12"/>
  <c r="W170" i="12"/>
  <c r="R137" i="12"/>
  <c r="O128" i="12"/>
  <c r="R128" i="12" s="1"/>
  <c r="O127" i="12"/>
  <c r="R127" i="12" s="1"/>
  <c r="R139" i="12"/>
  <c r="E129" i="12"/>
  <c r="E115" i="12" s="1"/>
  <c r="E110" i="12" s="1"/>
  <c r="V127" i="1"/>
  <c r="V132" i="1" s="1"/>
  <c r="Z127" i="1"/>
  <c r="Z132" i="1" s="1"/>
  <c r="AA127" i="1"/>
  <c r="AA132" i="1" s="1"/>
  <c r="X127" i="1"/>
  <c r="X132" i="1" s="1"/>
  <c r="AB130" i="1"/>
  <c r="AE130" i="1" s="1"/>
  <c r="AB131" i="1"/>
  <c r="AE131" i="1" s="1"/>
  <c r="AI139" i="12"/>
  <c r="AI129" i="12" s="1"/>
  <c r="AI118" i="12" s="1"/>
  <c r="AL137" i="12"/>
  <c r="AF140" i="1"/>
  <c r="AB88" i="12"/>
  <c r="AB74" i="12" s="1"/>
  <c r="AB68" i="12" s="1"/>
  <c r="AI86" i="12"/>
  <c r="AL86" i="12" s="1"/>
  <c r="Y88" i="12"/>
  <c r="Y74" i="12" s="1"/>
  <c r="Y69" i="12" s="1"/>
  <c r="AI87" i="12"/>
  <c r="AL87" i="12" s="1"/>
  <c r="AL133" i="12"/>
  <c r="X95" i="1"/>
  <c r="X100" i="1" s="1"/>
  <c r="AA95" i="1"/>
  <c r="AA100" i="1" s="1"/>
  <c r="Z95" i="1"/>
  <c r="Z100" i="1" s="1"/>
  <c r="AB99" i="1"/>
  <c r="AE99" i="1" s="1"/>
  <c r="V95" i="1"/>
  <c r="AB98" i="1"/>
  <c r="AE98" i="1" s="1"/>
  <c r="AA111" i="1"/>
  <c r="AI178" i="12"/>
  <c r="AI180" i="12" s="1"/>
  <c r="AI170" i="12" s="1"/>
  <c r="AI159" i="12" s="1"/>
  <c r="AB170" i="1"/>
  <c r="AB172" i="1" s="1"/>
  <c r="AB164" i="1" s="1"/>
  <c r="AB159" i="1" s="1"/>
  <c r="AB163" i="1" s="1"/>
  <c r="AE163" i="1" s="1"/>
  <c r="AC98" i="12"/>
  <c r="AL98" i="12" s="1"/>
  <c r="AL96" i="12"/>
  <c r="AL92" i="12"/>
  <c r="P195" i="1"/>
  <c r="S195" i="1" s="1"/>
  <c r="H211" i="12"/>
  <c r="H197" i="12" s="1"/>
  <c r="H191" i="12" s="1"/>
  <c r="O210" i="12"/>
  <c r="R210" i="12" s="1"/>
  <c r="G191" i="1"/>
  <c r="G196" i="1" s="1"/>
  <c r="P194" i="1"/>
  <c r="S194" i="1" s="1"/>
  <c r="R96" i="12"/>
  <c r="C170" i="12"/>
  <c r="W88" i="12"/>
  <c r="E191" i="1"/>
  <c r="E196" i="1" s="1"/>
  <c r="H170" i="12"/>
  <c r="H156" i="12" s="1"/>
  <c r="H150" i="12" s="1"/>
  <c r="C191" i="1"/>
  <c r="C196" i="1" s="1"/>
  <c r="W293" i="12"/>
  <c r="W211" i="12"/>
  <c r="E88" i="12"/>
  <c r="E74" i="12" s="1"/>
  <c r="E69" i="12" s="1"/>
  <c r="E170" i="12"/>
  <c r="E156" i="12" s="1"/>
  <c r="E151" i="12" s="1"/>
  <c r="Y219" i="12"/>
  <c r="R98" i="12"/>
  <c r="C252" i="12"/>
  <c r="W252" i="12"/>
  <c r="R178" i="12"/>
  <c r="E260" i="12"/>
  <c r="C88" i="12"/>
  <c r="R180" i="12"/>
  <c r="E211" i="12"/>
  <c r="E197" i="12" s="1"/>
  <c r="AL173" i="12"/>
  <c r="AB198" i="1"/>
  <c r="AB202" i="1" s="1"/>
  <c r="AB204" i="1" s="1"/>
  <c r="AB196" i="1" s="1"/>
  <c r="AB191" i="1" s="1"/>
  <c r="AI214" i="12"/>
  <c r="AI219" i="12" s="1"/>
  <c r="AI221" i="12" s="1"/>
  <c r="AI211" i="12" s="1"/>
  <c r="AI200" i="12" s="1"/>
  <c r="C211" i="12"/>
  <c r="R221" i="12"/>
  <c r="O209" i="12"/>
  <c r="R209" i="12" s="1"/>
  <c r="R219" i="12"/>
  <c r="P233" i="1"/>
  <c r="P237" i="1" s="1"/>
  <c r="P239" i="1" s="1"/>
  <c r="P231" i="1" s="1"/>
  <c r="P226" i="1" s="1"/>
  <c r="C226" i="1" s="1"/>
  <c r="O255" i="12"/>
  <c r="O260" i="12" s="1"/>
  <c r="O262" i="12" s="1"/>
  <c r="O252" i="12" s="1"/>
  <c r="O241" i="12" s="1"/>
  <c r="H88" i="12"/>
  <c r="H74" i="12" s="1"/>
  <c r="H68" i="12" s="1"/>
  <c r="O169" i="12"/>
  <c r="R169" i="12" s="1"/>
  <c r="O168" i="12"/>
  <c r="R168" i="12" s="1"/>
  <c r="T204" i="1"/>
  <c r="J46" i="5"/>
  <c r="E233" i="1"/>
  <c r="E237" i="1" s="1"/>
  <c r="E239" i="1" s="1"/>
  <c r="I73" i="5"/>
  <c r="X198" i="1"/>
  <c r="K54" i="5"/>
  <c r="K28" i="5"/>
  <c r="K55" i="5" s="1"/>
  <c r="K36" i="5"/>
  <c r="K44" i="5" s="1"/>
  <c r="E296" i="12" s="1"/>
  <c r="K37" i="5"/>
  <c r="K45" i="5" s="1"/>
  <c r="J63" i="5"/>
  <c r="J71" i="5" s="1"/>
  <c r="J64" i="5"/>
  <c r="J72" i="5" s="1"/>
  <c r="S198" i="1"/>
  <c r="S202" i="1" s="1"/>
  <c r="S204" i="1" s="1"/>
  <c r="I47" i="5"/>
  <c r="AF199" i="1"/>
  <c r="AE199" i="1"/>
  <c r="H74" i="5"/>
  <c r="AE166" i="1"/>
  <c r="AE170" i="1" s="1"/>
  <c r="AE172" i="1" s="1"/>
  <c r="S132" i="1" l="1"/>
  <c r="S127" i="1"/>
  <c r="S95" i="1"/>
  <c r="S164" i="1"/>
  <c r="S159" i="1"/>
  <c r="AH170" i="12"/>
  <c r="AH156" i="12" s="1"/>
  <c r="AH150" i="12" s="1"/>
  <c r="AE170" i="12"/>
  <c r="AE156" i="12" s="1"/>
  <c r="AE151" i="12" s="1"/>
  <c r="AF170" i="12"/>
  <c r="AF156" i="12" s="1"/>
  <c r="AF150" i="12" s="1"/>
  <c r="AD170" i="12"/>
  <c r="AC170" i="12"/>
  <c r="AC156" i="12" s="1"/>
  <c r="AC151" i="12" s="1"/>
  <c r="AD129" i="12"/>
  <c r="AH129" i="12"/>
  <c r="AH115" i="12" s="1"/>
  <c r="AH109" i="12" s="1"/>
  <c r="AE129" i="12"/>
  <c r="AE115" i="12" s="1"/>
  <c r="AE110" i="12" s="1"/>
  <c r="AC129" i="12"/>
  <c r="AC115" i="12" s="1"/>
  <c r="AC110" i="12" s="1"/>
  <c r="AF129" i="12"/>
  <c r="AF115" i="12" s="1"/>
  <c r="AF109" i="12" s="1"/>
  <c r="K252" i="12"/>
  <c r="K238" i="12" s="1"/>
  <c r="K233" i="12" s="1"/>
  <c r="L252" i="12"/>
  <c r="L238" i="12" s="1"/>
  <c r="L232" i="12" s="1"/>
  <c r="J252" i="12"/>
  <c r="J238" i="12" s="1"/>
  <c r="J232" i="12" s="1"/>
  <c r="AF211" i="12"/>
  <c r="AF197" i="12" s="1"/>
  <c r="AF191" i="12" s="1"/>
  <c r="AE211" i="12"/>
  <c r="AE197" i="12" s="1"/>
  <c r="AE192" i="12" s="1"/>
  <c r="AH211" i="12"/>
  <c r="AH197" i="12" s="1"/>
  <c r="AH191" i="12" s="1"/>
  <c r="AC211" i="12"/>
  <c r="AC197" i="12" s="1"/>
  <c r="AC192" i="12" s="1"/>
  <c r="R110" i="12"/>
  <c r="J88" i="12"/>
  <c r="J74" i="12" s="1"/>
  <c r="J68" i="12" s="1"/>
  <c r="I88" i="12"/>
  <c r="I74" i="12" s="1"/>
  <c r="I69" i="12" s="1"/>
  <c r="R87" i="12"/>
  <c r="C129" i="12"/>
  <c r="R129" i="12" s="1"/>
  <c r="AL119" i="12"/>
  <c r="R119" i="12"/>
  <c r="R109" i="12"/>
  <c r="AE132" i="1"/>
  <c r="AL69" i="12"/>
  <c r="AE127" i="1"/>
  <c r="AL139" i="12"/>
  <c r="V100" i="1"/>
  <c r="AE100" i="1" s="1"/>
  <c r="AE95" i="1"/>
  <c r="AF172" i="1"/>
  <c r="AL178" i="12"/>
  <c r="AB129" i="12"/>
  <c r="AB115" i="12" s="1"/>
  <c r="AB109" i="12" s="1"/>
  <c r="AI128" i="12"/>
  <c r="AL128" i="12" s="1"/>
  <c r="AI127" i="12"/>
  <c r="AL127" i="12" s="1"/>
  <c r="Y129" i="12"/>
  <c r="Y115" i="12" s="1"/>
  <c r="Y110" i="12" s="1"/>
  <c r="AB162" i="1"/>
  <c r="AE162" i="1" s="1"/>
  <c r="Z159" i="1"/>
  <c r="Z164" i="1" s="1"/>
  <c r="X159" i="1"/>
  <c r="X164" i="1" s="1"/>
  <c r="AA159" i="1"/>
  <c r="AA164" i="1" s="1"/>
  <c r="V159" i="1"/>
  <c r="V164" i="1" s="1"/>
  <c r="AL214" i="12"/>
  <c r="W129" i="12"/>
  <c r="P230" i="1"/>
  <c r="S230" i="1" s="1"/>
  <c r="G226" i="1"/>
  <c r="G231" i="1" s="1"/>
  <c r="T239" i="1"/>
  <c r="E226" i="1"/>
  <c r="E231" i="1" s="1"/>
  <c r="P229" i="1"/>
  <c r="S229" i="1" s="1"/>
  <c r="S191" i="1"/>
  <c r="S196" i="1"/>
  <c r="AL77" i="12"/>
  <c r="AD88" i="12"/>
  <c r="AL88" i="12" s="1"/>
  <c r="AL180" i="12"/>
  <c r="R201" i="12"/>
  <c r="O226" i="1"/>
  <c r="O231" i="1" s="1"/>
  <c r="O250" i="12"/>
  <c r="R250" i="12" s="1"/>
  <c r="H252" i="12"/>
  <c r="H238" i="12" s="1"/>
  <c r="H232" i="12" s="1"/>
  <c r="O251" i="12"/>
  <c r="R251" i="12" s="1"/>
  <c r="Y221" i="12"/>
  <c r="AL221" i="12" s="1"/>
  <c r="AL219" i="12"/>
  <c r="AL160" i="12"/>
  <c r="E262" i="12"/>
  <c r="R262" i="12" s="1"/>
  <c r="R260" i="12"/>
  <c r="AB233" i="1"/>
  <c r="AB237" i="1" s="1"/>
  <c r="AB239" i="1" s="1"/>
  <c r="AB231" i="1" s="1"/>
  <c r="AB226" i="1" s="1"/>
  <c r="AB230" i="1" s="1"/>
  <c r="AE230" i="1" s="1"/>
  <c r="AI255" i="12"/>
  <c r="R200" i="12"/>
  <c r="R255" i="12"/>
  <c r="R211" i="12"/>
  <c r="R160" i="12"/>
  <c r="AL201" i="12"/>
  <c r="E301" i="12"/>
  <c r="AI210" i="12"/>
  <c r="AL210" i="12" s="1"/>
  <c r="AI209" i="12"/>
  <c r="AL209" i="12" s="1"/>
  <c r="AB211" i="12"/>
  <c r="AB197" i="12" s="1"/>
  <c r="AB191" i="12" s="1"/>
  <c r="R191" i="12"/>
  <c r="R159" i="12"/>
  <c r="P262" i="1"/>
  <c r="P266" i="1" s="1"/>
  <c r="P268" i="1" s="1"/>
  <c r="P260" i="1" s="1"/>
  <c r="P255" i="1" s="1"/>
  <c r="P258" i="1" s="1"/>
  <c r="S258" i="1" s="1"/>
  <c r="O296" i="12"/>
  <c r="O301" i="12" s="1"/>
  <c r="O303" i="12" s="1"/>
  <c r="O293" i="12" s="1"/>
  <c r="O282" i="12" s="1"/>
  <c r="AI168" i="12"/>
  <c r="AL168" i="12" s="1"/>
  <c r="AB170" i="12"/>
  <c r="AB156" i="12" s="1"/>
  <c r="AB150" i="12" s="1"/>
  <c r="AI169" i="12"/>
  <c r="AL169" i="12" s="1"/>
  <c r="I170" i="12"/>
  <c r="I156" i="12" s="1"/>
  <c r="E192" i="12"/>
  <c r="R192" i="12" s="1"/>
  <c r="R197" i="12"/>
  <c r="R115" i="12"/>
  <c r="J73" i="5"/>
  <c r="X233" i="1"/>
  <c r="X237" i="1" s="1"/>
  <c r="X239" i="1" s="1"/>
  <c r="K46" i="5"/>
  <c r="E262" i="1"/>
  <c r="E266" i="1" s="1"/>
  <c r="E268" i="1" s="1"/>
  <c r="K63" i="5"/>
  <c r="K71" i="5" s="1"/>
  <c r="K64" i="5"/>
  <c r="K72" i="5" s="1"/>
  <c r="C231" i="1"/>
  <c r="AF198" i="1"/>
  <c r="AF203" i="1" s="1"/>
  <c r="X202" i="1"/>
  <c r="I74" i="5"/>
  <c r="AE198" i="1"/>
  <c r="AE202" i="1" s="1"/>
  <c r="AE204" i="1" s="1"/>
  <c r="AB195" i="1"/>
  <c r="AE195" i="1" s="1"/>
  <c r="X191" i="1"/>
  <c r="X196" i="1" s="1"/>
  <c r="AB194" i="1"/>
  <c r="AE194" i="1" s="1"/>
  <c r="AA191" i="1"/>
  <c r="AA196" i="1" s="1"/>
  <c r="Z191" i="1"/>
  <c r="Z196" i="1" s="1"/>
  <c r="V191" i="1"/>
  <c r="J47" i="5"/>
  <c r="S233" i="1"/>
  <c r="S237" i="1" s="1"/>
  <c r="S239" i="1" s="1"/>
  <c r="N282" i="12" l="1"/>
  <c r="N293" i="12" s="1"/>
  <c r="N279" i="12" s="1"/>
  <c r="N273" i="12" s="1"/>
  <c r="E282" i="12"/>
  <c r="C282" i="12"/>
  <c r="C293" i="12" s="1"/>
  <c r="I29" i="4"/>
  <c r="R150" i="12"/>
  <c r="I151" i="12"/>
  <c r="R151" i="12" s="1"/>
  <c r="R118" i="12"/>
  <c r="AL191" i="12"/>
  <c r="AL110" i="12"/>
  <c r="S231" i="1"/>
  <c r="S226" i="1"/>
  <c r="AE164" i="1"/>
  <c r="AE159" i="1"/>
  <c r="AL109" i="12"/>
  <c r="AL118" i="12"/>
  <c r="AL129" i="12"/>
  <c r="T268" i="1"/>
  <c r="AL78" i="12"/>
  <c r="AL115" i="12"/>
  <c r="C255" i="1"/>
  <c r="C260" i="1" s="1"/>
  <c r="P259" i="1"/>
  <c r="S259" i="1" s="1"/>
  <c r="E255" i="1"/>
  <c r="E260" i="1" s="1"/>
  <c r="AF239" i="1"/>
  <c r="V226" i="1"/>
  <c r="V231" i="1" s="1"/>
  <c r="X226" i="1"/>
  <c r="X231" i="1" s="1"/>
  <c r="Z226" i="1"/>
  <c r="Z231" i="1" s="1"/>
  <c r="AA226" i="1"/>
  <c r="AA231" i="1" s="1"/>
  <c r="AB229" i="1"/>
  <c r="AE229" i="1" s="1"/>
  <c r="R170" i="12"/>
  <c r="R296" i="12"/>
  <c r="R156" i="12"/>
  <c r="AL242" i="12"/>
  <c r="E303" i="12"/>
  <c r="R303" i="12" s="1"/>
  <c r="R301" i="12"/>
  <c r="AB262" i="1"/>
  <c r="AB266" i="1" s="1"/>
  <c r="AB268" i="1" s="1"/>
  <c r="AB260" i="1" s="1"/>
  <c r="AB255" i="1" s="1"/>
  <c r="AB258" i="1" s="1"/>
  <c r="AE258" i="1" s="1"/>
  <c r="AI296" i="12"/>
  <c r="O291" i="12"/>
  <c r="R291" i="12" s="1"/>
  <c r="O292" i="12"/>
  <c r="R292" i="12" s="1"/>
  <c r="AD211" i="12"/>
  <c r="AL150" i="12"/>
  <c r="Y211" i="12"/>
  <c r="AL200" i="12"/>
  <c r="AL255" i="12"/>
  <c r="AI260" i="12"/>
  <c r="R242" i="12"/>
  <c r="Y170" i="12"/>
  <c r="AL159" i="12"/>
  <c r="E252" i="12"/>
  <c r="R241" i="12"/>
  <c r="K73" i="5"/>
  <c r="X262" i="1"/>
  <c r="X266" i="1" s="1"/>
  <c r="X268" i="1" s="1"/>
  <c r="X204" i="1"/>
  <c r="AF204" i="1" s="1"/>
  <c r="AF202" i="1"/>
  <c r="K47" i="5"/>
  <c r="S262" i="1"/>
  <c r="S266" i="1" s="1"/>
  <c r="S268" i="1" s="1"/>
  <c r="V196" i="1"/>
  <c r="AE196" i="1" s="1"/>
  <c r="AE191" i="1"/>
  <c r="J74" i="5"/>
  <c r="AE233" i="1"/>
  <c r="AE237" i="1" s="1"/>
  <c r="AE239" i="1" s="1"/>
  <c r="I41" i="4" l="1"/>
  <c r="L282" i="12" s="1"/>
  <c r="L293" i="12" s="1"/>
  <c r="L279" i="12" s="1"/>
  <c r="L273" i="12" s="1"/>
  <c r="I36" i="4"/>
  <c r="I40" i="4"/>
  <c r="I252" i="12"/>
  <c r="I238" i="12" s="1"/>
  <c r="AE231" i="1"/>
  <c r="AB259" i="1"/>
  <c r="AE259" i="1" s="1"/>
  <c r="AE226" i="1"/>
  <c r="Z255" i="1"/>
  <c r="Z260" i="1" s="1"/>
  <c r="V255" i="1"/>
  <c r="X255" i="1"/>
  <c r="X260" i="1" s="1"/>
  <c r="AA255" i="1"/>
  <c r="AA260" i="1" s="1"/>
  <c r="AF268" i="1"/>
  <c r="AI262" i="12"/>
  <c r="AL260" i="12"/>
  <c r="Y197" i="12"/>
  <c r="AL211" i="12"/>
  <c r="AL296" i="12"/>
  <c r="AI301" i="12"/>
  <c r="E238" i="12"/>
  <c r="Y156" i="12"/>
  <c r="AL170" i="12"/>
  <c r="E293" i="12"/>
  <c r="R283" i="12"/>
  <c r="K74" i="5"/>
  <c r="AE262" i="1"/>
  <c r="AE266" i="1" s="1"/>
  <c r="AE268" i="1" s="1"/>
  <c r="H282" i="12" l="1"/>
  <c r="G255" i="1"/>
  <c r="I38" i="4"/>
  <c r="I37" i="4"/>
  <c r="J282" i="12"/>
  <c r="J293" i="12" s="1"/>
  <c r="J279" i="12" s="1"/>
  <c r="J273" i="12" s="1"/>
  <c r="R232" i="12"/>
  <c r="I233" i="12"/>
  <c r="R252" i="12"/>
  <c r="AE255" i="1"/>
  <c r="V260" i="1"/>
  <c r="AE260" i="1" s="1"/>
  <c r="AI303" i="12"/>
  <c r="AL301" i="12"/>
  <c r="E233" i="12"/>
  <c r="R233" i="12" s="1"/>
  <c r="R238" i="12"/>
  <c r="Y192" i="12"/>
  <c r="AL192" i="12" s="1"/>
  <c r="AL197" i="12"/>
  <c r="Y151" i="12"/>
  <c r="AL151" i="12" s="1"/>
  <c r="AL156" i="12"/>
  <c r="AI252" i="12"/>
  <c r="AI241" i="12" s="1"/>
  <c r="AL262" i="12"/>
  <c r="E279" i="12"/>
  <c r="I42" i="4" l="1"/>
  <c r="K282" i="12"/>
  <c r="K293" i="12" s="1"/>
  <c r="K279" i="12" s="1"/>
  <c r="K274" i="12" s="1"/>
  <c r="I43" i="4"/>
  <c r="G260" i="1"/>
  <c r="I282" i="12"/>
  <c r="I293" i="12" s="1"/>
  <c r="I279" i="12" s="1"/>
  <c r="O255" i="1"/>
  <c r="O260" i="1" s="1"/>
  <c r="H293" i="12"/>
  <c r="H279" i="12" s="1"/>
  <c r="H273" i="12" s="1"/>
  <c r="R282" i="12"/>
  <c r="K312" i="12"/>
  <c r="R273" i="12"/>
  <c r="I274" i="12"/>
  <c r="AH252" i="12"/>
  <c r="AH238" i="12" s="1"/>
  <c r="AH232" i="12" s="1"/>
  <c r="AF252" i="12"/>
  <c r="AF238" i="12" s="1"/>
  <c r="AF232" i="12" s="1"/>
  <c r="AD252" i="12"/>
  <c r="AE252" i="12"/>
  <c r="AE238" i="12" s="1"/>
  <c r="AE233" i="12" s="1"/>
  <c r="AC252" i="12"/>
  <c r="AC238" i="12" s="1"/>
  <c r="AC233" i="12" s="1"/>
  <c r="AI251" i="12"/>
  <c r="AL251" i="12" s="1"/>
  <c r="AI250" i="12"/>
  <c r="AL250" i="12" s="1"/>
  <c r="AB252" i="12"/>
  <c r="AB238" i="12" s="1"/>
  <c r="AB232" i="12" s="1"/>
  <c r="E274" i="12"/>
  <c r="R279" i="12"/>
  <c r="AI293" i="12"/>
  <c r="AI282" i="12" s="1"/>
  <c r="AL303" i="12"/>
  <c r="S255" i="1" l="1"/>
  <c r="R293" i="12"/>
  <c r="S260" i="1"/>
  <c r="R274" i="12"/>
  <c r="AC293" i="12"/>
  <c r="AC279" i="12" s="1"/>
  <c r="AC274" i="12" s="1"/>
  <c r="AD293" i="12"/>
  <c r="AF293" i="12"/>
  <c r="AF279" i="12" s="1"/>
  <c r="AF273" i="12" s="1"/>
  <c r="AL232" i="12"/>
  <c r="Y252" i="12"/>
  <c r="AL241" i="12"/>
  <c r="AB293" i="12"/>
  <c r="AB279" i="12" s="1"/>
  <c r="AB273" i="12" s="1"/>
  <c r="AI292" i="12"/>
  <c r="AL292" i="12" s="1"/>
  <c r="AI291" i="12"/>
  <c r="AL291" i="12" s="1"/>
  <c r="AL273" i="12" l="1"/>
  <c r="Y293" i="12"/>
  <c r="AL282" i="12"/>
  <c r="Y238" i="12"/>
  <c r="AL252" i="12"/>
  <c r="R77" i="12"/>
  <c r="L88" i="12"/>
  <c r="Y233" i="12" l="1"/>
  <c r="AL233" i="12" s="1"/>
  <c r="AL238" i="12"/>
  <c r="Y279" i="12"/>
  <c r="L74" i="12"/>
  <c r="L68" i="12" s="1"/>
  <c r="R68" i="12" s="1"/>
  <c r="Y274" i="12" l="1"/>
  <c r="K88" i="12" l="1"/>
  <c r="K74" i="12" s="1"/>
  <c r="K69" i="12" s="1"/>
  <c r="R78" i="12"/>
  <c r="R74" i="12" l="1"/>
  <c r="R69" i="12"/>
  <c r="R88" i="12"/>
  <c r="AL283" i="12"/>
  <c r="AE293" i="12"/>
  <c r="AL293" i="12" s="1"/>
  <c r="AE279" i="12" l="1"/>
  <c r="AL279" i="12" s="1"/>
  <c r="AE274" i="12" l="1"/>
  <c r="AL274" i="12" s="1"/>
  <c r="AL74" i="12" l="1"/>
  <c r="AD68" i="12"/>
  <c r="AL68" i="12"/>
</calcChain>
</file>

<file path=xl/comments1.xml><?xml version="1.0" encoding="utf-8"?>
<comments xmlns="http://schemas.openxmlformats.org/spreadsheetml/2006/main">
  <authors>
    <author>CHAIGNEAU Yanis</author>
  </authors>
  <commentList>
    <comment ref="V17" authorId="0" shapeId="0">
      <text>
        <r>
          <rPr>
            <b/>
            <sz val="9"/>
            <color indexed="81"/>
            <rFont val="Tahoma"/>
            <family val="2"/>
          </rPr>
          <t>CHAIGNEAU Yanis:</t>
        </r>
        <r>
          <rPr>
            <sz val="9"/>
            <color indexed="81"/>
            <rFont val="Tahoma"/>
            <family val="2"/>
          </rPr>
          <t xml:space="preserve">
Sorte d'hypothèse de cogé</t>
        </r>
      </text>
    </comment>
    <comment ref="K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69"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10"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51"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192"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33"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K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 ref="AE274" authorId="0" shapeId="0">
      <text>
        <r>
          <rPr>
            <b/>
            <sz val="9"/>
            <color indexed="81"/>
            <rFont val="Tahoma"/>
            <family val="2"/>
          </rPr>
          <t>CHAIGNEAU Yanis:</t>
        </r>
        <r>
          <rPr>
            <sz val="9"/>
            <color indexed="81"/>
            <rFont val="Tahoma"/>
            <family val="2"/>
          </rPr>
          <t xml:space="preserve">
Dans l'AME, on suppose une importation de 100% de la biomasse liqiude ? Pourrait être un paramètre exogène</t>
        </r>
      </text>
    </comment>
  </commentList>
</comments>
</file>

<file path=xl/comments2.xml><?xml version="1.0" encoding="utf-8"?>
<comments xmlns="http://schemas.openxmlformats.org/spreadsheetml/2006/main">
  <authors>
    <author>CHAIGNEAU Yanis</author>
  </authors>
  <commentList>
    <comment ref="A30" authorId="0" shapeId="0">
      <text>
        <r>
          <rPr>
            <b/>
            <sz val="9"/>
            <color indexed="81"/>
            <rFont val="Tahoma"/>
            <family val="2"/>
          </rPr>
          <t>CHAIGNEAU Yanis:</t>
        </r>
        <r>
          <rPr>
            <sz val="9"/>
            <color indexed="81"/>
            <rFont val="Tahoma"/>
            <family val="2"/>
          </rPr>
          <t xml:space="preserve">
Voir page 100 - 101</t>
        </r>
      </text>
    </comment>
    <comment ref="D40" authorId="0" shapeId="0">
      <text>
        <r>
          <rPr>
            <b/>
            <sz val="9"/>
            <color indexed="81"/>
            <rFont val="Tahoma"/>
            <family val="2"/>
          </rPr>
          <t>CHAIGNEAU Yanis:</t>
        </r>
        <r>
          <rPr>
            <sz val="9"/>
            <color indexed="81"/>
            <rFont val="Tahoma"/>
            <family val="2"/>
          </rPr>
          <t xml:space="preserve">
J'inclus énergies marines</t>
        </r>
      </text>
    </comment>
    <comment ref="I43" authorId="0" shapeId="0">
      <text>
        <r>
          <rPr>
            <b/>
            <sz val="9"/>
            <color indexed="81"/>
            <rFont val="Tahoma"/>
            <family val="2"/>
          </rPr>
          <t>CHAIGNEAU Yanis:</t>
        </r>
        <r>
          <rPr>
            <sz val="9"/>
            <color indexed="81"/>
            <rFont val="Tahoma"/>
            <family val="2"/>
          </rPr>
          <t xml:space="preserve">
On fait une régression sur le taux d'ENR en essayant de fitter, mais ne devrait-on pas se baser sur la ppe ?</t>
        </r>
      </text>
    </comment>
    <comment ref="D61" authorId="0" shapeId="0">
      <text>
        <r>
          <rPr>
            <b/>
            <sz val="9"/>
            <color indexed="81"/>
            <rFont val="Tahoma"/>
            <family val="2"/>
          </rPr>
          <t>CHAIGNEAU Yanis:</t>
        </r>
        <r>
          <rPr>
            <sz val="9"/>
            <color indexed="81"/>
            <rFont val="Tahoma"/>
            <family val="2"/>
          </rPr>
          <t xml:space="preserve">
J'inclus énergies marines</t>
        </r>
      </text>
    </comment>
  </commentList>
</comments>
</file>

<file path=xl/comments3.xml><?xml version="1.0" encoding="utf-8"?>
<comments xmlns="http://schemas.openxmlformats.org/spreadsheetml/2006/main">
  <authors>
    <author>CHAIGNEAU Yanis</author>
  </authors>
  <commentList>
    <comment ref="I32" authorId="0" shapeId="0">
      <text>
        <r>
          <rPr>
            <b/>
            <sz val="9"/>
            <color indexed="81"/>
            <rFont val="Tahoma"/>
            <family val="2"/>
          </rPr>
          <t>CHAIGNEAU Yanis:</t>
        </r>
        <r>
          <rPr>
            <sz val="9"/>
            <color indexed="81"/>
            <rFont val="Tahoma"/>
            <family val="2"/>
          </rPr>
          <t xml:space="preserve">
Basé sur 2020 non 2019</t>
        </r>
      </text>
    </comment>
  </commentList>
</comments>
</file>

<file path=xl/sharedStrings.xml><?xml version="1.0" encoding="utf-8"?>
<sst xmlns="http://schemas.openxmlformats.org/spreadsheetml/2006/main" count="2780" uniqueCount="516">
  <si>
    <t>Emissions non-énergétiques</t>
  </si>
  <si>
    <t>AME</t>
  </si>
  <si>
    <t>AMS</t>
  </si>
  <si>
    <t>ktCO2eq</t>
  </si>
  <si>
    <t>Agriculture</t>
  </si>
  <si>
    <t>Dont N2O</t>
  </si>
  <si>
    <t>Dont CH4</t>
  </si>
  <si>
    <t>Déchets</t>
  </si>
  <si>
    <t>LULUCF</t>
  </si>
  <si>
    <t>Bilans énergétiques</t>
  </si>
  <si>
    <t>AME 2023</t>
  </si>
  <si>
    <t>AMS 2023</t>
  </si>
  <si>
    <t>GWh</t>
  </si>
  <si>
    <t>observé SDES</t>
  </si>
  <si>
    <t>Charbon</t>
  </si>
  <si>
    <t>Pétrole brut</t>
  </si>
  <si>
    <t>Produits pétroliers raffinés</t>
  </si>
  <si>
    <t>Gaz naturel</t>
  </si>
  <si>
    <t>EnR électriques</t>
  </si>
  <si>
    <t>EnR thermiques et déchets</t>
  </si>
  <si>
    <t>Electricité</t>
  </si>
  <si>
    <t>Chaleur vendue</t>
  </si>
  <si>
    <t>H2</t>
  </si>
  <si>
    <t>Total</t>
  </si>
  <si>
    <t>Production d'énergie primaire</t>
  </si>
  <si>
    <t>Hydraulique</t>
  </si>
  <si>
    <t>Eolien</t>
  </si>
  <si>
    <t>Photovoltaïque</t>
  </si>
  <si>
    <t>Importations</t>
  </si>
  <si>
    <t>Exportations</t>
  </si>
  <si>
    <t>Soutes maritimes internationales</t>
  </si>
  <si>
    <t>Soutes aériennes internationales</t>
  </si>
  <si>
    <t>Variations de stocks (+ = déstockage, - = stockage)</t>
  </si>
  <si>
    <t>Consommation primaire</t>
  </si>
  <si>
    <t>Ecart statistique</t>
  </si>
  <si>
    <t>Production d'électricité et de chaleur</t>
  </si>
  <si>
    <t>Raffinage de pétrole</t>
  </si>
  <si>
    <t>Autres transformations, transferts</t>
  </si>
  <si>
    <t>Usages internes de la branche énergie</t>
  </si>
  <si>
    <t>Pertes de transport et de distribution</t>
  </si>
  <si>
    <t>Consommation nette de la branche énergie</t>
  </si>
  <si>
    <t>Industrie</t>
  </si>
  <si>
    <t>Transport</t>
  </si>
  <si>
    <t>Résidentiel</t>
  </si>
  <si>
    <t>Tertiaire</t>
  </si>
  <si>
    <t>Consommation finale énergétique</t>
  </si>
  <si>
    <t>Consommation finale non énergétique</t>
  </si>
  <si>
    <t>Consommation finale</t>
  </si>
  <si>
    <t>UI/prod</t>
  </si>
  <si>
    <t>pertes/prod</t>
  </si>
  <si>
    <t>Chaleur</t>
  </si>
  <si>
    <t>ELEC</t>
  </si>
  <si>
    <t>Rendement transfo elec</t>
  </si>
  <si>
    <t>Moy</t>
  </si>
  <si>
    <t>Modélisé</t>
  </si>
  <si>
    <t xml:space="preserve">1. Historique </t>
  </si>
  <si>
    <t>Année</t>
  </si>
  <si>
    <t>Population (2010-2021 ; hab.)</t>
  </si>
  <si>
    <r>
      <rPr>
        <sz val="11"/>
        <color rgb="FF000000"/>
        <rFont val="Calibri"/>
        <family val="2"/>
        <charset val="1"/>
      </rPr>
      <t>PIB (millions d</t>
    </r>
    <r>
      <rPr>
        <sz val="11"/>
        <color rgb="FFFF0000"/>
        <rFont val="Calibri"/>
        <family val="2"/>
        <charset val="1"/>
      </rPr>
      <t>'euros base 2014</t>
    </r>
    <r>
      <rPr>
        <sz val="11"/>
        <color rgb="FF000000"/>
        <rFont val="Calibri"/>
        <family val="2"/>
        <charset val="1"/>
      </rPr>
      <t>)</t>
    </r>
  </si>
  <si>
    <t xml:space="preserve">en valeur ; INSEE 1999-2015 ; 2015-2018 INSEE ; 2019 IEDOM </t>
  </si>
  <si>
    <r>
      <rPr>
        <sz val="11"/>
        <color rgb="FF000000"/>
        <rFont val="Calibri"/>
        <family val="2"/>
        <charset val="1"/>
      </rPr>
      <t>PIB/hab. (e/hab.</t>
    </r>
    <r>
      <rPr>
        <sz val="11"/>
        <color rgb="FFFF0000"/>
        <rFont val="Calibri"/>
        <family val="2"/>
        <charset val="1"/>
      </rPr>
      <t>base 2014</t>
    </r>
    <r>
      <rPr>
        <sz val="11"/>
        <color rgb="FF000000"/>
        <rFont val="Calibri"/>
        <family val="2"/>
        <charset val="1"/>
      </rPr>
      <t>)</t>
    </r>
  </si>
  <si>
    <t>IEDOM</t>
  </si>
  <si>
    <t>2. AMS - AME 2023</t>
  </si>
  <si>
    <t xml:space="preserve">Réunion </t>
  </si>
  <si>
    <t>DOM</t>
  </si>
  <si>
    <t>Population (en millions)</t>
  </si>
  <si>
    <t>PIB ( en millions d’euros 2014)</t>
  </si>
  <si>
    <t>PIB/habitant  (€/hab.)</t>
  </si>
  <si>
    <t xml:space="preserve">3. AME 2021 </t>
  </si>
  <si>
    <t>France</t>
  </si>
  <si>
    <t>Population (2014)</t>
  </si>
  <si>
    <t>844 886</t>
  </si>
  <si>
    <t>2 104 556</t>
  </si>
  <si>
    <t>66 290 596</t>
  </si>
  <si>
    <t>PIB (2014, en millions d’euros 2010)</t>
  </si>
  <si>
    <t>16 533</t>
  </si>
  <si>
    <t>39 198</t>
  </si>
  <si>
    <t>2 068 624</t>
  </si>
  <si>
    <t>PIB/habitant (2014, €/hab.)</t>
  </si>
  <si>
    <t>19 831</t>
  </si>
  <si>
    <t>18 625</t>
  </si>
  <si>
    <t>31 205</t>
  </si>
  <si>
    <t>Taux de croissance annuel moyen</t>
  </si>
  <si>
    <t>Population (1994-2004)</t>
  </si>
  <si>
    <t>Population (2004-2014)</t>
  </si>
  <si>
    <t xml:space="preserve">4. AMS 2018 </t>
  </si>
  <si>
    <t xml:space="preserve">II. Totale des gaz à effets de serre  </t>
  </si>
  <si>
    <t>Récapitulatif des émissions par grand secteur</t>
  </si>
  <si>
    <r>
      <rPr>
        <b/>
        <i/>
        <sz val="9"/>
        <rFont val="Trebuchet MS"/>
        <family val="2"/>
        <charset val="1"/>
      </rPr>
      <t>Emissions de CO</t>
    </r>
    <r>
      <rPr>
        <b/>
        <i/>
        <vertAlign val="subscript"/>
        <sz val="9"/>
        <rFont val="Trebuchet MS"/>
        <family val="2"/>
        <charset val="1"/>
      </rPr>
      <t>2</t>
    </r>
    <r>
      <rPr>
        <b/>
        <i/>
        <sz val="9"/>
        <rFont val="Trebuchet MS"/>
        <family val="2"/>
        <charset val="1"/>
      </rPr>
      <t>e (ktCO</t>
    </r>
    <r>
      <rPr>
        <b/>
        <i/>
        <vertAlign val="subscript"/>
        <sz val="9"/>
        <rFont val="Trebuchet MS"/>
        <family val="2"/>
        <charset val="1"/>
      </rPr>
      <t>2</t>
    </r>
    <r>
      <rPr>
        <b/>
        <i/>
        <sz val="9"/>
        <rFont val="Trebuchet MS"/>
        <family val="2"/>
        <charset val="1"/>
      </rPr>
      <t>e/an)
Périmètre : La Réunion</t>
    </r>
  </si>
  <si>
    <r>
      <rPr>
        <sz val="9"/>
        <color rgb="FF000000"/>
        <rFont val="Trebuchet MS"/>
        <family val="2"/>
        <charset val="1"/>
      </rPr>
      <t>CO</t>
    </r>
    <r>
      <rPr>
        <vertAlign val="subscript"/>
        <sz val="9"/>
        <color rgb="FF000000"/>
        <rFont val="Trebuchet MS"/>
        <family val="2"/>
        <charset val="1"/>
      </rPr>
      <t>2</t>
    </r>
    <r>
      <rPr>
        <sz val="9"/>
        <color rgb="FF000000"/>
        <rFont val="Trebuchet MS"/>
        <family val="2"/>
        <charset val="1"/>
      </rPr>
      <t>e</t>
    </r>
  </si>
  <si>
    <t>1990-2019</t>
  </si>
  <si>
    <t>2018-2019</t>
  </si>
  <si>
    <t>Industrie de l'énergie</t>
  </si>
  <si>
    <t>Industrie manufacturière et construction</t>
  </si>
  <si>
    <t>Traitement centralisé des déchets</t>
  </si>
  <si>
    <t>Usage des bâtiments et activités résidentiels/tertiaires</t>
  </si>
  <si>
    <t>Résidentiel / tertiaire</t>
  </si>
  <si>
    <t>Transports</t>
  </si>
  <si>
    <t>Transport hors total</t>
  </si>
  <si>
    <t>TOTAL national hors UTCATF</t>
  </si>
  <si>
    <t>UTCATF</t>
  </si>
  <si>
    <t>UTCATF Hors total</t>
  </si>
  <si>
    <t>Emissions naturelles hors total</t>
  </si>
  <si>
    <t>TOTAL national avec UTCATF</t>
  </si>
  <si>
    <t>Hors total</t>
  </si>
  <si>
    <t>Emissions dans l'air - Source Citepa édition 2021 - inventaire national d'émissions de gaz à effet de serre et de polluants atmosphériques en Outre-mer - citepa.org</t>
  </si>
  <si>
    <t>Méthodologie d'estimation : citepa.org/ominea</t>
  </si>
  <si>
    <t>Valeurs des PRG dans l'inventaire</t>
  </si>
  <si>
    <t>Pouvoir de réchauffement global à 100 ans</t>
  </si>
  <si>
    <t>Gaz à effet de serre</t>
  </si>
  <si>
    <r>
      <rPr>
        <sz val="9"/>
        <color rgb="FF7F7F7F"/>
        <rFont val="Trebuchet MS"/>
        <family val="2"/>
        <charset val="1"/>
      </rPr>
      <t>D’après le 1</t>
    </r>
    <r>
      <rPr>
        <vertAlign val="superscript"/>
        <sz val="9"/>
        <color rgb="FF7F7F7F"/>
        <rFont val="Trebuchet MS"/>
        <family val="2"/>
        <charset val="1"/>
      </rPr>
      <t>er</t>
    </r>
    <r>
      <rPr>
        <sz val="9"/>
        <color rgb="FF7F7F7F"/>
        <rFont val="Trebuchet MS"/>
        <family val="2"/>
        <charset val="1"/>
      </rPr>
      <t xml:space="preserve"> rapport (« FAR ») </t>
    </r>
  </si>
  <si>
    <r>
      <rPr>
        <sz val="9"/>
        <color rgb="FF7F7F7F"/>
        <rFont val="Trebuchet MS"/>
        <family val="2"/>
        <charset val="1"/>
      </rPr>
      <t>D’après le 2</t>
    </r>
    <r>
      <rPr>
        <vertAlign val="superscript"/>
        <sz val="9"/>
        <color rgb="FF7F7F7F"/>
        <rFont val="Trebuchet MS"/>
        <family val="2"/>
        <charset val="1"/>
      </rPr>
      <t>e</t>
    </r>
    <r>
      <rPr>
        <sz val="9"/>
        <color rgb="FF7F7F7F"/>
        <rFont val="Trebuchet MS"/>
        <family val="2"/>
        <charset val="1"/>
      </rPr>
      <t xml:space="preserve"> rapport (« SAR »)</t>
    </r>
  </si>
  <si>
    <r>
      <rPr>
        <sz val="9"/>
        <color rgb="FF7F7F7F"/>
        <rFont val="Trebuchet MS"/>
        <family val="2"/>
        <charset val="1"/>
      </rPr>
      <t>D’après le 3</t>
    </r>
    <r>
      <rPr>
        <vertAlign val="superscript"/>
        <sz val="9"/>
        <color rgb="FF7F7F7F"/>
        <rFont val="Trebuchet MS"/>
        <family val="2"/>
        <charset val="1"/>
      </rPr>
      <t>e</t>
    </r>
    <r>
      <rPr>
        <sz val="9"/>
        <color rgb="FF7F7F7F"/>
        <rFont val="Trebuchet MS"/>
        <family val="2"/>
        <charset val="1"/>
      </rPr>
      <t xml:space="preserve"> rapport (« TAR ») </t>
    </r>
  </si>
  <si>
    <r>
      <rPr>
        <sz val="9"/>
        <color rgb="FF000000"/>
        <rFont val="Trebuchet MS"/>
        <family val="2"/>
        <charset val="1"/>
      </rPr>
      <t>D’après le 4</t>
    </r>
    <r>
      <rPr>
        <vertAlign val="superscript"/>
        <sz val="9"/>
        <color rgb="FF000000"/>
        <rFont val="Trebuchet MS"/>
        <family val="2"/>
        <charset val="1"/>
      </rPr>
      <t>e</t>
    </r>
    <r>
      <rPr>
        <sz val="9"/>
        <color rgb="FF000000"/>
        <rFont val="Trebuchet MS"/>
        <family val="2"/>
        <charset val="1"/>
      </rPr>
      <t xml:space="preserve"> rapport (« AR4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</si>
  <si>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AR5 ») </t>
    </r>
  </si>
  <si>
    <r>
      <rPr>
        <sz val="9"/>
        <color rgb="FF7F7F7F"/>
        <rFont val="Trebuchet MS"/>
        <family val="2"/>
        <charset val="1"/>
      </rPr>
      <t>D’après le 5</t>
    </r>
    <r>
      <rPr>
        <vertAlign val="superscript"/>
        <sz val="9"/>
        <color rgb="FF7F7F7F"/>
        <rFont val="Trebuchet MS"/>
        <family val="2"/>
        <charset val="1"/>
      </rPr>
      <t>e</t>
    </r>
    <r>
      <rPr>
        <sz val="9"/>
        <color rgb="FF7F7F7F"/>
        <rFont val="Trebuchet MS"/>
        <family val="2"/>
        <charset val="1"/>
      </rPr>
      <t xml:space="preserve"> rapport (« AR6 ») </t>
    </r>
  </si>
  <si>
    <t>de 1990</t>
  </si>
  <si>
    <t>de 1995</t>
  </si>
  <si>
    <t>de 2001</t>
  </si>
  <si>
    <t>de 2007</t>
  </si>
  <si>
    <t>de 2014</t>
  </si>
  <si>
    <t>de 2021</t>
  </si>
  <si>
    <r>
      <rPr>
        <sz val="8"/>
        <color rgb="FF000000"/>
        <rFont val="Trebuchet MS"/>
        <family val="2"/>
        <charset val="1"/>
      </rPr>
      <t>CO</t>
    </r>
    <r>
      <rPr>
        <vertAlign val="subscript"/>
        <sz val="8"/>
        <color rgb="FF000000"/>
        <rFont val="Trebuchet MS"/>
        <family val="2"/>
        <charset val="1"/>
      </rPr>
      <t>2</t>
    </r>
  </si>
  <si>
    <r>
      <rPr>
        <sz val="8"/>
        <color rgb="FF000000"/>
        <rFont val="Trebuchet MS"/>
        <family val="2"/>
        <charset val="1"/>
      </rPr>
      <t>CH</t>
    </r>
    <r>
      <rPr>
        <vertAlign val="subscript"/>
        <sz val="8"/>
        <color rgb="FF000000"/>
        <rFont val="Trebuchet MS"/>
        <family val="2"/>
        <charset val="1"/>
      </rPr>
      <t>4</t>
    </r>
  </si>
  <si>
    <t>En cours de définition</t>
  </si>
  <si>
    <r>
      <rPr>
        <sz val="8"/>
        <color rgb="FF000000"/>
        <rFont val="Trebuchet MS"/>
        <family val="2"/>
        <charset val="1"/>
      </rPr>
      <t>N</t>
    </r>
    <r>
      <rPr>
        <vertAlign val="subscript"/>
        <sz val="8"/>
        <color rgb="FF000000"/>
        <rFont val="Trebuchet MS"/>
        <family val="2"/>
        <charset val="1"/>
      </rPr>
      <t>2</t>
    </r>
    <r>
      <rPr>
        <sz val="8"/>
        <color rgb="FF000000"/>
        <rFont val="Trebuchet MS"/>
        <family val="2"/>
        <charset val="1"/>
      </rPr>
      <t>O</t>
    </r>
  </si>
  <si>
    <t>HFC*</t>
  </si>
  <si>
    <t>140 à 2 900</t>
  </si>
  <si>
    <t>140 à 11 700*</t>
  </si>
  <si>
    <t>12 à 12 000*</t>
  </si>
  <si>
    <t>124 à 14 800*</t>
  </si>
  <si>
    <t>&lt;1 à 12 400*</t>
  </si>
  <si>
    <t>PFC*</t>
  </si>
  <si>
    <t>n.e.</t>
  </si>
  <si>
    <t>6 500 à 9 200*</t>
  </si>
  <si>
    <t>5 700 à 11 900*</t>
  </si>
  <si>
    <t>7 390 à 12 200*</t>
  </si>
  <si>
    <t>&lt;1 à 11 100*</t>
  </si>
  <si>
    <r>
      <rPr>
        <sz val="8"/>
        <color rgb="FF000000"/>
        <rFont val="Trebuchet MS"/>
        <family val="2"/>
        <charset val="1"/>
      </rPr>
      <t>SF</t>
    </r>
    <r>
      <rPr>
        <vertAlign val="subscript"/>
        <sz val="8"/>
        <color rgb="FF000000"/>
        <rFont val="Trebuchet MS"/>
        <family val="2"/>
        <charset val="1"/>
      </rPr>
      <t>6</t>
    </r>
  </si>
  <si>
    <t>23 500</t>
  </si>
  <si>
    <r>
      <rPr>
        <sz val="8"/>
        <color rgb="FF000000"/>
        <rFont val="Trebuchet MS"/>
        <family val="2"/>
        <charset val="1"/>
      </rPr>
      <t>NF</t>
    </r>
    <r>
      <rPr>
        <vertAlign val="subscript"/>
        <sz val="8"/>
        <color rgb="FF000000"/>
        <rFont val="Trebuchet MS"/>
        <family val="2"/>
        <charset val="1"/>
      </rPr>
      <t>3</t>
    </r>
  </si>
  <si>
    <t>16 100</t>
  </si>
  <si>
    <t>Utilisation dans l’inventaire</t>
  </si>
  <si>
    <t>Jamais</t>
  </si>
  <si>
    <t>Référence obligatoire dans les inventaires publiés jusqu’en 2015</t>
  </si>
  <si>
    <t>Obligatoire / valeurs de référence actuelles</t>
  </si>
  <si>
    <t>Utilisation prévue pour la réalisation de l’inventaire 2021</t>
  </si>
  <si>
    <t>Mix électrique  (en %)</t>
  </si>
  <si>
    <t>Pétrole</t>
  </si>
  <si>
    <t>Géothermie</t>
  </si>
  <si>
    <t>Biogaz</t>
  </si>
  <si>
    <t>ENR</t>
  </si>
  <si>
    <t>2. AME 2023</t>
  </si>
  <si>
    <t>4. AME 2021</t>
  </si>
  <si>
    <t>Mix électrique (en %)</t>
  </si>
  <si>
    <t>Source : Iedom 2019, EDF</t>
  </si>
  <si>
    <t>https://energies-reunion.com/nos-actions/observation/ber-2019-edition-2020/</t>
  </si>
  <si>
    <t>Hypothèse: part ENR identique à PPE 2028 et sortie du charbon [AME18 : PPE 2023 72 %EnR]</t>
  </si>
  <si>
    <t>3. AMS 2023</t>
  </si>
  <si>
    <t>5. AMS 2018</t>
  </si>
  <si>
    <t>40 188</t>
  </si>
  <si>
    <t>1 220</t>
  </si>
  <si>
    <t>1 120</t>
  </si>
  <si>
    <t>Historique des parcs</t>
  </si>
  <si>
    <t>2007</t>
  </si>
  <si>
    <t>2014</t>
  </si>
  <si>
    <t>2015</t>
  </si>
  <si>
    <t>2016</t>
  </si>
  <si>
    <t>2017</t>
  </si>
  <si>
    <t>TR04Voitures particulières et commerciales</t>
  </si>
  <si>
    <t>dont essence</t>
  </si>
  <si>
    <t>dont diesel</t>
  </si>
  <si>
    <t>TR04Autocars et autobus</t>
  </si>
  <si>
    <t>TR04Camions, camionnettes et véhicules automoteurs spécialisés</t>
  </si>
  <si>
    <t>TR04Tracteurs routiers</t>
  </si>
  <si>
    <t>Historique des bilans de l'énergie</t>
  </si>
  <si>
    <t>Consommations carburants (m³) - estimations antérieures</t>
  </si>
  <si>
    <t>Ajustement</t>
  </si>
  <si>
    <t>2014 - ajusté</t>
  </si>
  <si>
    <t>% VP et CC dans les consos</t>
  </si>
  <si>
    <t>Essence</t>
  </si>
  <si>
    <t>VP moy (kWh/véh)</t>
  </si>
  <si>
    <t>Gazole</t>
  </si>
  <si>
    <t>CC moy (kWh/véh)</t>
  </si>
  <si>
    <t>Estimation conso annuelle VP essence (m³/véhicule)</t>
  </si>
  <si>
    <t>VP - conso en GWh</t>
  </si>
  <si>
    <t>Estimation conso annuelle VP diesel (m³/véhicule)</t>
  </si>
  <si>
    <t>CC - conso en GWh</t>
  </si>
  <si>
    <t>Estimation conso annuelle CC (m³/véhicule)</t>
  </si>
  <si>
    <t>Consos (GWh)</t>
  </si>
  <si>
    <t>Conso unitaire diesel</t>
  </si>
  <si>
    <t>Projections parc AME</t>
  </si>
  <si>
    <t>Population (rappel)</t>
  </si>
  <si>
    <t>Taux d’équipement (VP/hab.)</t>
  </si>
  <si>
    <t>Voitures particulières et commerciales</t>
  </si>
  <si>
    <t>Camions, camionnettes et véhicules automoteurs spécialisés</t>
  </si>
  <si>
    <t>Projections consommation AME</t>
  </si>
  <si>
    <t>Evolution du km moyen par voiture</t>
  </si>
  <si>
    <t>% VP électriques</t>
  </si>
  <si>
    <t>Indice d'efficacité VP thermique</t>
  </si>
  <si>
    <t>Indice d'efficacité VP électrique</t>
  </si>
  <si>
    <t>Consommation des VP thermiques</t>
  </si>
  <si>
    <t>Consommation des VP électriques</t>
  </si>
  <si>
    <t>Evolution du km moyen parcouru par camion</t>
  </si>
  <si>
    <t>% PL électriques</t>
  </si>
  <si>
    <t>Indice d'efficacité PL thermiques</t>
  </si>
  <si>
    <t>Indice d'efficacité PL électriques</t>
  </si>
  <si>
    <t>Consommation des PL thermiques</t>
  </si>
  <si>
    <t>Consommation des PL électriques</t>
  </si>
  <si>
    <t>Consommation thermique totale (GWh)</t>
  </si>
  <si>
    <t>Consommation électrique totale (GWh)</t>
  </si>
  <si>
    <t>Consommation totale (GWh)</t>
  </si>
  <si>
    <t>Evolution consommation totale</t>
  </si>
  <si>
    <t>Projections parc AMS</t>
  </si>
  <si>
    <t>Projections consommation AMS</t>
  </si>
  <si>
    <t>Part VA Indus</t>
  </si>
  <si>
    <t>VA Indus (millions d'€)</t>
  </si>
  <si>
    <t>Part VA BTP</t>
  </si>
  <si>
    <t>VA BTP (millions d'€)</t>
  </si>
  <si>
    <t>VA Indus totale</t>
  </si>
  <si>
    <t>EE Indus</t>
  </si>
  <si>
    <t>Électrification des besoins fossiles 2015</t>
  </si>
  <si>
    <t>Demande fossile éner industrie (GWh)</t>
  </si>
  <si>
    <t xml:space="preserve">Bilan de l'énergie - SDES </t>
  </si>
  <si>
    <t>Electricité (GWh)</t>
  </si>
  <si>
    <t xml:space="preserve">Bilan de l'énergie - SDES  </t>
  </si>
  <si>
    <t>Émissions industrielles (KtCO2eq)</t>
  </si>
  <si>
    <t xml:space="preserve">Citepa </t>
  </si>
  <si>
    <t>Conso PPR non énergétique (Gwh)</t>
  </si>
  <si>
    <t>Conso EnRt (GWh)</t>
  </si>
  <si>
    <t xml:space="preserve">Bilan de l'énergie - SDES - que EnR thermique et déchets </t>
  </si>
  <si>
    <t>Conso chaleur vendue (GWh)</t>
  </si>
  <si>
    <t xml:space="preserve">Stabilité </t>
  </si>
  <si>
    <t xml:space="preserve">Cadrage macro </t>
  </si>
  <si>
    <t>PIB (millions d’euros 2010)</t>
  </si>
  <si>
    <t>16 949</t>
  </si>
  <si>
    <t>VA Indus</t>
  </si>
  <si>
    <t>VA BTP</t>
  </si>
  <si>
    <t>1 000</t>
  </si>
  <si>
    <t>1 704</t>
  </si>
  <si>
    <t>1 909</t>
  </si>
  <si>
    <t>4 139</t>
  </si>
  <si>
    <t>Demande fossile éner industrie (ktep)</t>
  </si>
  <si>
    <t xml:space="preserve">Calcul AME 21 </t>
  </si>
  <si>
    <t>Calcul AME 22</t>
  </si>
  <si>
    <t>Conso PPR non énergétique</t>
  </si>
  <si>
    <t>Conso EnRt</t>
  </si>
  <si>
    <t>Conso chaleur vendue</t>
  </si>
  <si>
    <t>Source : IEDOM – Rapport Guadeloupe 2016</t>
  </si>
  <si>
    <t>Substitution de la conso en combustibles fossile par les EnRt</t>
  </si>
  <si>
    <t>dont substitution EnRt</t>
  </si>
  <si>
    <t>Conso EnRt non énergétique</t>
  </si>
  <si>
    <t>Augmente avec la VA + substitution du fossile</t>
  </si>
  <si>
    <t xml:space="preserve">Augmente avec la VA </t>
  </si>
  <si>
    <t>Population</t>
  </si>
  <si>
    <t>Personnes par ménages</t>
  </si>
  <si>
    <t>AME21 + calcul  + INSEE :https://www.insee.fr/fr/statistiques/2012714#tableau-TCRD_006_tab1_departements</t>
  </si>
  <si>
    <t>Nombre ménages</t>
  </si>
  <si>
    <t>Taux d’équipement clim</t>
  </si>
  <si>
    <t xml:space="preserve">Reprise AME 2021 : https://www.insee.fr/fr/statistiques/4295744, INSEE 2017 </t>
  </si>
  <si>
    <t>Performance frigorifique</t>
  </si>
  <si>
    <t>AME21</t>
  </si>
  <si>
    <t>Besoin clim</t>
  </si>
  <si>
    <t>Émissions HFC (KtCO2eq)</t>
  </si>
  <si>
    <t>Émissions CO2 (ktCO2)</t>
  </si>
  <si>
    <t>Consommations électriques résidentiel (GWh)</t>
  </si>
  <si>
    <t>Bilan énergétique</t>
  </si>
  <si>
    <t>PIB (millions d'euros)</t>
  </si>
  <si>
    <t>Conso PPR rési (GWh)</t>
  </si>
  <si>
    <t xml:space="preserve">Bilan de l'énergie </t>
  </si>
  <si>
    <t>Conso EnRt rési (GWh)</t>
  </si>
  <si>
    <t xml:space="preserve">Cadrage marco </t>
  </si>
  <si>
    <t xml:space="preserve">Prévision linéaire </t>
  </si>
  <si>
    <t>AME2020</t>
  </si>
  <si>
    <t>AME2021</t>
  </si>
  <si>
    <t>Calcul AME 2021</t>
  </si>
  <si>
    <t>Émissions CO2</t>
  </si>
  <si>
    <t>PIB</t>
  </si>
  <si>
    <t>18 530</t>
  </si>
  <si>
    <t>AMS 2018</t>
  </si>
  <si>
    <t>II. Parc résidentiel (Hors climatisation)</t>
  </si>
  <si>
    <t>OREC</t>
  </si>
  <si>
    <t>Hors clim</t>
  </si>
  <si>
    <t>Usage</t>
  </si>
  <si>
    <t>Éclairage</t>
  </si>
  <si>
    <t>ECS</t>
  </si>
  <si>
    <t>Blanc</t>
  </si>
  <si>
    <t>Autres (électroménager, ventilation, etc.)</t>
  </si>
  <si>
    <t>Cuissons</t>
  </si>
  <si>
    <t xml:space="preserve">Climatisation </t>
  </si>
  <si>
    <t>Total hors clim</t>
  </si>
  <si>
    <t>Efficacité</t>
  </si>
  <si>
    <t>Besoin</t>
  </si>
  <si>
    <t>Bruns</t>
  </si>
  <si>
    <t>1 281</t>
  </si>
  <si>
    <t>Idem métropole</t>
  </si>
  <si>
    <t>Index communs métropole (logement, pop…) + variation tx équipement</t>
  </si>
  <si>
    <t>ECS solaire</t>
  </si>
  <si>
    <t>III. Tertiaire (Hors climatisation)</t>
  </si>
  <si>
    <t>(OREC) 2018</t>
  </si>
  <si>
    <t>Avec clim</t>
  </si>
  <si>
    <t>Froid</t>
  </si>
  <si>
    <t>Équipements divers</t>
  </si>
  <si>
    <t>TOTAL</t>
  </si>
  <si>
    <t>1 536</t>
  </si>
  <si>
    <t>Ajusté hausse climatisation</t>
  </si>
  <si>
    <t>Idem résidentiel</t>
  </si>
  <si>
    <t>Indexé PIB</t>
  </si>
  <si>
    <t>Insee, enquête budgets de famille 2011</t>
  </si>
  <si>
    <t xml:space="preserve">V. Climatisation (MICO - ADEME) - Résidentiel et Tertiaire </t>
  </si>
  <si>
    <t xml:space="preserve">1. Résidentiel </t>
  </si>
  <si>
    <t>1. AME 2023</t>
  </si>
  <si>
    <t>3. AME 2021</t>
  </si>
  <si>
    <t>Gwh</t>
  </si>
  <si>
    <t xml:space="preserve">Eclairage </t>
  </si>
  <si>
    <t>2. AMS 2023</t>
  </si>
  <si>
    <t>4. AMS 2018</t>
  </si>
  <si>
    <t xml:space="preserve">2. Tertiaire </t>
  </si>
  <si>
    <t xml:space="preserve">V. Total Résidentiel et Tertiaire </t>
  </si>
  <si>
    <t>Total résidentiel</t>
  </si>
  <si>
    <t>dont PPR</t>
  </si>
  <si>
    <t>Part constante dans la conso / 2020</t>
  </si>
  <si>
    <t>dont EnRt</t>
  </si>
  <si>
    <t>Dont elec</t>
  </si>
  <si>
    <t>Total tertiaire</t>
  </si>
  <si>
    <t>Baisse à zéro en 2050</t>
  </si>
  <si>
    <t>Prend un tiers du PPR</t>
  </si>
  <si>
    <t>Prend le reste</t>
  </si>
  <si>
    <t>Émissions (KtCO2e)</t>
  </si>
  <si>
    <t>N20 (ktCO2eq)</t>
  </si>
  <si>
    <t>Citepa (tN2O)</t>
  </si>
  <si>
    <t>CH4 (ktCO2eq)</t>
  </si>
  <si>
    <t>Citepa (tCH4)</t>
  </si>
  <si>
    <t>Total (ktCO2)</t>
  </si>
  <si>
    <t xml:space="preserve">Reprendre calculs de AMS 2018 </t>
  </si>
  <si>
    <t>Total dont CO2 (ktCO2)</t>
  </si>
  <si>
    <t xml:space="preserve">Production (millions d'€) -VA </t>
  </si>
  <si>
    <t>Intensité d'émissions  (ktCO2eq/millions€)</t>
  </si>
  <si>
    <t>Emission/production (VA)</t>
  </si>
  <si>
    <t>Consommation PPR (GWh)</t>
  </si>
  <si>
    <t>Consommation électricité (GWh)</t>
  </si>
  <si>
    <t xml:space="preserve">Production </t>
  </si>
  <si>
    <t xml:space="preserve">Intensité d'émissions </t>
  </si>
  <si>
    <t xml:space="preserve">Emissions </t>
  </si>
  <si>
    <t xml:space="preserve">Consommation énergétique </t>
  </si>
  <si>
    <t xml:space="preserve">Gains énergétiques  </t>
  </si>
  <si>
    <t xml:space="preserve">Consommation </t>
  </si>
  <si>
    <t>Conso PPR</t>
  </si>
  <si>
    <t>Conso élec</t>
  </si>
  <si>
    <t>Taux de substitution</t>
  </si>
  <si>
    <t>Consommation (GWh)</t>
  </si>
  <si>
    <t xml:space="preserve">Conso PPR </t>
  </si>
  <si>
    <t xml:space="preserve">Conso biocarburant </t>
  </si>
  <si>
    <t>N2O</t>
  </si>
  <si>
    <t>CH4</t>
  </si>
  <si>
    <t>Total dont CO2</t>
  </si>
  <si>
    <t>Développement autonomie alimentaire</t>
  </si>
  <si>
    <t>Semblable métropole</t>
  </si>
  <si>
    <t>Citepa</t>
  </si>
  <si>
    <t>Intensité émissions (indice 2015)</t>
  </si>
  <si>
    <t>Population (indice 2015)</t>
  </si>
  <si>
    <t>Quantité de déchets (kt)</t>
  </si>
  <si>
    <t>1800 (tout déchets) - 507 (OMR)</t>
  </si>
  <si>
    <t>OMR</t>
  </si>
  <si>
    <t>Émissions (ktCH4)</t>
  </si>
  <si>
    <t>Émissions CH4 (ktCO2eq)</t>
  </si>
  <si>
    <t>Emissions déchets total (ktCO2eq)</t>
  </si>
  <si>
    <t xml:space="preserve">reprise AME 2021 </t>
  </si>
  <si>
    <t xml:space="preserve">Indice pop 2050*indice émissions 2050 *émissions 2015 </t>
  </si>
  <si>
    <t>Emissions déchets total</t>
  </si>
  <si>
    <t>Quantité déchets (kt)</t>
  </si>
  <si>
    <t>Déchets par habitants (indice 2019)</t>
  </si>
  <si>
    <t>Bilans physiques, toutes énergies confondues (données réelles)</t>
  </si>
  <si>
    <t>Bilan énergétique physique 2020</t>
  </si>
  <si>
    <t>Données réelles</t>
  </si>
  <si>
    <t>En Gwh</t>
  </si>
  <si>
    <t>Source : SDES</t>
  </si>
  <si>
    <t>Bilan énergétique physique 2019</t>
  </si>
  <si>
    <t>Bilan énergétique physique 2018</t>
  </si>
  <si>
    <t>Bilan énergétique physique 2017</t>
  </si>
  <si>
    <t>Bilan énergétique physique 2016</t>
  </si>
  <si>
    <t>Bilan énergétique physique 2015</t>
  </si>
  <si>
    <t>Bilan énergétique physique 2014</t>
  </si>
  <si>
    <t>Bilan énergétique physique 2013</t>
  </si>
  <si>
    <t>Biomasse solide</t>
  </si>
  <si>
    <t>Biocarburants</t>
  </si>
  <si>
    <t>Solaire thermique</t>
  </si>
  <si>
    <t>Pompes à chaleur</t>
  </si>
  <si>
    <t>Cadrage</t>
  </si>
  <si>
    <t>Moyenne</t>
  </si>
  <si>
    <t>Rendement Transformation</t>
  </si>
  <si>
    <t>Usage interne / production</t>
  </si>
  <si>
    <t>Elec</t>
  </si>
  <si>
    <t>Pertes / production</t>
  </si>
  <si>
    <t>Elec+chaleur</t>
  </si>
  <si>
    <t>Nucléaire</t>
  </si>
  <si>
    <t>Électricité</t>
  </si>
  <si>
    <t>Hydrogène</t>
  </si>
  <si>
    <t>Gaz renouvelable</t>
  </si>
  <si>
    <t>Chaleur de l'environnement</t>
  </si>
  <si>
    <t>Solaire thermique et géothermie</t>
  </si>
  <si>
    <t>Total approvisionnement / consommation primaire</t>
  </si>
  <si>
    <t>Écart statistique</t>
  </si>
  <si>
    <t>Production d'électricité</t>
  </si>
  <si>
    <t>Production de chaleur</t>
  </si>
  <si>
    <t>Production de gaz renouvelable</t>
  </si>
  <si>
    <t>Production de gaz de synthèse</t>
  </si>
  <si>
    <t>Production de biocarburants</t>
  </si>
  <si>
    <t>Production d'e-fuels</t>
  </si>
  <si>
    <t>Production d'hydrogène</t>
  </si>
  <si>
    <t>Puits technologiques</t>
  </si>
  <si>
    <t>Gaz Renouvelable</t>
  </si>
  <si>
    <t>Source: Observatoire énergie réunion, Bilan énergétique de la réunion</t>
  </si>
  <si>
    <t>Nb: pour les données historiques, Eolien comprend PV + Biogaz + Eolien</t>
  </si>
  <si>
    <t>Biomasse</t>
  </si>
  <si>
    <t>iocarburants</t>
  </si>
  <si>
    <t>Mix/chaleur</t>
  </si>
  <si>
    <t>Hypothèse: taux d'équipement constant au niveau de 2019</t>
  </si>
  <si>
    <t>Hypothèses: évolution du kilométrage moyen par voiture de +10% (hypothèse métropole. Trajectoires de déploiement flotte électrique basée sur la métropole, pareil pour l'efficacité</t>
  </si>
  <si>
    <t>Hypothèses: Contrairement à l'AME, stabilité de l'évolution du kilomètrage moyen en AMS. Le % de poids lourds électriques passe à 57% en 2050.100% de véhicules électriques en 2050.</t>
  </si>
  <si>
    <t>1. Historique</t>
  </si>
  <si>
    <t>Comparaison conso carburants vs bilans SDES</t>
  </si>
  <si>
    <t>Sources</t>
  </si>
  <si>
    <t>Cadrage macroéconomique</t>
  </si>
  <si>
    <t>IEDOM 2020 + regression linéaire</t>
  </si>
  <si>
    <t>Agrégation Indus + BTP</t>
  </si>
  <si>
    <t>Données de cadrage industriel</t>
  </si>
  <si>
    <t>Croissance avec PIB</t>
  </si>
  <si>
    <t>Hypothèse</t>
  </si>
  <si>
    <t xml:space="preserve">Hypothèse AME 21 </t>
  </si>
  <si>
    <t>Hypothèse d'émissions nulles</t>
  </si>
  <si>
    <t>Hypothèse de substitution 50% en 2050</t>
  </si>
  <si>
    <t>Anciennes modélisations</t>
  </si>
  <si>
    <t>I. Cadrage macroéconomique</t>
  </si>
  <si>
    <t>Hypothèses: Taux d'équipement en clim 63% en 2050 avec amélioration COP</t>
  </si>
  <si>
    <t>Hypothèses: émissions dépendante du niveau de production et de l'intensité d'émission. 95% d'intensité par rapport à 2019, 15% de rendements supplémentaires en 2050</t>
  </si>
  <si>
    <t>Hypothèses: 10% de gains énergétiques par rapport à 2019 en 2050</t>
  </si>
  <si>
    <t>Hypothèses: émissions dépendante du niveau de production et de l'intensité d'émission. 95% d'intensité par rapport à 2019 CH4, 62% N2O (engrais), 15% de rendements supplémentaires en 2050</t>
  </si>
  <si>
    <t>Hypothèses: substitution PPR en biocarburants, 90% biocarburants 10% elec en 2050.</t>
  </si>
  <si>
    <t>Multiplié par les émissions autre méthane (moyenne 2010-2019)</t>
  </si>
  <si>
    <t>Part total / méthane</t>
  </si>
  <si>
    <t>2020: moyenne 2010-2019</t>
  </si>
  <si>
    <t>Croissance avec population et intensité</t>
  </si>
  <si>
    <t>Hypothèses: Baisse de 15% de l'intensité des émissions déchets en 2050 par rapport à 2015</t>
  </si>
  <si>
    <t>Hypothèses: intensité des émissions de 50% par rapport à 2015. Réduction de 20% de la quantité de déchets par habitant</t>
  </si>
  <si>
    <t xml:space="preserve"> </t>
  </si>
  <si>
    <t>Instabilité --&gt; hypothèse haute des émissions de 2019</t>
  </si>
  <si>
    <t xml:space="preserve">  </t>
  </si>
  <si>
    <t>Hypothèses: Annulation des émissions UTCATF en 2050.</t>
  </si>
  <si>
    <t>Bilans énergie SDES</t>
  </si>
  <si>
    <t>Hypothèses: 50% d'équipements clim en 2050. Performance frigorifique 5 en 2050.</t>
  </si>
  <si>
    <t>Hypothèses: Besoin en 2050 déterminé par la hausse de la population. Mais hypothèses demande sur ECS (-20%), blanc (+20%), bruns (+10%). Efficacité en 2050 pour l'éclairage 60% par rapport à 2019.</t>
  </si>
  <si>
    <t>Hypothèses: Besoin en 2050 déterminé par la hausse de la population. Mais hypothèses demande sur ECS (-20%), blanc (+20%), bruns (+10%). Efficacité en 2050 éclairage (-75%) ECS (-10%) Blanc (-60%) Bruns(-0,5%) Cuissons (-20%)</t>
  </si>
  <si>
    <t>Hypothèses: Besoin en 2050 déterminé par la hausse du PIB. Efficacité en 2050 éclairage (-75%) ECS (-10%) Froid (-60%) Equipements divers (-50%)</t>
  </si>
  <si>
    <t>Hypothèses: Identique à l'AME pour le tertiaire</t>
  </si>
  <si>
    <t>Calculé avec MICO</t>
  </si>
  <si>
    <t>Source</t>
  </si>
  <si>
    <t>Résidentiel + climatisation</t>
  </si>
  <si>
    <t>Part constante dans la conso / 2019</t>
  </si>
  <si>
    <t>Hypothèses: Part constante dans la consommation des produits pétroliers, EnRt et elec</t>
  </si>
  <si>
    <t>Hypothèses: Diminution linéaire des produits pétroliers tertiaire et résidentiel jusqu'à 0 en 2050. Les EnRt remplacent 1/3 des PPr, elec 2/3.</t>
  </si>
  <si>
    <t>Hypothèses: Stabilité de la part VA Indus + BTP dans le PIB.90% d'EE indus en 2050.</t>
  </si>
  <si>
    <t>Hypothèses: 50% electrification, 0ktCO2eq en 2050. 73% d'EE indus en 2050.</t>
  </si>
  <si>
    <r>
      <t>PIB (millions d</t>
    </r>
    <r>
      <rPr>
        <sz val="11"/>
        <color theme="1"/>
        <rFont val="Calibri"/>
        <family val="2"/>
      </rPr>
      <t>'euros base 2014)</t>
    </r>
  </si>
  <si>
    <t>Sources: Estimation de la population au 1ᵉʳ janvier 2022 (https://www.insee.fr/fr/statistiques/1893198). PIB: https://www.insee.fr/fr/statistiques/1893220#consulter et IEDOM pour 2019</t>
  </si>
  <si>
    <t>Hypothèses: Objectifs PPE 2023 en 2025, Objectifs PPE 2028 fourchette haute en 2030, puis constant jusqu'en 2050.Pour les chiffres 2015 et 2020, éolien inclus PV + gaz</t>
  </si>
  <si>
    <t>PIB (millions d'euros base 2014)</t>
  </si>
  <si>
    <t>Données historiques</t>
  </si>
  <si>
    <t xml:space="preserve">Fioul lourd </t>
  </si>
  <si>
    <t>PV</t>
  </si>
  <si>
    <t>Bagasse</t>
  </si>
  <si>
    <t>Eolien, PV</t>
  </si>
  <si>
    <t>2. AME 2023 run 2</t>
  </si>
  <si>
    <t>3. AMS 2023 run 2</t>
  </si>
  <si>
    <t>Eolien &amp; PV</t>
  </si>
  <si>
    <t>2. AME 2023 run 1</t>
  </si>
  <si>
    <t>3. AMS 2023 run 1</t>
  </si>
  <si>
    <t xml:space="preserve">I. Mix électrique </t>
  </si>
  <si>
    <t>I. Modélisations passées</t>
  </si>
  <si>
    <t>Cadrage Macroéconomique</t>
  </si>
  <si>
    <t>Production d'énergie</t>
  </si>
  <si>
    <t>Hypothèses MDE</t>
  </si>
  <si>
    <t>% économie d'énergie</t>
  </si>
  <si>
    <t>% économie</t>
  </si>
  <si>
    <t>Isolation</t>
  </si>
  <si>
    <t>Climatisation</t>
  </si>
  <si>
    <t>Eclairage public</t>
  </si>
  <si>
    <t>Eclairage performant</t>
  </si>
  <si>
    <t>Autres</t>
  </si>
  <si>
    <t>Méthode MDE</t>
  </si>
  <si>
    <t>Economie d'energie / 2019 (GWh)</t>
  </si>
  <si>
    <t>Total (GWh)</t>
  </si>
  <si>
    <t>Codes couleurs</t>
  </si>
  <si>
    <t>Résumé des hypothèses prises (à faire)</t>
  </si>
  <si>
    <t>Modélisation statique sectorielle de la Réunion AME / AMS</t>
  </si>
  <si>
    <t>Le résultat de la modélisation est sous la forme d'un bilan d'énergie tous les 5 ans à horizon 2050.</t>
  </si>
  <si>
    <t>Demande électrique (GWh)</t>
  </si>
  <si>
    <t>Hypothèses: Objectifs PPE 2023 en 2025, Objectifs PPE 2028 fourchette basse en 2030, puis constant jusqu'en 2050. Pour les chiffres 2015 et 2020, éolien inclus PV + gaz. La part dans le mix est considérée constante pour l'éolien et le solaire. On considère ensuite la production de 2030 de Déchets Hydraulique et Biogaz constante. Puis on boucle avec la biomasse solide et les biocarburants, pilotables.</t>
  </si>
  <si>
    <t>Résultats de modélisation sectorielles</t>
  </si>
  <si>
    <t>Modélisations sectorielles</t>
  </si>
  <si>
    <t>Les hypothèses se situent dans les feuilles de modélisations sectorielles, et sont résumées dans la feuille hypothèse.</t>
  </si>
  <si>
    <t>Sources: Projections régionales de population 2018-2070 (https://www.insee.fr/fr/statistiques/6652134?sommaire=6652140&amp;q=projection+population). Hypothèse de croissance du PIB de 0,75% par an (BP EDF)</t>
  </si>
  <si>
    <t>Dans le run 2, on se base sur les hypothèses des comités MDE. Hypothèses: Scénario Azur BP EDF 2022, décalé de 2 ans puis projeté sur 2045 - 2050. Les économies d'énergie sont projetées par rapport à 2019. La hausse des besoins est modélisée par les variations de ménages par rapport à 2019</t>
  </si>
  <si>
    <t>Dans le run 2, on se base sur les hypothèses des comités MDE. Hypothèses: Scénario Azur BP EDF 2022, décalé de 2 ans puis projeté sur 2045 - 2050. Les économies d'énergie sont projetées par rapport à 2019</t>
  </si>
  <si>
    <t>Hypothèses: valeur en 2050 obtenue par régression linéaire sur les données historiques 1990 - 2019 en enlevant les outliers. On prend ensuite l'hypothèse haute d'émissions de 2019 que l'on projette jusqu'en 2050.</t>
  </si>
  <si>
    <t>Population (indice 2019)</t>
  </si>
  <si>
    <t>Intensité émissions (ktCO2eq/ kt)</t>
  </si>
  <si>
    <t>Intensité émissions / 2019</t>
  </si>
  <si>
    <t>Intensité émissions (ktCO2eq/kt)</t>
  </si>
  <si>
    <t>NB: pour la biomasse solide et liquide, on considère que la consommation supplémentaire par rapport à 2019 est totalement importée</t>
  </si>
  <si>
    <t>EnR élec</t>
  </si>
  <si>
    <t>Biocard</t>
  </si>
  <si>
    <t>Gaz r</t>
  </si>
  <si>
    <t>Rendements métropolitains</t>
  </si>
  <si>
    <t>Rendements</t>
  </si>
  <si>
    <t>Total (ktCO2eq)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</si>
</sst>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_.###_.###_.##0.0;\–_.#_.##0.0"/>
    <numFmt numFmtId="165" formatCode="#,##0.0"/>
    <numFmt numFmtId="166" formatCode="0.0"/>
    <numFmt numFmtId="167" formatCode="_-* #,##0.00_-;\-* #,##0.00_-;_-* \-??_-;_-@_-"/>
    <numFmt numFmtId="168" formatCode="0\ %"/>
    <numFmt numFmtId="169" formatCode="0.00\ %"/>
    <numFmt numFmtId="170" formatCode="#,##0_ ;\-#,##0\ "/>
    <numFmt numFmtId="171" formatCode="_-* #,##0_-;\-* #,##0_-;_-* \-??_-;_-@_-"/>
    <numFmt numFmtId="172" formatCode="#,##0.000"/>
    <numFmt numFmtId="173" formatCode="_-* #,##0.000_-;\-* #,##0.000_-;_-* \-??_-;_-@_-"/>
    <numFmt numFmtId="174" formatCode="0.0%"/>
    <numFmt numFmtId="175" formatCode="0.000"/>
    <numFmt numFmtId="176" formatCode="0.0000"/>
    <numFmt numFmtId="177" formatCode="0.000000"/>
  </numFmts>
  <fonts count="75">
    <font>
      <sz val="11"/>
      <color rgb="FF000000"/>
      <name val="Calibri"/>
      <family val="2"/>
      <charset val="1"/>
    </font>
    <font>
      <sz val="11"/>
      <name val="Calibri"/>
      <family val="2"/>
      <charset val="1"/>
    </font>
    <font>
      <sz val="11"/>
      <color rgb="FFFFFFFF"/>
      <name val="Calibri"/>
      <family val="2"/>
      <charset val="1"/>
    </font>
    <font>
      <sz val="10"/>
      <name val="Arial"/>
      <family val="2"/>
      <charset val="1"/>
    </font>
    <font>
      <sz val="11"/>
      <color rgb="FFFF0000"/>
      <name val="Calibri"/>
      <family val="2"/>
      <charset val="1"/>
    </font>
    <font>
      <b/>
      <sz val="11"/>
      <name val="Calibri"/>
      <family val="2"/>
      <charset val="1"/>
    </font>
    <font>
      <b/>
      <sz val="11"/>
      <color rgb="FF000000"/>
      <name val="Calibri"/>
      <family val="2"/>
      <charset val="1"/>
    </font>
    <font>
      <u/>
      <sz val="11"/>
      <color rgb="FF0563C1"/>
      <name val="Calibri"/>
      <family val="2"/>
      <charset val="1"/>
    </font>
    <font>
      <i/>
      <sz val="11"/>
      <name val="Calibri"/>
      <family val="2"/>
      <charset val="1"/>
    </font>
    <font>
      <b/>
      <sz val="11"/>
      <color rgb="FFFFFFFF"/>
      <name val="Calibri"/>
      <family val="2"/>
      <charset val="1"/>
    </font>
    <font>
      <b/>
      <sz val="14"/>
      <color rgb="FF000000"/>
      <name val="Calibri"/>
      <family val="2"/>
      <charset val="1"/>
    </font>
    <font>
      <sz val="11"/>
      <color rgb="FF5B9BD5"/>
      <name val="Calibri"/>
      <family val="2"/>
      <charset val="1"/>
    </font>
    <font>
      <sz val="11"/>
      <color rgb="FF4472C4"/>
      <name val="Calibri"/>
      <family val="2"/>
      <charset val="1"/>
    </font>
    <font>
      <b/>
      <sz val="14"/>
      <color rgb="FFFFFFFF"/>
      <name val="Trebuchet MS"/>
      <family val="2"/>
      <charset val="1"/>
    </font>
    <font>
      <sz val="14"/>
      <color rgb="FFFFFFFF"/>
      <name val="Trebuchet MS"/>
      <family val="2"/>
      <charset val="1"/>
    </font>
    <font>
      <b/>
      <i/>
      <sz val="9"/>
      <name val="Trebuchet MS"/>
      <family val="2"/>
      <charset val="1"/>
    </font>
    <font>
      <b/>
      <i/>
      <vertAlign val="subscript"/>
      <sz val="9"/>
      <name val="Trebuchet MS"/>
      <family val="2"/>
      <charset val="1"/>
    </font>
    <font>
      <b/>
      <sz val="9"/>
      <name val="Trebuchet MS"/>
      <family val="2"/>
      <charset val="1"/>
    </font>
    <font>
      <b/>
      <sz val="9"/>
      <color rgb="FF000000"/>
      <name val="Trebuchet MS"/>
      <family val="2"/>
      <charset val="1"/>
    </font>
    <font>
      <sz val="9"/>
      <color rgb="FF000000"/>
      <name val="Trebuchet MS"/>
      <family val="2"/>
      <charset val="1"/>
    </font>
    <font>
      <vertAlign val="subscript"/>
      <sz val="9"/>
      <color rgb="FF000000"/>
      <name val="Trebuchet MS"/>
      <family val="2"/>
      <charset val="1"/>
    </font>
    <font>
      <b/>
      <sz val="8"/>
      <color rgb="FF000000"/>
      <name val="Trebuchet MS"/>
      <family val="2"/>
      <charset val="1"/>
    </font>
    <font>
      <b/>
      <sz val="8"/>
      <name val="Trebuchet MS"/>
      <family val="2"/>
      <charset val="1"/>
    </font>
    <font>
      <sz val="8"/>
      <name val="Trebuchet MS"/>
      <family val="2"/>
      <charset val="1"/>
    </font>
    <font>
      <sz val="8"/>
      <color rgb="FF000000"/>
      <name val="Trebuchet MS"/>
      <family val="2"/>
      <charset val="1"/>
    </font>
    <font>
      <sz val="8"/>
      <color rgb="FFFFFFFF"/>
      <name val="Trebuchet MS"/>
      <family val="2"/>
      <charset val="1"/>
    </font>
    <font>
      <b/>
      <i/>
      <sz val="8"/>
      <name val="Trebuchet MS"/>
      <family val="2"/>
      <charset val="1"/>
    </font>
    <font>
      <i/>
      <sz val="8"/>
      <name val="Trebuchet MS"/>
      <family val="2"/>
      <charset val="1"/>
    </font>
    <font>
      <i/>
      <sz val="8"/>
      <color rgb="FF000000"/>
      <name val="Trebuchet MS"/>
      <family val="2"/>
      <charset val="1"/>
    </font>
    <font>
      <i/>
      <sz val="9"/>
      <color rgb="FF000000"/>
      <name val="Trebuchet MS"/>
      <family val="2"/>
      <charset val="1"/>
    </font>
    <font>
      <b/>
      <sz val="8"/>
      <color rgb="FFFFFFFF"/>
      <name val="Trebuchet MS"/>
      <family val="2"/>
      <charset val="1"/>
    </font>
    <font>
      <i/>
      <sz val="11"/>
      <color rgb="FF000000"/>
      <name val="Calibri"/>
      <family val="2"/>
      <charset val="1"/>
    </font>
    <font>
      <b/>
      <sz val="14"/>
      <color rgb="FF000000"/>
      <name val="Trebuchet MS"/>
      <family val="2"/>
      <charset val="1"/>
    </font>
    <font>
      <sz val="10"/>
      <color rgb="FF000000"/>
      <name val="Trebuchet MS"/>
      <family val="2"/>
      <charset val="1"/>
    </font>
    <font>
      <sz val="11"/>
      <color rgb="FF000000"/>
      <name val="Trebuchet MS"/>
      <family val="2"/>
      <charset val="1"/>
    </font>
    <font>
      <sz val="9"/>
      <color rgb="FF7F7F7F"/>
      <name val="Trebuchet MS"/>
      <family val="2"/>
      <charset val="1"/>
    </font>
    <font>
      <vertAlign val="superscript"/>
      <sz val="9"/>
      <color rgb="FF7F7F7F"/>
      <name val="Trebuchet MS"/>
      <family val="2"/>
      <charset val="1"/>
    </font>
    <font>
      <vertAlign val="superscript"/>
      <sz val="9"/>
      <color rgb="FF000000"/>
      <name val="Trebuchet MS"/>
      <family val="2"/>
      <charset val="1"/>
    </font>
    <font>
      <vertAlign val="subscript"/>
      <sz val="8"/>
      <color rgb="FF000000"/>
      <name val="Trebuchet MS"/>
      <family val="2"/>
      <charset val="1"/>
    </font>
    <font>
      <sz val="8"/>
      <color rgb="FF7F7F7F"/>
      <name val="Trebuchet MS"/>
      <family val="2"/>
      <charset val="1"/>
    </font>
    <font>
      <i/>
      <sz val="8"/>
      <color rgb="FF7F7F7F"/>
      <name val="Trebuchet MS"/>
      <family val="2"/>
      <charset val="1"/>
    </font>
    <font>
      <sz val="10"/>
      <color rgb="FF000000"/>
      <name val="Calibri"/>
      <family val="2"/>
      <charset val="1"/>
    </font>
    <font>
      <sz val="10"/>
      <color rgb="FF000000"/>
      <name val="Times New Roman"/>
      <family val="1"/>
      <charset val="1"/>
    </font>
    <font>
      <sz val="10"/>
      <color rgb="FFFFFFFF"/>
      <name val="Calibri1"/>
      <charset val="1"/>
    </font>
    <font>
      <sz val="10"/>
      <color rgb="FFFFFFFF"/>
      <name val="Calibri"/>
      <family val="2"/>
      <charset val="1"/>
    </font>
    <font>
      <sz val="10"/>
      <color rgb="FF000000"/>
      <name val="Calibri1"/>
      <charset val="1"/>
    </font>
    <font>
      <i/>
      <sz val="10"/>
      <color rgb="FF000000"/>
      <name val="Calibri"/>
      <family val="2"/>
      <charset val="1"/>
    </font>
    <font>
      <sz val="9"/>
      <color rgb="FF000000"/>
      <name val="Calibri"/>
      <family val="2"/>
      <charset val="1"/>
    </font>
    <font>
      <b/>
      <sz val="18"/>
      <color rgb="FF000000"/>
      <name val="Calibri"/>
      <family val="2"/>
      <charset val="1"/>
    </font>
    <font>
      <sz val="11"/>
      <color rgb="FF000000"/>
      <name val="Calibri"/>
      <family val="2"/>
      <charset val="1"/>
    </font>
    <font>
      <sz val="9"/>
      <color indexed="81"/>
      <name val="Tahoma"/>
      <family val="2"/>
    </font>
    <font>
      <b/>
      <sz val="9"/>
      <color indexed="81"/>
      <name val="Tahoma"/>
      <family val="2"/>
    </font>
    <font>
      <sz val="11"/>
      <name val="Calibri"/>
      <family val="2"/>
      <scheme val="minor"/>
    </font>
    <font>
      <b/>
      <sz val="11"/>
      <name val="Calibri"/>
      <family val="2"/>
    </font>
    <font>
      <b/>
      <sz val="11"/>
      <color rgb="FFFF0000"/>
      <name val="Calibri"/>
      <family val="2"/>
    </font>
    <font>
      <b/>
      <sz val="11"/>
      <color rgb="FF000000"/>
      <name val="Calibri"/>
      <family val="2"/>
    </font>
    <font>
      <b/>
      <sz val="18"/>
      <color rgb="FF000000"/>
      <name val="Calibri"/>
      <family val="2"/>
    </font>
    <font>
      <b/>
      <sz val="10"/>
      <name val="Verdana"/>
      <family val="2"/>
      <charset val="1"/>
    </font>
    <font>
      <b/>
      <sz val="10"/>
      <color rgb="FF000000"/>
      <name val="Verdana"/>
      <family val="2"/>
      <charset val="1"/>
    </font>
    <font>
      <b/>
      <sz val="9"/>
      <color rgb="FF000000"/>
      <name val="Verdana"/>
      <family val="2"/>
      <charset val="1"/>
    </font>
    <font>
      <sz val="10"/>
      <color rgb="FF000000"/>
      <name val="Verdana"/>
      <family val="2"/>
      <charset val="1"/>
    </font>
    <font>
      <sz val="10"/>
      <name val="Verdana"/>
      <family val="2"/>
      <charset val="1"/>
    </font>
    <font>
      <i/>
      <sz val="11"/>
      <color rgb="FF000000"/>
      <name val="Calibri"/>
      <family val="2"/>
    </font>
    <font>
      <sz val="11"/>
      <color theme="1"/>
      <name val="Calibri"/>
      <family val="2"/>
      <charset val="1"/>
    </font>
    <font>
      <i/>
      <sz val="10"/>
      <color rgb="FF000000"/>
      <name val="Calibri"/>
      <family val="2"/>
    </font>
    <font>
      <i/>
      <sz val="9"/>
      <color rgb="FF000000"/>
      <name val="Calibri"/>
      <family val="2"/>
    </font>
    <font>
      <i/>
      <sz val="8"/>
      <color rgb="FF000000"/>
      <name val="Calibri"/>
      <family val="2"/>
    </font>
    <font>
      <sz val="8"/>
      <color rgb="FF000000"/>
      <name val="Calibri"/>
      <family val="2"/>
      <charset val="1"/>
    </font>
    <font>
      <b/>
      <sz val="16"/>
      <color rgb="FF000000"/>
      <name val="Calibri"/>
      <family val="2"/>
    </font>
    <font>
      <sz val="11"/>
      <color rgb="FF000000"/>
      <name val="Calibri"/>
      <family val="2"/>
    </font>
    <font>
      <sz val="8"/>
      <color theme="1"/>
      <name val="Calibri"/>
      <family val="2"/>
      <charset val="1"/>
    </font>
    <font>
      <sz val="11"/>
      <color theme="1"/>
      <name val="Calibri"/>
      <family val="2"/>
    </font>
    <font>
      <u/>
      <sz val="8"/>
      <color rgb="FF0563C1"/>
      <name val="Calibri"/>
      <family val="2"/>
      <charset val="1"/>
    </font>
    <font>
      <b/>
      <sz val="20"/>
      <color rgb="FF000000"/>
      <name val="Calibri"/>
      <family val="2"/>
    </font>
    <font>
      <b/>
      <sz val="14"/>
      <color rgb="FF000000"/>
      <name val="Calibri"/>
      <family val="2"/>
    </font>
  </fonts>
  <fills count="76">
    <fill>
      <patternFill patternType="none"/>
    </fill>
    <fill>
      <patternFill patternType="gray125"/>
    </fill>
    <fill>
      <patternFill patternType="solid">
        <fgColor rgb="FF98CCFF"/>
        <bgColor rgb="FFBDD7EE"/>
      </patternFill>
    </fill>
    <fill>
      <patternFill patternType="solid">
        <fgColor rgb="FFFFFFFF"/>
        <bgColor rgb="FFF2F2F2"/>
      </patternFill>
    </fill>
    <fill>
      <patternFill patternType="solid">
        <fgColor rgb="FFCCCCFF"/>
        <bgColor rgb="FFBDD7EE"/>
      </patternFill>
    </fill>
    <fill>
      <patternFill patternType="solid">
        <fgColor rgb="FFFF8080"/>
        <bgColor rgb="FFED7D31"/>
      </patternFill>
    </fill>
    <fill>
      <patternFill patternType="solid">
        <fgColor rgb="FFFF99CC"/>
        <bgColor rgb="FFFF8080"/>
      </patternFill>
    </fill>
    <fill>
      <patternFill patternType="solid">
        <fgColor rgb="FFFFFF99"/>
        <bgColor rgb="FFFFFFCC"/>
      </patternFill>
    </fill>
    <fill>
      <patternFill patternType="solid">
        <fgColor rgb="FFCCFFCC"/>
        <bgColor rgb="FFCCFFFF"/>
      </patternFill>
    </fill>
    <fill>
      <patternFill patternType="solid">
        <fgColor rgb="FFFFFFCC"/>
        <bgColor rgb="FFFFFFFF"/>
      </patternFill>
    </fill>
    <fill>
      <patternFill patternType="solid">
        <fgColor rgb="FFFFCC99"/>
        <bgColor rgb="FFF8CBAD"/>
      </patternFill>
    </fill>
    <fill>
      <patternFill patternType="solid">
        <fgColor rgb="FFCC99FF"/>
        <bgColor rgb="FF9999FF"/>
      </patternFill>
    </fill>
    <fill>
      <patternFill patternType="solid">
        <fgColor rgb="FFCCFFFF"/>
        <bgColor rgb="FFCCFFCC"/>
      </patternFill>
    </fill>
    <fill>
      <patternFill patternType="solid">
        <fgColor rgb="FFDBE4F3"/>
        <bgColor rgb="FFDDEAF7"/>
      </patternFill>
    </fill>
    <fill>
      <patternFill patternType="solid">
        <fgColor rgb="FFDBE4F3"/>
        <bgColor rgb="FFDDEAF7"/>
      </patternFill>
    </fill>
    <fill>
      <patternFill patternType="solid">
        <fgColor rgb="FFC0C0C0"/>
        <bgColor rgb="FFBFBFBF"/>
      </patternFill>
    </fill>
    <fill>
      <patternFill patternType="solid">
        <fgColor rgb="FFF8CBAD"/>
        <bgColor rgb="FFFFCC99"/>
      </patternFill>
    </fill>
    <fill>
      <patternFill patternType="solid">
        <fgColor rgb="FF00FF00"/>
        <bgColor rgb="FF33CCCC"/>
      </patternFill>
    </fill>
    <fill>
      <patternFill patternType="solid">
        <fgColor rgb="FFFFCC00"/>
        <bgColor rgb="FFFFC000"/>
      </patternFill>
    </fill>
    <fill>
      <patternFill patternType="solid">
        <fgColor rgb="FF0066CA"/>
        <bgColor rgb="FF0070C0"/>
      </patternFill>
    </fill>
    <fill>
      <patternFill patternType="solid">
        <fgColor rgb="FF33CCCC"/>
        <bgColor rgb="FF00B9F8"/>
      </patternFill>
    </fill>
    <fill>
      <patternFill patternType="solid">
        <fgColor rgb="FFFF6600"/>
        <bgColor rgb="FFFF8000"/>
      </patternFill>
    </fill>
    <fill>
      <patternFill patternType="solid">
        <fgColor rgb="FF840045"/>
        <bgColor rgb="FF393396"/>
      </patternFill>
    </fill>
    <fill>
      <patternFill patternType="solid">
        <fgColor rgb="FFFF9900"/>
        <bgColor rgb="FFFF8000"/>
      </patternFill>
    </fill>
    <fill>
      <patternFill patternType="solid">
        <fgColor rgb="FF003366"/>
        <bgColor rgb="FF10523D"/>
      </patternFill>
    </fill>
    <fill>
      <patternFill patternType="mediumGray">
        <fgColor rgb="FF393396"/>
        <bgColor rgb="FF333399"/>
      </patternFill>
    </fill>
    <fill>
      <patternFill patternType="solid">
        <fgColor rgb="FF333399"/>
        <bgColor rgb="FF393396"/>
      </patternFill>
    </fill>
    <fill>
      <patternFill patternType="solid">
        <fgColor rgb="FF969696"/>
        <bgColor rgb="FFA7A6A8"/>
      </patternFill>
    </fill>
    <fill>
      <patternFill patternType="solid">
        <fgColor rgb="FFFF0000"/>
        <bgColor rgb="FF840045"/>
      </patternFill>
    </fill>
    <fill>
      <patternFill patternType="solid">
        <fgColor rgb="FF309B80"/>
        <bgColor rgb="FF2A9A65"/>
      </patternFill>
    </fill>
    <fill>
      <patternFill patternType="darkGray">
        <fgColor rgb="FF2A9A65"/>
        <bgColor rgb="FF309B80"/>
      </patternFill>
    </fill>
    <fill>
      <patternFill patternType="solid">
        <fgColor rgb="FF666695"/>
        <bgColor rgb="FF7F7F7F"/>
      </patternFill>
    </fill>
    <fill>
      <patternFill patternType="darkGray">
        <fgColor rgb="FF497BCA"/>
        <bgColor rgb="FF666695"/>
      </patternFill>
    </fill>
    <fill>
      <patternFill patternType="solid">
        <fgColor rgb="FFFF8000"/>
        <bgColor rgb="FFED7D31"/>
      </patternFill>
    </fill>
    <fill>
      <patternFill patternType="solid">
        <fgColor rgb="FF0070C0"/>
        <bgColor rgb="FF0066CA"/>
      </patternFill>
    </fill>
    <fill>
      <patternFill patternType="solid">
        <fgColor rgb="FF0066CA"/>
        <bgColor rgb="FF0070C0"/>
      </patternFill>
    </fill>
    <fill>
      <patternFill patternType="solid">
        <fgColor rgb="FF00B9F8"/>
        <bgColor rgb="FF33CCCC"/>
      </patternFill>
    </fill>
    <fill>
      <patternFill patternType="darkGray">
        <fgColor rgb="FF00B9F8"/>
        <bgColor rgb="FF33CCCC"/>
      </patternFill>
    </fill>
    <fill>
      <patternFill patternType="solid">
        <fgColor rgb="FFED7D31"/>
        <bgColor rgb="FFFF8000"/>
      </patternFill>
    </fill>
    <fill>
      <patternFill patternType="solid">
        <fgColor rgb="FFFFC000"/>
        <bgColor rgb="FFFFCC00"/>
      </patternFill>
    </fill>
    <fill>
      <patternFill patternType="solid">
        <fgColor rgb="FFA7A6A8"/>
        <bgColor rgb="FF969696"/>
      </patternFill>
    </fill>
    <fill>
      <patternFill patternType="mediumGray">
        <fgColor rgb="FF10523D"/>
        <bgColor rgb="FF333399"/>
      </patternFill>
    </fill>
    <fill>
      <patternFill patternType="solid">
        <fgColor rgb="FFDDEAF7"/>
        <bgColor rgb="FFDBE4F3"/>
      </patternFill>
    </fill>
    <fill>
      <patternFill patternType="solid">
        <fgColor rgb="FFA7A6A8"/>
        <bgColor rgb="FF969696"/>
      </patternFill>
    </fill>
    <fill>
      <patternFill patternType="solid">
        <fgColor rgb="FFD6E3B4"/>
        <bgColor rgb="FFD9D9DB"/>
      </patternFill>
    </fill>
    <fill>
      <patternFill patternType="solid">
        <fgColor rgb="FFA1B86B"/>
        <bgColor rgb="FFA7A6A8"/>
      </patternFill>
    </fill>
    <fill>
      <patternFill patternType="solid">
        <fgColor rgb="FF393396"/>
        <bgColor rgb="FF333399"/>
      </patternFill>
    </fill>
    <fill>
      <patternFill patternType="solid">
        <fgColor rgb="FFD9D9DB"/>
        <bgColor rgb="FFD8D7D7"/>
      </patternFill>
    </fill>
    <fill>
      <patternFill patternType="solid">
        <fgColor rgb="FFF2F2F2"/>
        <bgColor rgb="FFE7E6E6"/>
      </patternFill>
    </fill>
    <fill>
      <patternFill patternType="solid">
        <fgColor rgb="FF000000"/>
        <bgColor rgb="FF333333"/>
      </patternFill>
    </fill>
    <fill>
      <patternFill patternType="solid">
        <fgColor rgb="FF2A9A65"/>
        <bgColor rgb="FF309B80"/>
      </patternFill>
    </fill>
    <fill>
      <patternFill patternType="solid">
        <fgColor rgb="FFBDD7EE"/>
        <bgColor rgb="FFCCCCFF"/>
      </patternFill>
    </fill>
    <fill>
      <patternFill patternType="solid">
        <fgColor rgb="FFFFFF00"/>
        <bgColor rgb="FFFFCC00"/>
      </patternFill>
    </fill>
    <fill>
      <patternFill patternType="solid">
        <fgColor rgb="FFBFBFBF"/>
        <bgColor rgb="FFC0C0C0"/>
      </patternFill>
    </fill>
    <fill>
      <patternFill patternType="solid">
        <fgColor rgb="FF6666FF"/>
        <bgColor rgb="FF497BCA"/>
      </patternFill>
    </fill>
    <fill>
      <patternFill patternType="solid">
        <fgColor rgb="FFE7E6E6"/>
        <bgColor rgb="FFDBE4F3"/>
      </patternFill>
    </fill>
    <fill>
      <patternFill patternType="solid">
        <fgColor rgb="FFD6E3B4"/>
        <bgColor rgb="FFD8D7D7"/>
      </patternFill>
    </fill>
    <fill>
      <patternFill patternType="solid">
        <fgColor rgb="FFA7A6A8"/>
        <bgColor rgb="FF969696"/>
      </patternFill>
    </fill>
    <fill>
      <patternFill patternType="solid">
        <fgColor rgb="FFD9D9DB"/>
        <bgColor rgb="FFD8D7D7"/>
      </patternFill>
    </fill>
    <fill>
      <patternFill patternType="solid">
        <fgColor rgb="FF0070C0"/>
        <bgColor indexed="64"/>
      </patternFill>
    </fill>
    <fill>
      <patternFill patternType="solid">
        <fgColor rgb="FF00B0F0"/>
        <bgColor indexed="64"/>
      </patternFill>
    </fill>
    <fill>
      <patternFill patternType="solid">
        <fgColor theme="0"/>
        <bgColor rgb="FFFFC000"/>
      </patternFill>
    </fill>
    <fill>
      <patternFill patternType="solid">
        <fgColor rgb="FFFFFFFF"/>
        <bgColor rgb="FFFFFFCC"/>
      </patternFill>
    </fill>
    <fill>
      <patternFill patternType="solid">
        <fgColor rgb="FF7ADDF6"/>
        <bgColor rgb="FFC0C0C0"/>
      </patternFill>
    </fill>
    <fill>
      <patternFill patternType="solid">
        <fgColor theme="0"/>
        <bgColor rgb="FFFFCC00"/>
      </patternFill>
    </fill>
    <fill>
      <patternFill patternType="solid">
        <fgColor theme="0"/>
        <bgColor indexed="64"/>
      </patternFill>
    </fill>
    <fill>
      <patternFill patternType="solid">
        <fgColor theme="0" tint="-0.14999847407452621"/>
        <bgColor indexed="64"/>
      </patternFill>
    </fill>
    <fill>
      <patternFill patternType="solid">
        <fgColor theme="0"/>
        <bgColor rgb="FFFF8000"/>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1" tint="0.34998626667073579"/>
        <bgColor rgb="FFFFCC00"/>
      </patternFill>
    </fill>
    <fill>
      <patternFill patternType="solid">
        <fgColor theme="1" tint="0.34998626667073579"/>
        <bgColor indexed="64"/>
      </patternFill>
    </fill>
    <fill>
      <patternFill patternType="solid">
        <fgColor theme="1" tint="0.34998626667073579"/>
        <bgColor rgb="FFD8D7D7"/>
      </patternFill>
    </fill>
  </fills>
  <borders count="2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ck">
        <color auto="1"/>
      </right>
      <top style="thin">
        <color auto="1"/>
      </top>
      <bottom/>
      <diagonal/>
    </border>
    <border>
      <left style="thin">
        <color auto="1"/>
      </left>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thick">
        <color auto="1"/>
      </left>
      <right style="thick">
        <color auto="1"/>
      </right>
      <top/>
      <bottom style="thin">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bottom/>
      <diagonal/>
    </border>
    <border>
      <left style="thin">
        <color auto="1"/>
      </left>
      <right/>
      <top style="thin">
        <color auto="1"/>
      </top>
      <bottom/>
      <diagonal/>
    </border>
    <border>
      <left/>
      <right/>
      <top style="thin">
        <color auto="1"/>
      </top>
      <bottom/>
      <diagonal/>
    </border>
  </borders>
  <cellStyleXfs count="7784">
    <xf numFmtId="0" fontId="0" fillId="0" borderId="0"/>
    <xf numFmtId="167" fontId="49" fillId="0" borderId="0" applyBorder="0" applyProtection="0"/>
    <xf numFmtId="168" fontId="49" fillId="0" borderId="0" applyBorder="0" applyProtection="0"/>
    <xf numFmtId="0" fontId="7" fillId="0" borderId="0" applyBorder="0" applyProtection="0"/>
    <xf numFmtId="164" fontId="49" fillId="0" borderId="0" applyBorder="0" applyProtection="0"/>
    <xf numFmtId="164" fontId="49" fillId="0" borderId="0" applyBorder="0" applyProtection="0"/>
    <xf numFmtId="0" fontId="49" fillId="2" borderId="0" applyBorder="0" applyProtection="0"/>
    <xf numFmtId="0" fontId="1" fillId="3" borderId="0" applyBorder="0" applyProtection="0"/>
    <xf numFmtId="0" fontId="49" fillId="4" borderId="0" applyBorder="0" applyProtection="0"/>
    <xf numFmtId="0" fontId="49" fillId="4" borderId="0" applyBorder="0" applyProtection="0"/>
    <xf numFmtId="0" fontId="1" fillId="3" borderId="0" applyBorder="0" applyProtection="0"/>
    <xf numFmtId="0" fontId="49" fillId="4"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4" borderId="0" applyBorder="0" applyProtection="0"/>
    <xf numFmtId="0" fontId="49" fillId="4"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3" borderId="0" applyBorder="0" applyProtection="0"/>
    <xf numFmtId="0" fontId="49" fillId="3" borderId="0" applyBorder="0" applyProtection="0"/>
    <xf numFmtId="0" fontId="49" fillId="2" borderId="0" applyBorder="0" applyProtection="0"/>
    <xf numFmtId="0" fontId="49" fillId="3" borderId="0" applyBorder="0" applyProtection="0"/>
    <xf numFmtId="0" fontId="49" fillId="3" borderId="0" applyBorder="0" applyProtection="0"/>
    <xf numFmtId="0" fontId="49" fillId="2" borderId="0" applyBorder="0" applyProtection="0"/>
    <xf numFmtId="0" fontId="49" fillId="3" borderId="0" applyBorder="0" applyProtection="0"/>
    <xf numFmtId="0" fontId="49"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1" fillId="3" borderId="0" applyBorder="0" applyProtection="0"/>
    <xf numFmtId="0" fontId="49" fillId="4" borderId="0" applyBorder="0" applyProtection="0"/>
    <xf numFmtId="0" fontId="49" fillId="2" borderId="0" applyBorder="0" applyProtection="0"/>
    <xf numFmtId="0" fontId="1" fillId="3"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5"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3" borderId="0" applyBorder="0" applyProtection="0"/>
    <xf numFmtId="0" fontId="49" fillId="3" borderId="0" applyBorder="0" applyProtection="0"/>
    <xf numFmtId="0" fontId="49" fillId="5" borderId="0" applyBorder="0" applyProtection="0"/>
    <xf numFmtId="0" fontId="49" fillId="3" borderId="0" applyBorder="0" applyProtection="0"/>
    <xf numFmtId="0" fontId="49" fillId="3" borderId="0" applyBorder="0" applyProtection="0"/>
    <xf numFmtId="0" fontId="49" fillId="5" borderId="0" applyBorder="0" applyProtection="0"/>
    <xf numFmtId="0" fontId="49" fillId="3" borderId="0" applyBorder="0" applyProtection="0"/>
    <xf numFmtId="0" fontId="49"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1" fillId="3" borderId="0" applyBorder="0" applyProtection="0"/>
    <xf numFmtId="0" fontId="49" fillId="6"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7" borderId="0" applyBorder="0" applyProtection="0"/>
    <xf numFmtId="0" fontId="1" fillId="3" borderId="0" applyBorder="0" applyProtection="0"/>
    <xf numFmtId="0" fontId="49" fillId="8" borderId="0" applyBorder="0" applyProtection="0"/>
    <xf numFmtId="0" fontId="49" fillId="8" borderId="0" applyBorder="0" applyProtection="0"/>
    <xf numFmtId="0" fontId="1" fillId="3" borderId="0" applyBorder="0" applyProtection="0"/>
    <xf numFmtId="0" fontId="49" fillId="8"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8" borderId="0" applyBorder="0" applyProtection="0"/>
    <xf numFmtId="0" fontId="49" fillId="8"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1" fillId="3" borderId="0" applyBorder="0" applyProtection="0"/>
    <xf numFmtId="0" fontId="49" fillId="8"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10"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11"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3" borderId="0" applyBorder="0" applyProtection="0"/>
    <xf numFmtId="0" fontId="49" fillId="3" borderId="0" applyBorder="0" applyProtection="0"/>
    <xf numFmtId="0" fontId="49" fillId="10" borderId="0" applyBorder="0" applyProtection="0"/>
    <xf numFmtId="0" fontId="49" fillId="3" borderId="0" applyBorder="0" applyProtection="0"/>
    <xf numFmtId="0" fontId="49" fillId="3" borderId="0" applyBorder="0" applyProtection="0"/>
    <xf numFmtId="0" fontId="49" fillId="10" borderId="0" applyBorder="0" applyProtection="0"/>
    <xf numFmtId="0" fontId="49" fillId="3" borderId="0" applyBorder="0" applyProtection="0"/>
    <xf numFmtId="0" fontId="49"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1" fillId="3" borderId="0" applyBorder="0" applyProtection="0"/>
    <xf numFmtId="0" fontId="49" fillId="11" borderId="0" applyBorder="0" applyProtection="0"/>
    <xf numFmtId="0" fontId="49" fillId="10" borderId="0" applyBorder="0" applyProtection="0"/>
    <xf numFmtId="0" fontId="1" fillId="3"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3" borderId="0" applyBorder="0" applyProtection="0"/>
    <xf numFmtId="0" fontId="49" fillId="14" borderId="0" applyBorder="0" applyProtection="0"/>
    <xf numFmtId="0" fontId="49" fillId="14"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7"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10"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10" borderId="0" applyBorder="0" applyProtection="0"/>
    <xf numFmtId="0" fontId="49" fillId="10"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3" borderId="0" applyBorder="0" applyProtection="0"/>
    <xf numFmtId="0" fontId="49"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49" fillId="7" borderId="0" applyBorder="0" applyProtection="0"/>
    <xf numFmtId="0" fontId="1" fillId="3" borderId="0" applyBorder="0" applyProtection="0"/>
    <xf numFmtId="0" fontId="1" fillId="3" borderId="0" applyBorder="0" applyProtection="0"/>
    <xf numFmtId="0" fontId="49" fillId="10" borderId="0" applyBorder="0" applyProtection="0"/>
    <xf numFmtId="0" fontId="49" fillId="7" borderId="0" applyBorder="0" applyProtection="0"/>
    <xf numFmtId="0" fontId="1" fillId="3"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7" borderId="0" applyBorder="0" applyProtection="0"/>
    <xf numFmtId="0" fontId="1" fillId="3" borderId="0" applyBorder="0" applyProtection="0"/>
    <xf numFmtId="0" fontId="49" fillId="0" borderId="0" applyBorder="0" applyProtection="0">
      <alignment horizontal="left" vertical="center" indent="4"/>
    </xf>
    <xf numFmtId="0" fontId="49" fillId="0" borderId="0" applyBorder="0" applyProtection="0">
      <alignment horizontal="left" vertical="center" indent="3"/>
    </xf>
    <xf numFmtId="0" fontId="49" fillId="12"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5"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1" fillId="3" borderId="0" applyBorder="0" applyProtection="0"/>
    <xf numFmtId="0" fontId="49" fillId="16" borderId="0" applyBorder="0" applyProtection="0"/>
    <xf numFmtId="0" fontId="49" fillId="16" borderId="0" applyBorder="0" applyProtection="0"/>
    <xf numFmtId="0" fontId="49" fillId="16"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49" fillId="5" borderId="0" applyBorder="0" applyProtection="0"/>
    <xf numFmtId="0" fontId="1" fillId="3"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5" borderId="0" applyBorder="0" applyProtection="0"/>
    <xf numFmtId="0" fontId="1" fillId="3" borderId="0" applyBorder="0" applyProtection="0"/>
    <xf numFmtId="0" fontId="49" fillId="9" borderId="0" applyBorder="0" applyProtection="0"/>
    <xf numFmtId="0" fontId="1" fillId="3" borderId="0" applyBorder="0" applyProtection="0"/>
    <xf numFmtId="0" fontId="49" fillId="17" borderId="0" applyBorder="0" applyProtection="0"/>
    <xf numFmtId="0" fontId="49" fillId="17" borderId="0" applyBorder="0" applyProtection="0"/>
    <xf numFmtId="0" fontId="1" fillId="3" borderId="0" applyBorder="0" applyProtection="0"/>
    <xf numFmtId="0" fontId="49" fillId="17"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17" borderId="0" applyBorder="0" applyProtection="0"/>
    <xf numFmtId="0" fontId="49" fillId="17"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49" fillId="7" borderId="0" applyBorder="0" applyProtection="0"/>
    <xf numFmtId="0" fontId="1" fillId="3"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6"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11"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11" borderId="0" applyBorder="0" applyProtection="0"/>
    <xf numFmtId="0" fontId="49" fillId="11"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3" borderId="0" applyBorder="0" applyProtection="0"/>
    <xf numFmtId="0" fontId="49" fillId="3" borderId="0" applyBorder="0" applyProtection="0"/>
    <xf numFmtId="0" fontId="49" fillId="6" borderId="0" applyBorder="0" applyProtection="0"/>
    <xf numFmtId="0" fontId="49" fillId="3" borderId="0" applyBorder="0" applyProtection="0"/>
    <xf numFmtId="0" fontId="49" fillId="3" borderId="0" applyBorder="0" applyProtection="0"/>
    <xf numFmtId="0" fontId="49" fillId="6" borderId="0" applyBorder="0" applyProtection="0"/>
    <xf numFmtId="0" fontId="49" fillId="3" borderId="0" applyBorder="0" applyProtection="0"/>
    <xf numFmtId="0" fontId="49"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49" fillId="6" borderId="0" applyBorder="0" applyProtection="0"/>
    <xf numFmtId="0" fontId="1" fillId="3" borderId="0" applyBorder="0" applyProtection="0"/>
    <xf numFmtId="0" fontId="1" fillId="3" borderId="0" applyBorder="0" applyProtection="0"/>
    <xf numFmtId="0" fontId="49" fillId="15" borderId="0" applyBorder="0" applyProtection="0"/>
    <xf numFmtId="0" fontId="49" fillId="6" borderId="0" applyBorder="0" applyProtection="0"/>
    <xf numFmtId="0" fontId="1" fillId="3"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6" borderId="0" applyBorder="0" applyProtection="0"/>
    <xf numFmtId="0" fontId="1" fillId="3" borderId="0" applyBorder="0" applyProtection="0"/>
    <xf numFmtId="0" fontId="49" fillId="12"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2" borderId="0" applyBorder="0" applyProtection="0"/>
    <xf numFmtId="0" fontId="49" fillId="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3" borderId="0" applyBorder="0" applyProtection="0"/>
    <xf numFmtId="0" fontId="49"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49" fillId="12" borderId="0" applyBorder="0" applyProtection="0"/>
    <xf numFmtId="0" fontId="1" fillId="3" borderId="0" applyBorder="0" applyProtection="0"/>
    <xf numFmtId="0" fontId="1" fillId="3" borderId="0" applyBorder="0" applyProtection="0"/>
    <xf numFmtId="0" fontId="49" fillId="2" borderId="0" applyBorder="0" applyProtection="0"/>
    <xf numFmtId="0" fontId="49" fillId="12" borderId="0" applyBorder="0" applyProtection="0"/>
    <xf numFmtId="0" fontId="1" fillId="3"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12" borderId="0" applyBorder="0" applyProtection="0"/>
    <xf numFmtId="0" fontId="1" fillId="3" borderId="0" applyBorder="0" applyProtection="0"/>
    <xf numFmtId="0" fontId="49" fillId="9" borderId="0" applyBorder="0" applyProtection="0"/>
    <xf numFmtId="0" fontId="1" fillId="3" borderId="0" applyBorder="0" applyProtection="0"/>
    <xf numFmtId="0" fontId="49" fillId="18" borderId="0" applyBorder="0" applyProtection="0"/>
    <xf numFmtId="0" fontId="49" fillId="18" borderId="0" applyBorder="0" applyProtection="0"/>
    <xf numFmtId="0" fontId="1" fillId="3" borderId="0" applyBorder="0" applyProtection="0"/>
    <xf numFmtId="0" fontId="49" fillId="18"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18" borderId="0" applyBorder="0" applyProtection="0"/>
    <xf numFmtId="0" fontId="49" fillId="18"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3" borderId="0" applyBorder="0" applyProtection="0"/>
    <xf numFmtId="0" fontId="49"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49" fillId="9" borderId="0" applyBorder="0" applyProtection="0"/>
    <xf numFmtId="0" fontId="1" fillId="3" borderId="0" applyBorder="0" applyProtection="0"/>
    <xf numFmtId="0" fontId="1" fillId="3" borderId="0" applyBorder="0" applyProtection="0"/>
    <xf numFmtId="0" fontId="49" fillId="7" borderId="0" applyBorder="0" applyProtection="0"/>
    <xf numFmtId="0" fontId="49" fillId="9" borderId="0" applyBorder="0" applyProtection="0"/>
    <xf numFmtId="0" fontId="1" fillId="3"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9" borderId="0" applyBorder="0" applyProtection="0"/>
    <xf numFmtId="0" fontId="1" fillId="3" borderId="0" applyBorder="0" applyProtection="0"/>
    <xf numFmtId="0" fontId="49" fillId="0" borderId="0" applyBorder="0" applyProtection="0">
      <alignment horizontal="left" vertical="center" indent="9"/>
    </xf>
    <xf numFmtId="0" fontId="49" fillId="0" borderId="0" applyBorder="0" applyProtection="0">
      <alignment horizontal="left" vertical="center" indent="7"/>
    </xf>
    <xf numFmtId="0" fontId="2" fillId="12"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9" borderId="0" applyBorder="0" applyProtection="0"/>
    <xf numFmtId="0" fontId="2" fillId="19"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21"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5"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18"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7" borderId="0" applyBorder="0" applyProtection="0"/>
    <xf numFmtId="0" fontId="2" fillId="17"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7"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6"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2" fillId="6" borderId="0" applyBorder="0" applyProtection="0"/>
    <xf numFmtId="0" fontId="1" fillId="3" borderId="0" applyBorder="0" applyProtection="0"/>
    <xf numFmtId="0" fontId="1" fillId="3" borderId="0" applyBorder="0" applyProtection="0"/>
    <xf numFmtId="0" fontId="2" fillId="15" borderId="0" applyBorder="0" applyProtection="0"/>
    <xf numFmtId="0" fontId="2" fillId="6" borderId="0" applyBorder="0" applyProtection="0"/>
    <xf numFmtId="0" fontId="1" fillId="3"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6" borderId="0" applyBorder="0" applyProtection="0"/>
    <xf numFmtId="0" fontId="1" fillId="3" borderId="0" applyBorder="0" applyProtection="0"/>
    <xf numFmtId="0" fontId="2" fillId="12"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2" fillId="12" borderId="0" applyBorder="0" applyProtection="0"/>
    <xf numFmtId="0" fontId="1" fillId="3" borderId="0" applyBorder="0" applyProtection="0"/>
    <xf numFmtId="0" fontId="1" fillId="3" borderId="0" applyBorder="0" applyProtection="0"/>
    <xf numFmtId="0" fontId="2" fillId="20" borderId="0" applyBorder="0" applyProtection="0"/>
    <xf numFmtId="0" fontId="2" fillId="12" borderId="0" applyBorder="0" applyProtection="0"/>
    <xf numFmtId="0" fontId="1" fillId="3"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12" borderId="0" applyBorder="0" applyProtection="0"/>
    <xf numFmtId="0" fontId="1" fillId="3" borderId="0" applyBorder="0" applyProtection="0"/>
    <xf numFmtId="0" fontId="2" fillId="5"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23" borderId="0" applyBorder="0" applyProtection="0"/>
    <xf numFmtId="0" fontId="2" fillId="23"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2" fillId="5" borderId="0" applyBorder="0" applyProtection="0"/>
    <xf numFmtId="0" fontId="1" fillId="3"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2" fillId="5" borderId="0" applyBorder="0" applyProtection="0"/>
    <xf numFmtId="0" fontId="1" fillId="3" borderId="0" applyBorder="0" applyProtection="0"/>
    <xf numFmtId="0" fontId="3" fillId="0" borderId="0"/>
    <xf numFmtId="0" fontId="3" fillId="0" borderId="0"/>
    <xf numFmtId="165" fontId="3" fillId="4" borderId="0"/>
    <xf numFmtId="165" fontId="3" fillId="3" borderId="0"/>
    <xf numFmtId="0" fontId="49" fillId="4" borderId="0" applyBorder="0" applyProtection="0"/>
    <xf numFmtId="0" fontId="1" fillId="3" borderId="0" applyBorder="0" applyProtection="0"/>
    <xf numFmtId="0" fontId="49"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4"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5" borderId="0" applyBorder="0" applyProtection="0"/>
    <xf numFmtId="0" fontId="1" fillId="26" borderId="0" applyBorder="0" applyProtection="0"/>
    <xf numFmtId="0" fontId="2" fillId="24" borderId="0" applyBorder="0" applyProtection="0"/>
    <xf numFmtId="0" fontId="1" fillId="24" borderId="0" applyBorder="0" applyProtection="0"/>
    <xf numFmtId="0" fontId="2" fillId="25" borderId="0" applyBorder="0" applyProtection="0"/>
    <xf numFmtId="0" fontId="1" fillId="26"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4" borderId="0" applyBorder="0" applyProtection="0"/>
    <xf numFmtId="0" fontId="2" fillId="24" borderId="0" applyBorder="0" applyProtection="0"/>
    <xf numFmtId="0" fontId="1" fillId="24" borderId="0" applyBorder="0" applyProtection="0"/>
    <xf numFmtId="0" fontId="1" fillId="24"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0" borderId="0" applyBorder="0" applyProtection="0"/>
    <xf numFmtId="0" fontId="2" fillId="24" borderId="0" applyBorder="0" applyProtection="0"/>
    <xf numFmtId="0" fontId="1" fillId="24" borderId="0" applyBorder="0" applyProtection="0"/>
    <xf numFmtId="0" fontId="1" fillId="3" borderId="0" applyBorder="0" applyProtection="0"/>
    <xf numFmtId="0" fontId="2" fillId="24" borderId="0" applyBorder="0" applyProtection="0"/>
    <xf numFmtId="0" fontId="1" fillId="24" borderId="0" applyBorder="0" applyProtection="0"/>
    <xf numFmtId="0" fontId="49" fillId="9" borderId="0" applyBorder="0" applyProtection="0"/>
    <xf numFmtId="0" fontId="1" fillId="3" borderId="0" applyBorder="0" applyProtection="0"/>
    <xf numFmtId="0" fontId="49" fillId="15" borderId="0" applyBorder="0" applyProtection="0"/>
    <xf numFmtId="0" fontId="1" fillId="3" borderId="0" applyBorder="0" applyProtection="0"/>
    <xf numFmtId="0" fontId="2" fillId="27"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2" fillId="3" borderId="0" applyBorder="0" applyProtection="0"/>
    <xf numFmtId="0" fontId="1" fillId="3" borderId="0" applyBorder="0" applyProtection="0"/>
    <xf numFmtId="0" fontId="2" fillId="21" borderId="0" applyBorder="0" applyProtection="0"/>
    <xf numFmtId="0" fontId="2" fillId="3" borderId="0" applyBorder="0" applyProtection="0"/>
    <xf numFmtId="0" fontId="2" fillId="21" borderId="0" applyBorder="0" applyProtection="0"/>
    <xf numFmtId="0" fontId="2"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1" fillId="3" borderId="0" applyBorder="0" applyProtection="0"/>
    <xf numFmtId="0" fontId="2" fillId="21" borderId="0" applyBorder="0" applyProtection="0"/>
    <xf numFmtId="0" fontId="1" fillId="3" borderId="0" applyBorder="0" applyProtection="0"/>
    <xf numFmtId="0" fontId="49" fillId="9" borderId="0" applyBorder="0" applyProtection="0"/>
    <xf numFmtId="0" fontId="1" fillId="3" borderId="0" applyBorder="0" applyProtection="0"/>
    <xf numFmtId="0" fontId="49" fillId="8" borderId="0" applyBorder="0" applyProtection="0"/>
    <xf numFmtId="0" fontId="1" fillId="3" borderId="0" applyBorder="0" applyProtection="0"/>
    <xf numFmtId="0" fontId="2" fillId="15"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29" borderId="0" applyBorder="0" applyProtection="0"/>
    <xf numFmtId="0" fontId="1" fillId="30" borderId="0" applyBorder="0" applyProtection="0"/>
    <xf numFmtId="0" fontId="2" fillId="18" borderId="0" applyBorder="0" applyProtection="0"/>
    <xf numFmtId="0" fontId="1" fillId="3" borderId="0" applyBorder="0" applyProtection="0"/>
    <xf numFmtId="0" fontId="2" fillId="29" borderId="0" applyBorder="0" applyProtection="0"/>
    <xf numFmtId="0" fontId="1" fillId="30" borderId="0" applyBorder="0" applyProtection="0"/>
    <xf numFmtId="0" fontId="1" fillId="3" borderId="0" applyBorder="0" applyProtection="0"/>
    <xf numFmtId="0" fontId="2" fillId="18" borderId="0" applyBorder="0" applyProtection="0"/>
    <xf numFmtId="0" fontId="2" fillId="18" borderId="0" applyBorder="0" applyProtection="0"/>
    <xf numFmtId="0" fontId="2" fillId="3" borderId="0" applyBorder="0" applyProtection="0"/>
    <xf numFmtId="0" fontId="1" fillId="3" borderId="0" applyBorder="0" applyProtection="0"/>
    <xf numFmtId="0" fontId="2" fillId="18" borderId="0" applyBorder="0" applyProtection="0"/>
    <xf numFmtId="0" fontId="2" fillId="3" borderId="0" applyBorder="0" applyProtection="0"/>
    <xf numFmtId="0" fontId="2" fillId="18" borderId="0" applyBorder="0" applyProtection="0"/>
    <xf numFmtId="0" fontId="2"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2" fillId="18" borderId="0" applyBorder="0" applyProtection="0"/>
    <xf numFmtId="0" fontId="1" fillId="3" borderId="0" applyBorder="0" applyProtection="0"/>
    <xf numFmtId="0" fontId="1" fillId="3" borderId="0" applyBorder="0" applyProtection="0"/>
    <xf numFmtId="0" fontId="2" fillId="18" borderId="0" applyBorder="0" applyProtection="0"/>
    <xf numFmtId="0" fontId="2" fillId="18" borderId="0" applyBorder="0" applyProtection="0"/>
    <xf numFmtId="0" fontId="1" fillId="3" borderId="0" applyBorder="0" applyProtection="0"/>
    <xf numFmtId="0" fontId="1" fillId="3"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29" borderId="0" applyBorder="0" applyProtection="0"/>
    <xf numFmtId="0" fontId="2" fillId="18" borderId="0" applyBorder="0" applyProtection="0"/>
    <xf numFmtId="0" fontId="1" fillId="3" borderId="0" applyBorder="0" applyProtection="0"/>
    <xf numFmtId="0" fontId="1" fillId="30" borderId="0" applyBorder="0" applyProtection="0"/>
    <xf numFmtId="0" fontId="2" fillId="18" borderId="0" applyBorder="0" applyProtection="0"/>
    <xf numFmtId="0" fontId="1" fillId="3" borderId="0" applyBorder="0" applyProtection="0"/>
    <xf numFmtId="0" fontId="49" fillId="4" borderId="0" applyBorder="0" applyProtection="0"/>
    <xf numFmtId="0" fontId="1" fillId="3" borderId="0" applyBorder="0" applyProtection="0"/>
    <xf numFmtId="0" fontId="49" fillId="15" borderId="0" applyBorder="0" applyProtection="0"/>
    <xf numFmtId="0" fontId="1" fillId="3" borderId="0" applyBorder="0" applyProtection="0"/>
    <xf numFmtId="0" fontId="2" fillId="15" borderId="0" applyBorder="0" applyProtection="0"/>
    <xf numFmtId="0" fontId="1" fillId="3" borderId="0" applyBorder="0" applyProtection="0"/>
    <xf numFmtId="0" fontId="2" fillId="31"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22" borderId="0" applyBorder="0" applyProtection="0"/>
    <xf numFmtId="0" fontId="2" fillId="22"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2"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2" fillId="31" borderId="0" applyBorder="0" applyProtection="0"/>
    <xf numFmtId="0" fontId="1" fillId="3"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2" fillId="31" borderId="0" applyBorder="0" applyProtection="0"/>
    <xf numFmtId="0" fontId="1" fillId="3" borderId="0" applyBorder="0" applyProtection="0"/>
    <xf numFmtId="0" fontId="49" fillId="12" borderId="0" applyBorder="0" applyProtection="0"/>
    <xf numFmtId="0" fontId="1" fillId="3" borderId="0" applyBorder="0" applyProtection="0"/>
    <xf numFmtId="0" fontId="49" fillId="4" borderId="0" applyBorder="0" applyProtection="0"/>
    <xf numFmtId="0" fontId="1" fillId="3" borderId="0" applyBorder="0" applyProtection="0"/>
    <xf numFmtId="0" fontId="2" fillId="2"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32" borderId="0" applyBorder="0" applyProtection="0"/>
    <xf numFmtId="0" fontId="2" fillId="32" borderId="0" applyBorder="0" applyProtection="0"/>
    <xf numFmtId="0" fontId="2" fillId="32" borderId="0" applyBorder="0" applyProtection="0"/>
    <xf numFmtId="0" fontId="2" fillId="32"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2" fillId="20" borderId="0" applyBorder="0" applyProtection="0"/>
    <xf numFmtId="0" fontId="1" fillId="3"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2" fillId="20" borderId="0" applyBorder="0" applyProtection="0"/>
    <xf numFmtId="0" fontId="1" fillId="3" borderId="0" applyBorder="0" applyProtection="0"/>
    <xf numFmtId="0" fontId="49" fillId="9" borderId="0" applyBorder="0" applyProtection="0"/>
    <xf numFmtId="0" fontId="1" fillId="3" borderId="0" applyBorder="0" applyProtection="0"/>
    <xf numFmtId="0" fontId="49" fillId="10" borderId="0" applyBorder="0" applyProtection="0"/>
    <xf numFmtId="0" fontId="1" fillId="3" borderId="0" applyBorder="0" applyProtection="0"/>
    <xf numFmtId="0" fontId="2" fillId="10" borderId="0" applyBorder="0" applyProtection="0"/>
    <xf numFmtId="0" fontId="1" fillId="3" borderId="0" applyBorder="0" applyProtection="0"/>
    <xf numFmtId="0" fontId="2" fillId="28"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1" borderId="0" applyBorder="0" applyProtection="0"/>
    <xf numFmtId="0" fontId="1" fillId="3" borderId="0" applyBorder="0" applyProtection="0"/>
    <xf numFmtId="0" fontId="2" fillId="28" borderId="0" applyBorder="0" applyProtection="0"/>
    <xf numFmtId="0" fontId="1" fillId="3" borderId="0" applyBorder="0" applyProtection="0"/>
    <xf numFmtId="0" fontId="2" fillId="21" borderId="0" applyBorder="0" applyProtection="0"/>
    <xf numFmtId="0" fontId="1" fillId="3" borderId="0" applyBorder="0" applyProtection="0"/>
    <xf numFmtId="0" fontId="1" fillId="3" borderId="0" applyBorder="0" applyProtection="0"/>
    <xf numFmtId="0" fontId="2" fillId="28" borderId="0" applyBorder="0" applyProtection="0"/>
    <xf numFmtId="0" fontId="2" fillId="21" borderId="0" applyBorder="0" applyProtection="0"/>
    <xf numFmtId="0" fontId="1" fillId="3" borderId="0" applyBorder="0" applyProtection="0"/>
    <xf numFmtId="0" fontId="2" fillId="28" borderId="0" applyBorder="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cellStyleXfs>
  <cellXfs count="455">
    <xf numFmtId="0" fontId="0" fillId="0" borderId="0" xfId="0"/>
    <xf numFmtId="0" fontId="0" fillId="0" borderId="1" xfId="1540" applyFont="1" applyBorder="1"/>
    <xf numFmtId="166" fontId="0" fillId="0" borderId="2" xfId="1540" applyNumberFormat="1" applyFont="1" applyBorder="1"/>
    <xf numFmtId="0" fontId="6" fillId="33" borderId="0" xfId="1540" applyFont="1" applyFill="1"/>
    <xf numFmtId="0" fontId="0" fillId="0" borderId="0" xfId="1540" applyFont="1"/>
    <xf numFmtId="0" fontId="0" fillId="34" borderId="0" xfId="1540" applyFont="1" applyFill="1"/>
    <xf numFmtId="0" fontId="1" fillId="34" borderId="0" xfId="1540" applyFont="1" applyFill="1" applyAlignment="1">
      <alignment horizontal="center" vertical="top" wrapText="1"/>
    </xf>
    <xf numFmtId="0" fontId="1" fillId="34" borderId="0" xfId="1540" applyFont="1" applyFill="1" applyAlignment="1">
      <alignment horizontal="center" vertical="top" wrapText="1"/>
    </xf>
    <xf numFmtId="0" fontId="1" fillId="0" borderId="0" xfId="1540" applyFont="1"/>
    <xf numFmtId="1" fontId="1" fillId="0" borderId="0" xfId="1540" applyNumberFormat="1" applyFont="1"/>
    <xf numFmtId="1" fontId="4" fillId="0" borderId="0" xfId="1540" applyNumberFormat="1" applyFont="1"/>
    <xf numFmtId="1" fontId="1" fillId="0" borderId="0" xfId="1540" applyNumberFormat="1" applyFont="1"/>
    <xf numFmtId="0" fontId="1" fillId="34" borderId="0" xfId="1540" applyFont="1" applyFill="1"/>
    <xf numFmtId="1" fontId="1" fillId="34" borderId="0" xfId="1540" applyNumberFormat="1" applyFont="1" applyFill="1"/>
    <xf numFmtId="1" fontId="4" fillId="34" borderId="0" xfId="1540" applyNumberFormat="1" applyFont="1" applyFill="1"/>
    <xf numFmtId="1" fontId="1" fillId="35" borderId="0" xfId="1540" applyNumberFormat="1" applyFont="1" applyFill="1"/>
    <xf numFmtId="0" fontId="1" fillId="36" borderId="0" xfId="1540" applyFont="1" applyFill="1"/>
    <xf numFmtId="1" fontId="1" fillId="36" borderId="0" xfId="1540" applyNumberFormat="1" applyFont="1" applyFill="1"/>
    <xf numFmtId="1" fontId="4" fillId="36" borderId="0" xfId="1540" applyNumberFormat="1" applyFont="1" applyFill="1"/>
    <xf numFmtId="1" fontId="1" fillId="37" borderId="0" xfId="1540" applyNumberFormat="1" applyFont="1" applyFill="1"/>
    <xf numFmtId="0" fontId="9" fillId="34" borderId="0" xfId="1540" applyFont="1" applyFill="1" applyAlignment="1">
      <alignment horizontal="left" vertical="top"/>
    </xf>
    <xf numFmtId="0" fontId="9" fillId="34" borderId="0" xfId="1540" applyFont="1" applyFill="1" applyAlignment="1">
      <alignment horizontal="left" vertical="top" wrapText="1"/>
    </xf>
    <xf numFmtId="0" fontId="1" fillId="0" borderId="0" xfId="1540" applyFont="1"/>
    <xf numFmtId="170" fontId="1" fillId="0" borderId="0" xfId="1" applyNumberFormat="1" applyFont="1" applyBorder="1" applyAlignment="1" applyProtection="1"/>
    <xf numFmtId="0" fontId="1" fillId="34" borderId="0" xfId="1540" applyFont="1" applyFill="1"/>
    <xf numFmtId="2" fontId="0" fillId="0" borderId="0" xfId="1540" applyNumberFormat="1" applyFont="1"/>
    <xf numFmtId="0" fontId="1" fillId="36" borderId="0" xfId="1540" applyFont="1" applyFill="1"/>
    <xf numFmtId="1" fontId="0" fillId="0" borderId="0" xfId="1540" applyNumberFormat="1" applyFont="1"/>
    <xf numFmtId="1" fontId="0" fillId="3" borderId="0" xfId="1540" applyNumberFormat="1" applyFont="1" applyFill="1"/>
    <xf numFmtId="169" fontId="0" fillId="0" borderId="0" xfId="1540" applyNumberFormat="1" applyFont="1"/>
    <xf numFmtId="0" fontId="0" fillId="0" borderId="1" xfId="1540" applyFont="1" applyBorder="1"/>
    <xf numFmtId="0" fontId="0" fillId="3" borderId="1" xfId="1540" applyFont="1" applyFill="1" applyBorder="1"/>
    <xf numFmtId="3" fontId="1" fillId="3" borderId="1" xfId="1540" applyNumberFormat="1" applyFont="1" applyFill="1" applyBorder="1"/>
    <xf numFmtId="0" fontId="0" fillId="0" borderId="3" xfId="1540" applyFont="1" applyBorder="1"/>
    <xf numFmtId="0" fontId="12" fillId="0" borderId="0" xfId="1540" applyFont="1"/>
    <xf numFmtId="0" fontId="0" fillId="0" borderId="0" xfId="1540" applyFont="1" applyBorder="1"/>
    <xf numFmtId="0" fontId="0" fillId="0" borderId="5" xfId="1540" applyFont="1" applyBorder="1"/>
    <xf numFmtId="0" fontId="0" fillId="0" borderId="6" xfId="1540" applyFont="1" applyBorder="1"/>
    <xf numFmtId="2" fontId="0" fillId="0" borderId="3" xfId="1540" applyNumberFormat="1" applyFont="1" applyBorder="1"/>
    <xf numFmtId="2" fontId="0" fillId="0" borderId="1" xfId="1540" applyNumberFormat="1" applyFont="1" applyBorder="1"/>
    <xf numFmtId="2" fontId="0" fillId="0" borderId="6" xfId="1540" applyNumberFormat="1" applyFont="1" applyBorder="1"/>
    <xf numFmtId="0" fontId="0" fillId="0" borderId="1" xfId="1540" applyFont="1" applyBorder="1" applyAlignment="1">
      <alignment wrapText="1"/>
    </xf>
    <xf numFmtId="3" fontId="0" fillId="0" borderId="3" xfId="1540" applyNumberFormat="1" applyFont="1" applyBorder="1"/>
    <xf numFmtId="3" fontId="0" fillId="0" borderId="1" xfId="1540" applyNumberFormat="1" applyFont="1" applyBorder="1"/>
    <xf numFmtId="169" fontId="0" fillId="0" borderId="1" xfId="1540" applyNumberFormat="1" applyFont="1" applyBorder="1"/>
    <xf numFmtId="169" fontId="0" fillId="0" borderId="6" xfId="1540" applyNumberFormat="1" applyFont="1" applyBorder="1"/>
    <xf numFmtId="0" fontId="13" fillId="41" borderId="0" xfId="1540" applyFont="1" applyFill="1"/>
    <xf numFmtId="0" fontId="14" fillId="41" borderId="0" xfId="1540" applyFont="1" applyFill="1"/>
    <xf numFmtId="0" fontId="15" fillId="0" borderId="0" xfId="1540" applyFont="1" applyAlignment="1">
      <alignment horizontal="center" vertical="center" wrapText="1"/>
    </xf>
    <xf numFmtId="0" fontId="17" fillId="0" borderId="1" xfId="1540" applyFont="1" applyBorder="1" applyAlignment="1">
      <alignment horizontal="center"/>
    </xf>
    <xf numFmtId="0" fontId="18" fillId="3" borderId="0" xfId="1540" applyFont="1" applyFill="1"/>
    <xf numFmtId="0" fontId="19" fillId="3" borderId="0" xfId="1540" applyFont="1" applyFill="1" applyAlignment="1">
      <alignment horizontal="center" vertical="center"/>
    </xf>
    <xf numFmtId="0" fontId="21" fillId="3" borderId="1" xfId="1540" applyFont="1" applyFill="1" applyBorder="1" applyAlignment="1">
      <alignment horizontal="center" vertical="center" wrapText="1"/>
    </xf>
    <xf numFmtId="0" fontId="22" fillId="0" borderId="1" xfId="1540" applyFont="1" applyBorder="1"/>
    <xf numFmtId="166" fontId="23" fillId="0" borderId="1" xfId="1540" applyNumberFormat="1" applyFont="1" applyBorder="1"/>
    <xf numFmtId="0" fontId="24" fillId="3" borderId="0" xfId="1540" applyFont="1" applyFill="1"/>
    <xf numFmtId="0" fontId="24" fillId="42" borderId="1" xfId="1540" applyFont="1" applyFill="1" applyBorder="1"/>
    <xf numFmtId="168" fontId="19" fillId="3" borderId="1" xfId="2" applyFont="1" applyFill="1" applyBorder="1" applyAlignment="1" applyProtection="1">
      <alignment horizontal="center"/>
    </xf>
    <xf numFmtId="0" fontId="25" fillId="34" borderId="1" xfId="1540" applyFont="1" applyFill="1" applyBorder="1"/>
    <xf numFmtId="0" fontId="24" fillId="43" borderId="1" xfId="1540" applyFont="1" applyFill="1" applyBorder="1"/>
    <xf numFmtId="0" fontId="24" fillId="44" borderId="1" xfId="1540" applyFont="1" applyFill="1" applyBorder="1"/>
    <xf numFmtId="0" fontId="24" fillId="45" borderId="1" xfId="1540" applyFont="1" applyFill="1" applyBorder="1"/>
    <xf numFmtId="0" fontId="25" fillId="46" borderId="1" xfId="1540" applyFont="1" applyFill="1" applyBorder="1"/>
    <xf numFmtId="0" fontId="26" fillId="0" borderId="1" xfId="1540" applyFont="1" applyBorder="1"/>
    <xf numFmtId="166" fontId="27" fillId="0" borderId="1" xfId="1540" applyNumberFormat="1" applyFont="1" applyBorder="1"/>
    <xf numFmtId="0" fontId="28" fillId="3" borderId="0" xfId="1540" applyFont="1" applyFill="1"/>
    <xf numFmtId="0" fontId="28" fillId="47" borderId="1" xfId="1540" applyFont="1" applyFill="1" applyBorder="1"/>
    <xf numFmtId="168" fontId="29" fillId="3" borderId="1" xfId="2" applyFont="1" applyFill="1" applyBorder="1" applyAlignment="1" applyProtection="1">
      <alignment horizontal="center"/>
    </xf>
    <xf numFmtId="0" fontId="22" fillId="48" borderId="1" xfId="1540" applyFont="1" applyFill="1" applyBorder="1"/>
    <xf numFmtId="3" fontId="22" fillId="48" borderId="1" xfId="1540" applyNumberFormat="1" applyFont="1" applyFill="1" applyBorder="1"/>
    <xf numFmtId="0" fontId="25" fillId="49" borderId="1" xfId="1540" applyFont="1" applyFill="1" applyBorder="1"/>
    <xf numFmtId="168" fontId="18" fillId="47" borderId="1" xfId="2" applyFont="1" applyFill="1" applyBorder="1" applyAlignment="1" applyProtection="1">
      <alignment horizontal="center"/>
    </xf>
    <xf numFmtId="0" fontId="24" fillId="50" borderId="1" xfId="1540" applyFont="1" applyFill="1" applyBorder="1"/>
    <xf numFmtId="0" fontId="21" fillId="3" borderId="0" xfId="1540" applyFont="1" applyFill="1"/>
    <xf numFmtId="0" fontId="30" fillId="49" borderId="1" xfId="1540" applyFont="1" applyFill="1" applyBorder="1"/>
    <xf numFmtId="0" fontId="31" fillId="0" borderId="0" xfId="1540" applyFont="1"/>
    <xf numFmtId="0" fontId="33" fillId="3" borderId="0" xfId="1540" applyFont="1" applyFill="1"/>
    <xf numFmtId="0" fontId="34" fillId="3" borderId="0" xfId="1540" applyFont="1" applyFill="1"/>
    <xf numFmtId="0" fontId="19" fillId="3" borderId="7" xfId="1540" applyFont="1" applyFill="1" applyBorder="1" applyAlignment="1">
      <alignment horizontal="justify" vertical="center" wrapText="1"/>
    </xf>
    <xf numFmtId="0" fontId="19" fillId="0" borderId="7" xfId="1540" applyFont="1" applyBorder="1" applyAlignment="1">
      <alignment horizontal="justify" vertical="center" wrapText="1"/>
    </xf>
    <xf numFmtId="0" fontId="35" fillId="3" borderId="8" xfId="1540" applyFont="1" applyFill="1" applyBorder="1" applyAlignment="1">
      <alignment horizontal="center" vertical="center" wrapText="1"/>
    </xf>
    <xf numFmtId="0" fontId="19" fillId="3" borderId="8" xfId="1540" applyFont="1" applyFill="1" applyBorder="1" applyAlignment="1">
      <alignment horizontal="center" vertical="center" wrapText="1"/>
    </xf>
    <xf numFmtId="0" fontId="35" fillId="3" borderId="5" xfId="1540" applyFont="1" applyFill="1" applyBorder="1" applyAlignment="1">
      <alignment horizontal="center" vertical="center" wrapText="1"/>
    </xf>
    <xf numFmtId="0" fontId="19" fillId="3" borderId="5" xfId="1540" applyFont="1" applyFill="1" applyBorder="1" applyAlignment="1">
      <alignment horizontal="center" vertical="center" wrapText="1"/>
    </xf>
    <xf numFmtId="0" fontId="24" fillId="0" borderId="1" xfId="1540" applyFont="1" applyBorder="1" applyAlignment="1">
      <alignment horizontal="center" vertical="center" wrapText="1"/>
    </xf>
    <xf numFmtId="0" fontId="39" fillId="3" borderId="1" xfId="1540" applyFont="1" applyFill="1" applyBorder="1" applyAlignment="1">
      <alignment horizontal="center" vertical="center" wrapText="1"/>
    </xf>
    <xf numFmtId="0" fontId="39" fillId="0" borderId="1" xfId="1540" applyFont="1" applyBorder="1" applyAlignment="1">
      <alignment horizontal="center" vertical="center" wrapText="1"/>
    </xf>
    <xf numFmtId="0" fontId="21" fillId="0" borderId="1" xfId="1540" applyFont="1" applyBorder="1" applyAlignment="1">
      <alignment horizontal="center" vertical="center" wrapText="1"/>
    </xf>
    <xf numFmtId="0" fontId="39" fillId="0" borderId="1" xfId="1540" applyFont="1" applyBorder="1" applyAlignment="1">
      <alignment vertical="center" wrapText="1"/>
    </xf>
    <xf numFmtId="3" fontId="39" fillId="0" borderId="1" xfId="1540" applyNumberFormat="1" applyFont="1" applyBorder="1" applyAlignment="1">
      <alignment horizontal="center" vertical="center" wrapText="1"/>
    </xf>
    <xf numFmtId="3" fontId="21" fillId="0" borderId="1" xfId="1540" applyNumberFormat="1" applyFont="1" applyBorder="1" applyAlignment="1">
      <alignment horizontal="center" vertical="center" wrapText="1"/>
    </xf>
    <xf numFmtId="0" fontId="0" fillId="47" borderId="1" xfId="1540" applyFont="1" applyFill="1" applyBorder="1"/>
    <xf numFmtId="0" fontId="0" fillId="52" borderId="1" xfId="1540" applyFont="1" applyFill="1" applyBorder="1"/>
    <xf numFmtId="0" fontId="0" fillId="0" borderId="1" xfId="1540" applyFont="1" applyBorder="1" applyAlignment="1">
      <alignment horizontal="right"/>
    </xf>
    <xf numFmtId="169" fontId="0" fillId="0" borderId="1" xfId="1540" applyNumberFormat="1" applyFont="1" applyBorder="1" applyAlignment="1">
      <alignment horizontal="right"/>
    </xf>
    <xf numFmtId="0" fontId="0" fillId="0" borderId="0" xfId="1540" applyFont="1" applyBorder="1" applyAlignment="1"/>
    <xf numFmtId="0" fontId="0" fillId="16" borderId="1" xfId="1540" applyFont="1" applyFill="1" applyBorder="1"/>
    <xf numFmtId="0" fontId="0" fillId="51" borderId="1" xfId="1540" applyFont="1" applyFill="1" applyBorder="1"/>
    <xf numFmtId="168" fontId="0" fillId="16" borderId="1" xfId="1540" applyNumberFormat="1" applyFont="1" applyFill="1" applyBorder="1"/>
    <xf numFmtId="169" fontId="0" fillId="0" borderId="1" xfId="1540" applyNumberFormat="1" applyFont="1" applyBorder="1"/>
    <xf numFmtId="168" fontId="0" fillId="51" borderId="1" xfId="1540" applyNumberFormat="1" applyFont="1" applyFill="1" applyBorder="1"/>
    <xf numFmtId="169" fontId="0" fillId="16" borderId="1" xfId="1540" applyNumberFormat="1" applyFont="1" applyFill="1" applyBorder="1"/>
    <xf numFmtId="168" fontId="0" fillId="0" borderId="1" xfId="1540" applyNumberFormat="1" applyFont="1" applyBorder="1"/>
    <xf numFmtId="169" fontId="0" fillId="0" borderId="0" xfId="1540" applyNumberFormat="1" applyFont="1" applyBorder="1"/>
    <xf numFmtId="9" fontId="0" fillId="0" borderId="1" xfId="1540" applyNumberFormat="1" applyFont="1" applyBorder="1"/>
    <xf numFmtId="169" fontId="0" fillId="16" borderId="1" xfId="1540" applyNumberFormat="1" applyFont="1" applyFill="1" applyBorder="1"/>
    <xf numFmtId="168" fontId="0" fillId="47" borderId="1" xfId="1540" applyNumberFormat="1" applyFont="1" applyFill="1" applyBorder="1"/>
    <xf numFmtId="168" fontId="49" fillId="0" borderId="1" xfId="2" applyBorder="1" applyProtection="1"/>
    <xf numFmtId="168" fontId="0" fillId="0" borderId="0" xfId="1540" applyNumberFormat="1" applyFont="1"/>
    <xf numFmtId="169" fontId="0" fillId="47" borderId="1" xfId="1540" applyNumberFormat="1" applyFont="1" applyFill="1" applyBorder="1"/>
    <xf numFmtId="0" fontId="0" fillId="47" borderId="1" xfId="1540" applyFont="1" applyFill="1" applyBorder="1" applyAlignment="1">
      <alignment horizontal="right"/>
    </xf>
    <xf numFmtId="0" fontId="0" fillId="40" borderId="1" xfId="1540" applyFont="1" applyFill="1" applyBorder="1"/>
    <xf numFmtId="0" fontId="41" fillId="0" borderId="0" xfId="1540" applyFont="1"/>
    <xf numFmtId="0" fontId="41" fillId="0" borderId="0" xfId="1540" applyFont="1" applyAlignment="1">
      <alignment wrapText="1"/>
    </xf>
    <xf numFmtId="0" fontId="2" fillId="54" borderId="1" xfId="1540" applyFont="1" applyFill="1" applyBorder="1" applyAlignment="1">
      <alignment horizontal="center"/>
    </xf>
    <xf numFmtId="0" fontId="2" fillId="54" borderId="1" xfId="1540" applyFont="1" applyFill="1" applyBorder="1" applyAlignment="1">
      <alignment horizontal="center"/>
    </xf>
    <xf numFmtId="0" fontId="2" fillId="54" borderId="0" xfId="1540" applyFont="1" applyFill="1" applyAlignment="1">
      <alignment horizontal="center"/>
    </xf>
    <xf numFmtId="0" fontId="0" fillId="0" borderId="0" xfId="1540" applyFont="1" applyAlignment="1">
      <alignment horizontal="center"/>
    </xf>
    <xf numFmtId="0" fontId="0" fillId="0" borderId="1" xfId="1540" applyFont="1" applyBorder="1" applyAlignment="1">
      <alignment horizontal="center"/>
    </xf>
    <xf numFmtId="3" fontId="0" fillId="0" borderId="1" xfId="1540" applyNumberFormat="1" applyFont="1" applyBorder="1" applyAlignment="1">
      <alignment horizontal="center"/>
    </xf>
    <xf numFmtId="3" fontId="42" fillId="0" borderId="1" xfId="1540" applyNumberFormat="1" applyFont="1" applyBorder="1" applyAlignment="1">
      <alignment horizontal="center" wrapText="1"/>
    </xf>
    <xf numFmtId="0" fontId="0" fillId="0" borderId="0" xfId="1540" applyFont="1" applyAlignment="1">
      <alignment horizontal="left"/>
    </xf>
    <xf numFmtId="0" fontId="0" fillId="0" borderId="1" xfId="1540" applyFont="1" applyBorder="1" applyAlignment="1">
      <alignment horizontal="center"/>
    </xf>
    <xf numFmtId="0" fontId="41" fillId="0" borderId="1" xfId="1540" applyFont="1" applyBorder="1" applyAlignment="1">
      <alignment horizontal="center"/>
    </xf>
    <xf numFmtId="0" fontId="41" fillId="0" borderId="1" xfId="1540" applyFont="1" applyBorder="1"/>
    <xf numFmtId="0" fontId="43" fillId="54" borderId="1" xfId="1540" applyFont="1" applyFill="1" applyBorder="1" applyAlignment="1">
      <alignment horizontal="center"/>
    </xf>
    <xf numFmtId="0" fontId="44" fillId="54" borderId="1" xfId="1540" applyFont="1" applyFill="1" applyBorder="1" applyAlignment="1">
      <alignment horizontal="center"/>
    </xf>
    <xf numFmtId="0" fontId="41" fillId="0" borderId="0" xfId="1540" applyFont="1" applyAlignment="1">
      <alignment wrapText="1"/>
    </xf>
    <xf numFmtId="0" fontId="2" fillId="54" borderId="1" xfId="1540" applyFont="1" applyFill="1" applyBorder="1" applyAlignment="1">
      <alignment horizontal="left"/>
    </xf>
    <xf numFmtId="0" fontId="45" fillId="0" borderId="1" xfId="1540" applyFont="1" applyBorder="1" applyAlignment="1">
      <alignment horizontal="center"/>
    </xf>
    <xf numFmtId="3" fontId="41" fillId="0" borderId="1" xfId="1540" applyNumberFormat="1" applyFont="1" applyBorder="1" applyAlignment="1">
      <alignment horizontal="center"/>
    </xf>
    <xf numFmtId="3" fontId="41" fillId="52" borderId="1" xfId="1540" applyNumberFormat="1" applyFont="1" applyFill="1" applyBorder="1" applyAlignment="1">
      <alignment horizontal="center"/>
    </xf>
    <xf numFmtId="4" fontId="41" fillId="0" borderId="1" xfId="1540" applyNumberFormat="1" applyFont="1" applyBorder="1" applyAlignment="1">
      <alignment horizontal="center"/>
    </xf>
    <xf numFmtId="172" fontId="41" fillId="52" borderId="1" xfId="1540" applyNumberFormat="1" applyFont="1" applyFill="1" applyBorder="1" applyAlignment="1">
      <alignment horizontal="center"/>
    </xf>
    <xf numFmtId="168" fontId="41" fillId="0" borderId="0" xfId="2" applyFont="1" applyBorder="1" applyProtection="1"/>
    <xf numFmtId="4" fontId="41" fillId="52" borderId="1" xfId="1540" applyNumberFormat="1" applyFont="1" applyFill="1" applyBorder="1" applyAlignment="1">
      <alignment horizontal="center"/>
    </xf>
    <xf numFmtId="0" fontId="41" fillId="0" borderId="1" xfId="1540" applyFont="1" applyBorder="1" applyAlignment="1">
      <alignment horizontal="center"/>
    </xf>
    <xf numFmtId="0" fontId="0" fillId="0" borderId="0" xfId="1540" applyFont="1" applyAlignment="1">
      <alignment vertical="top"/>
    </xf>
    <xf numFmtId="0" fontId="0" fillId="39" borderId="1" xfId="1540" applyFont="1" applyFill="1" applyBorder="1" applyAlignment="1">
      <alignment wrapText="1"/>
    </xf>
    <xf numFmtId="0" fontId="0" fillId="0" borderId="1" xfId="1540" applyFont="1" applyBorder="1" applyAlignment="1">
      <alignment wrapText="1"/>
    </xf>
    <xf numFmtId="171" fontId="0" fillId="0" borderId="1" xfId="1" applyNumberFormat="1" applyFont="1" applyBorder="1" applyAlignment="1" applyProtection="1"/>
    <xf numFmtId="0" fontId="0" fillId="0" borderId="1" xfId="1540" applyFont="1" applyBorder="1" applyAlignment="1">
      <alignment wrapText="1"/>
    </xf>
    <xf numFmtId="168" fontId="0" fillId="0" borderId="1" xfId="1540" applyNumberFormat="1" applyFont="1" applyBorder="1"/>
    <xf numFmtId="0" fontId="0" fillId="0" borderId="1" xfId="1540" applyFont="1" applyBorder="1" applyAlignment="1">
      <alignment horizontal="right"/>
    </xf>
    <xf numFmtId="171" fontId="0" fillId="0" borderId="1" xfId="1540" applyNumberFormat="1" applyFont="1" applyBorder="1" applyAlignment="1">
      <alignment horizontal="right"/>
    </xf>
    <xf numFmtId="3" fontId="0" fillId="0" borderId="1" xfId="1540" applyNumberFormat="1" applyFont="1" applyBorder="1"/>
    <xf numFmtId="173" fontId="1" fillId="0" borderId="1" xfId="1" applyNumberFormat="1" applyFont="1" applyBorder="1" applyAlignment="1" applyProtection="1">
      <alignment horizontal="right"/>
    </xf>
    <xf numFmtId="168" fontId="0" fillId="0" borderId="1" xfId="2" applyFont="1" applyBorder="1" applyAlignment="1" applyProtection="1">
      <alignment horizontal="right"/>
    </xf>
    <xf numFmtId="171" fontId="0" fillId="0" borderId="1" xfId="1" applyNumberFormat="1" applyFont="1" applyBorder="1" applyAlignment="1" applyProtection="1">
      <alignment horizontal="right"/>
    </xf>
    <xf numFmtId="168" fontId="1" fillId="0" borderId="1" xfId="2" applyFont="1" applyBorder="1" applyAlignment="1" applyProtection="1">
      <alignment horizontal="right"/>
    </xf>
    <xf numFmtId="0" fontId="31" fillId="0" borderId="1" xfId="1540" applyFont="1" applyBorder="1" applyAlignment="1">
      <alignment wrapText="1"/>
    </xf>
    <xf numFmtId="171" fontId="31" fillId="0" borderId="1" xfId="1" applyNumberFormat="1" applyFont="1" applyBorder="1" applyAlignment="1" applyProtection="1">
      <alignment horizontal="right"/>
    </xf>
    <xf numFmtId="0" fontId="46" fillId="0" borderId="0" xfId="1540" applyFont="1"/>
    <xf numFmtId="168" fontId="0" fillId="0" borderId="1" xfId="1540" applyNumberFormat="1" applyFont="1" applyBorder="1" applyAlignment="1">
      <alignment horizontal="right"/>
    </xf>
    <xf numFmtId="0" fontId="0" fillId="55" borderId="1" xfId="1540" applyFont="1" applyFill="1" applyBorder="1" applyAlignment="1">
      <alignment wrapText="1"/>
    </xf>
    <xf numFmtId="171" fontId="0" fillId="55" borderId="1" xfId="1" applyNumberFormat="1" applyFont="1" applyFill="1" applyBorder="1" applyAlignment="1" applyProtection="1">
      <alignment horizontal="right"/>
    </xf>
    <xf numFmtId="0" fontId="0" fillId="0" borderId="1" xfId="1540" applyFont="1" applyBorder="1" applyAlignment="1">
      <alignment horizontal="right" wrapText="1"/>
    </xf>
    <xf numFmtId="168" fontId="0" fillId="0" borderId="1" xfId="2" applyFont="1" applyBorder="1" applyAlignment="1" applyProtection="1">
      <alignment horizontal="right" wrapText="1"/>
    </xf>
    <xf numFmtId="168" fontId="0" fillId="0" borderId="1" xfId="2" applyFont="1" applyBorder="1" applyProtection="1"/>
    <xf numFmtId="167" fontId="0" fillId="0" borderId="1" xfId="1" applyFont="1" applyBorder="1" applyAlignment="1" applyProtection="1">
      <alignment horizontal="right"/>
    </xf>
    <xf numFmtId="168" fontId="1" fillId="0" borderId="1" xfId="2" applyFont="1" applyBorder="1" applyAlignment="1" applyProtection="1">
      <alignment horizontal="right"/>
    </xf>
    <xf numFmtId="169" fontId="49" fillId="0" borderId="1" xfId="2" applyNumberFormat="1" applyBorder="1" applyProtection="1"/>
    <xf numFmtId="169" fontId="31" fillId="0" borderId="1" xfId="2" applyNumberFormat="1" applyFont="1" applyBorder="1" applyProtection="1"/>
    <xf numFmtId="2" fontId="31" fillId="0" borderId="1" xfId="1540" applyNumberFormat="1" applyFont="1" applyBorder="1"/>
    <xf numFmtId="0" fontId="11" fillId="0" borderId="0" xfId="1540" applyFont="1"/>
    <xf numFmtId="1" fontId="0" fillId="0" borderId="1" xfId="1540" applyNumberFormat="1" applyFont="1" applyBorder="1"/>
    <xf numFmtId="168" fontId="0" fillId="0" borderId="1" xfId="1540" applyNumberFormat="1" applyFont="1" applyBorder="1"/>
    <xf numFmtId="2" fontId="31" fillId="0" borderId="1" xfId="1540" applyNumberFormat="1" applyFont="1" applyBorder="1"/>
    <xf numFmtId="2" fontId="0" fillId="0" borderId="1" xfId="1540" applyNumberFormat="1" applyFont="1" applyBorder="1"/>
    <xf numFmtId="0" fontId="0" fillId="56" borderId="0" xfId="1540" applyFont="1" applyFill="1"/>
    <xf numFmtId="0" fontId="0" fillId="56" borderId="1" xfId="1540" applyFont="1" applyFill="1" applyBorder="1"/>
    <xf numFmtId="166" fontId="0" fillId="0" borderId="1" xfId="1540" applyNumberFormat="1" applyFont="1" applyBorder="1"/>
    <xf numFmtId="169" fontId="31" fillId="0" borderId="1" xfId="1540" applyNumberFormat="1" applyFont="1" applyBorder="1"/>
    <xf numFmtId="169" fontId="0" fillId="0" borderId="1" xfId="1540" applyNumberFormat="1" applyFont="1" applyBorder="1"/>
    <xf numFmtId="0" fontId="4" fillId="0" borderId="0" xfId="1540" applyFont="1"/>
    <xf numFmtId="166" fontId="0" fillId="0" borderId="1" xfId="1540" applyNumberFormat="1" applyFont="1" applyBorder="1"/>
    <xf numFmtId="0" fontId="0" fillId="57" borderId="1" xfId="1540" applyFont="1" applyFill="1" applyBorder="1"/>
    <xf numFmtId="169" fontId="0" fillId="0" borderId="1" xfId="1540" applyNumberFormat="1" applyFont="1" applyBorder="1"/>
    <xf numFmtId="174" fontId="0" fillId="0" borderId="1" xfId="1540" applyNumberFormat="1" applyFont="1" applyBorder="1"/>
    <xf numFmtId="0" fontId="0" fillId="58" borderId="1" xfId="1540" applyFont="1" applyFill="1" applyBorder="1"/>
    <xf numFmtId="169" fontId="0" fillId="58" borderId="1" xfId="1540" applyNumberFormat="1" applyFont="1" applyFill="1" applyBorder="1"/>
    <xf numFmtId="0" fontId="0" fillId="0" borderId="0" xfId="1540" applyFont="1" applyBorder="1"/>
    <xf numFmtId="169" fontId="0" fillId="0" borderId="0" xfId="1540" applyNumberFormat="1" applyFont="1" applyBorder="1"/>
    <xf numFmtId="0" fontId="0" fillId="39" borderId="1" xfId="1540" applyFont="1" applyFill="1" applyBorder="1"/>
    <xf numFmtId="2" fontId="0" fillId="0" borderId="1" xfId="1540" applyNumberFormat="1" applyFont="1" applyBorder="1"/>
    <xf numFmtId="1" fontId="0" fillId="47" borderId="1" xfId="1540" applyNumberFormat="1" applyFont="1" applyFill="1" applyBorder="1" applyAlignment="1">
      <alignment horizontal="right"/>
    </xf>
    <xf numFmtId="166" fontId="0" fillId="58" borderId="1" xfId="1540" applyNumberFormat="1" applyFont="1" applyFill="1" applyBorder="1"/>
    <xf numFmtId="169" fontId="0" fillId="0" borderId="1" xfId="1540" applyNumberFormat="1" applyFont="1" applyBorder="1" applyAlignment="1">
      <alignment vertical="center"/>
    </xf>
    <xf numFmtId="2" fontId="0" fillId="58" borderId="1" xfId="1540" applyNumberFormat="1" applyFont="1" applyFill="1" applyBorder="1"/>
    <xf numFmtId="1" fontId="0" fillId="47" borderId="1" xfId="1540" applyNumberFormat="1" applyFont="1" applyFill="1" applyBorder="1"/>
    <xf numFmtId="0" fontId="0" fillId="0" borderId="0" xfId="1540" applyFont="1" applyBorder="1" applyAlignment="1">
      <alignment horizontal="center"/>
    </xf>
    <xf numFmtId="1" fontId="0" fillId="0" borderId="1" xfId="1540" applyNumberFormat="1" applyFont="1" applyBorder="1"/>
    <xf numFmtId="1" fontId="31" fillId="0" borderId="1" xfId="1540" applyNumberFormat="1" applyFont="1" applyBorder="1"/>
    <xf numFmtId="2" fontId="47" fillId="0" borderId="0" xfId="1540" applyNumberFormat="1" applyFont="1"/>
    <xf numFmtId="4" fontId="0" fillId="0" borderId="1" xfId="1540" applyNumberFormat="1" applyFont="1" applyBorder="1"/>
    <xf numFmtId="0" fontId="0" fillId="0" borderId="0" xfId="1540" applyFont="1" applyBorder="1"/>
    <xf numFmtId="0" fontId="1" fillId="0" borderId="1" xfId="1540" applyFont="1" applyBorder="1"/>
    <xf numFmtId="0" fontId="8" fillId="0" borderId="1" xfId="1540" applyFont="1" applyBorder="1"/>
    <xf numFmtId="0" fontId="31" fillId="0" borderId="0" xfId="1540" applyFont="1" applyBorder="1"/>
    <xf numFmtId="0" fontId="31" fillId="0" borderId="0" xfId="1540" applyFont="1"/>
    <xf numFmtId="0" fontId="0" fillId="0" borderId="9" xfId="1540" applyFont="1" applyBorder="1" applyAlignment="1">
      <alignment wrapText="1"/>
    </xf>
    <xf numFmtId="0" fontId="0" fillId="0" borderId="10" xfId="1540" applyFont="1" applyBorder="1" applyAlignment="1">
      <alignment wrapText="1"/>
    </xf>
    <xf numFmtId="0" fontId="0" fillId="0" borderId="11" xfId="1540" applyFont="1" applyBorder="1"/>
    <xf numFmtId="0" fontId="0" fillId="0" borderId="11" xfId="1540" applyFont="1" applyBorder="1" applyAlignment="1">
      <alignment wrapText="1"/>
    </xf>
    <xf numFmtId="2" fontId="0" fillId="0" borderId="6" xfId="1540" applyNumberFormat="1" applyFont="1" applyBorder="1" applyAlignment="1">
      <alignment wrapText="1"/>
    </xf>
    <xf numFmtId="2" fontId="0" fillId="0" borderId="10" xfId="1540" applyNumberFormat="1" applyFont="1" applyBorder="1" applyAlignment="1">
      <alignment wrapText="1"/>
    </xf>
    <xf numFmtId="2" fontId="0" fillId="0" borderId="1" xfId="1540" applyNumberFormat="1" applyFont="1" applyBorder="1" applyAlignment="1">
      <alignment wrapText="1"/>
    </xf>
    <xf numFmtId="0" fontId="0" fillId="0" borderId="10" xfId="1540" applyFont="1" applyBorder="1"/>
    <xf numFmtId="0" fontId="0" fillId="0" borderId="12" xfId="1540" applyFont="1" applyBorder="1"/>
    <xf numFmtId="0" fontId="0" fillId="0" borderId="10" xfId="1540" applyFont="1" applyBorder="1" applyAlignment="1">
      <alignment wrapText="1"/>
    </xf>
    <xf numFmtId="0" fontId="0" fillId="0" borderId="12" xfId="1540" applyFont="1" applyBorder="1" applyAlignment="1">
      <alignment wrapText="1"/>
    </xf>
    <xf numFmtId="0" fontId="0" fillId="0" borderId="10" xfId="1540" applyFont="1" applyBorder="1"/>
    <xf numFmtId="0" fontId="0" fillId="0" borderId="12" xfId="1540" applyFont="1" applyBorder="1"/>
    <xf numFmtId="2" fontId="0" fillId="0" borderId="6" xfId="1540" applyNumberFormat="1" applyFont="1" applyBorder="1"/>
    <xf numFmtId="0" fontId="0" fillId="0" borderId="12" xfId="1540" applyFont="1" applyBorder="1" applyAlignment="1">
      <alignment wrapText="1"/>
    </xf>
    <xf numFmtId="0" fontId="0" fillId="0" borderId="14" xfId="1540" applyFont="1" applyBorder="1"/>
    <xf numFmtId="2" fontId="0" fillId="0" borderId="15" xfId="1540" applyNumberFormat="1" applyFont="1" applyBorder="1"/>
    <xf numFmtId="2" fontId="0" fillId="0" borderId="15" xfId="1540" applyNumberFormat="1" applyFont="1" applyBorder="1"/>
    <xf numFmtId="0" fontId="0" fillId="0" borderId="16" xfId="1540" applyFont="1" applyBorder="1"/>
    <xf numFmtId="0" fontId="0" fillId="0" borderId="7" xfId="1540" applyFont="1" applyBorder="1"/>
    <xf numFmtId="2" fontId="0" fillId="0" borderId="15" xfId="1540" applyNumberFormat="1" applyFont="1" applyBorder="1"/>
    <xf numFmtId="0" fontId="0" fillId="0" borderId="3" xfId="1540" applyFont="1" applyBorder="1"/>
    <xf numFmtId="0" fontId="0" fillId="0" borderId="0" xfId="1540" applyFont="1" applyBorder="1" applyAlignment="1"/>
    <xf numFmtId="0" fontId="1" fillId="0" borderId="20" xfId="1540" applyFont="1" applyBorder="1"/>
    <xf numFmtId="0" fontId="41" fillId="0" borderId="3" xfId="1540" applyFont="1" applyBorder="1" applyAlignment="1">
      <alignment wrapText="1"/>
    </xf>
    <xf numFmtId="0" fontId="0" fillId="0" borderId="9" xfId="1540" applyFont="1" applyBorder="1" applyAlignment="1">
      <alignment wrapText="1"/>
    </xf>
    <xf numFmtId="0" fontId="0" fillId="0" borderId="3" xfId="1540" applyFont="1" applyBorder="1" applyAlignment="1">
      <alignment wrapText="1"/>
    </xf>
    <xf numFmtId="0" fontId="0" fillId="0" borderId="5" xfId="1540" applyFont="1" applyBorder="1"/>
    <xf numFmtId="175" fontId="0" fillId="0" borderId="16" xfId="1540" applyNumberFormat="1" applyFont="1" applyBorder="1"/>
    <xf numFmtId="2" fontId="0" fillId="0" borderId="7" xfId="1540" applyNumberFormat="1" applyFont="1" applyBorder="1"/>
    <xf numFmtId="2" fontId="0" fillId="0" borderId="6" xfId="1540" applyNumberFormat="1" applyFont="1" applyBorder="1"/>
    <xf numFmtId="0" fontId="0" fillId="0" borderId="3" xfId="1540" applyFont="1" applyBorder="1"/>
    <xf numFmtId="0" fontId="0" fillId="0" borderId="7" xfId="1540" applyFont="1" applyBorder="1"/>
    <xf numFmtId="0" fontId="0" fillId="0" borderId="15" xfId="1540" applyFont="1" applyBorder="1"/>
    <xf numFmtId="176" fontId="0" fillId="0" borderId="6" xfId="1540" applyNumberFormat="1" applyFont="1" applyBorder="1"/>
    <xf numFmtId="0" fontId="0" fillId="0" borderId="6" xfId="1540" applyFont="1" applyBorder="1" applyAlignment="1">
      <alignment wrapText="1"/>
    </xf>
    <xf numFmtId="0" fontId="0" fillId="0" borderId="0" xfId="1540" applyFont="1" applyBorder="1" applyAlignment="1">
      <alignment wrapText="1"/>
    </xf>
    <xf numFmtId="0" fontId="0" fillId="0" borderId="15" xfId="1540" applyFont="1" applyBorder="1"/>
    <xf numFmtId="0" fontId="0" fillId="0" borderId="8" xfId="1540" applyFont="1" applyBorder="1"/>
    <xf numFmtId="167" fontId="0" fillId="0" borderId="1" xfId="1" applyFont="1" applyBorder="1" applyAlignment="1" applyProtection="1"/>
    <xf numFmtId="0" fontId="0" fillId="0" borderId="8" xfId="1540" applyFont="1" applyBorder="1"/>
    <xf numFmtId="0" fontId="48" fillId="0" borderId="0" xfId="1540" applyFont="1" applyBorder="1" applyAlignment="1">
      <alignment horizontal="center"/>
    </xf>
    <xf numFmtId="0" fontId="5" fillId="0" borderId="0" xfId="1540" applyFont="1"/>
    <xf numFmtId="0" fontId="0" fillId="34" borderId="0" xfId="1540" applyFont="1" applyFill="1"/>
    <xf numFmtId="0" fontId="1" fillId="34" borderId="0" xfId="1540" applyFont="1" applyFill="1" applyAlignment="1">
      <alignment horizontal="center" vertical="top" wrapText="1"/>
    </xf>
    <xf numFmtId="0" fontId="4" fillId="34" borderId="0" xfId="1540" applyFont="1" applyFill="1" applyAlignment="1">
      <alignment horizontal="center" vertical="top" wrapText="1"/>
    </xf>
    <xf numFmtId="0" fontId="0" fillId="34" borderId="0" xfId="1540" applyFont="1" applyFill="1" applyAlignment="1">
      <alignment horizontal="center" vertical="top" wrapText="1"/>
    </xf>
    <xf numFmtId="0" fontId="4" fillId="0" borderId="0" xfId="1540" applyFont="1"/>
    <xf numFmtId="0" fontId="0" fillId="0" borderId="1" xfId="1540" applyFont="1" applyBorder="1" applyAlignment="1">
      <alignment horizontal="center"/>
    </xf>
    <xf numFmtId="0" fontId="0" fillId="0" borderId="3" xfId="1540" applyFont="1" applyBorder="1" applyAlignment="1">
      <alignment horizontal="center"/>
    </xf>
    <xf numFmtId="0" fontId="0" fillId="0" borderId="6" xfId="1540" applyFont="1" applyBorder="1" applyAlignment="1">
      <alignment horizontal="right"/>
    </xf>
    <xf numFmtId="0" fontId="0" fillId="59" borderId="0" xfId="0" applyFont="1" applyFill="1" applyBorder="1" applyAlignment="1">
      <alignment horizontal="center" vertical="top" wrapText="1"/>
    </xf>
    <xf numFmtId="1" fontId="52" fillId="0" borderId="0" xfId="0" applyNumberFormat="1" applyFont="1"/>
    <xf numFmtId="1" fontId="52" fillId="60" borderId="0" xfId="0" applyNumberFormat="1" applyFont="1" applyFill="1"/>
    <xf numFmtId="0" fontId="53" fillId="34" borderId="0" xfId="1540" applyFont="1" applyFill="1" applyAlignment="1">
      <alignment horizontal="center" vertical="top" wrapText="1"/>
    </xf>
    <xf numFmtId="1" fontId="54" fillId="0" borderId="0" xfId="1540" applyNumberFormat="1" applyFont="1"/>
    <xf numFmtId="1" fontId="54" fillId="34" borderId="0" xfId="1540" applyNumberFormat="1" applyFont="1" applyFill="1"/>
    <xf numFmtId="1" fontId="54" fillId="36" borderId="0" xfId="1540" applyNumberFormat="1" applyFont="1" applyFill="1"/>
    <xf numFmtId="1" fontId="0" fillId="0" borderId="0" xfId="0" applyNumberFormat="1"/>
    <xf numFmtId="10" fontId="0" fillId="0" borderId="1" xfId="1540" applyNumberFormat="1" applyFont="1" applyBorder="1"/>
    <xf numFmtId="9" fontId="0" fillId="47" borderId="1" xfId="1540" applyNumberFormat="1" applyFont="1" applyFill="1" applyBorder="1"/>
    <xf numFmtId="0" fontId="0" fillId="0" borderId="1" xfId="0" applyFont="1" applyBorder="1"/>
    <xf numFmtId="0" fontId="0" fillId="61" borderId="1" xfId="0" applyFill="1" applyBorder="1"/>
    <xf numFmtId="0" fontId="4" fillId="0" borderId="0" xfId="0" applyFont="1"/>
    <xf numFmtId="0" fontId="0" fillId="0" borderId="0" xfId="0" applyBorder="1"/>
    <xf numFmtId="0" fontId="55" fillId="0" borderId="1" xfId="0" applyFont="1" applyBorder="1" applyAlignment="1">
      <alignment horizontal="center" vertical="center"/>
    </xf>
    <xf numFmtId="0" fontId="55" fillId="0" borderId="1" xfId="0" applyFont="1" applyBorder="1" applyAlignment="1">
      <alignment horizontal="center" vertical="center" wrapText="1"/>
    </xf>
    <xf numFmtId="0" fontId="0" fillId="0" borderId="0" xfId="0" applyBorder="1" applyAlignment="1"/>
    <xf numFmtId="0" fontId="55" fillId="0" borderId="1" xfId="0" applyFont="1" applyBorder="1" applyAlignment="1"/>
    <xf numFmtId="175" fontId="0" fillId="0" borderId="1" xfId="0" applyNumberFormat="1" applyBorder="1"/>
    <xf numFmtId="0" fontId="55" fillId="0" borderId="1" xfId="0" applyFont="1" applyBorder="1"/>
    <xf numFmtId="0" fontId="0" fillId="0" borderId="1" xfId="0" applyBorder="1"/>
    <xf numFmtId="0" fontId="55" fillId="0" borderId="0" xfId="0" applyFont="1" applyBorder="1" applyAlignment="1"/>
    <xf numFmtId="175" fontId="0" fillId="0" borderId="0" xfId="0" applyNumberFormat="1" applyBorder="1"/>
    <xf numFmtId="4" fontId="5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60" fillId="0" borderId="1" xfId="0" applyFont="1" applyBorder="1" applyAlignment="1">
      <alignment horizontal="left" vertical="center"/>
    </xf>
    <xf numFmtId="166" fontId="61" fillId="0" borderId="1" xfId="0" applyNumberFormat="1" applyFont="1" applyBorder="1" applyAlignment="1">
      <alignment horizontal="right"/>
    </xf>
    <xf numFmtId="166" fontId="60" fillId="62" borderId="1" xfId="0" applyNumberFormat="1" applyFont="1" applyFill="1" applyBorder="1" applyAlignment="1">
      <alignment horizontal="right"/>
    </xf>
    <xf numFmtId="175" fontId="60" fillId="62" borderId="1" xfId="0" applyNumberFormat="1" applyFont="1" applyFill="1" applyBorder="1" applyAlignment="1">
      <alignment horizontal="right"/>
    </xf>
    <xf numFmtId="166" fontId="58" fillId="62" borderId="1" xfId="0" applyNumberFormat="1" applyFont="1" applyFill="1" applyBorder="1" applyAlignment="1">
      <alignment horizontal="right"/>
    </xf>
    <xf numFmtId="0" fontId="58" fillId="63" borderId="1" xfId="0" applyFont="1" applyFill="1" applyBorder="1" applyAlignment="1">
      <alignment horizontal="left" vertical="center"/>
    </xf>
    <xf numFmtId="166" fontId="58" fillId="63" borderId="1" xfId="0" applyNumberFormat="1" applyFont="1" applyFill="1" applyBorder="1" applyAlignment="1">
      <alignment horizontal="right"/>
    </xf>
    <xf numFmtId="0" fontId="58" fillId="0" borderId="12" xfId="0" applyFont="1" applyBorder="1" applyAlignment="1">
      <alignment horizontal="left" vertical="center"/>
    </xf>
    <xf numFmtId="166" fontId="58" fillId="0" borderId="12" xfId="0" applyNumberFormat="1" applyFont="1" applyBorder="1" applyAlignment="1">
      <alignment horizontal="right"/>
    </xf>
    <xf numFmtId="1" fontId="52" fillId="0" borderId="0" xfId="0" applyNumberFormat="1" applyFont="1" applyFill="1"/>
    <xf numFmtId="0" fontId="61" fillId="0" borderId="1" xfId="0" applyFont="1" applyBorder="1" applyAlignment="1">
      <alignment horizontal="left" vertical="center"/>
    </xf>
    <xf numFmtId="1" fontId="61" fillId="0" borderId="1" xfId="0" applyNumberFormat="1" applyFont="1" applyBorder="1" applyAlignment="1">
      <alignment horizontal="right"/>
    </xf>
    <xf numFmtId="166" fontId="57" fillId="0" borderId="1" xfId="0" applyNumberFormat="1" applyFont="1" applyBorder="1" applyAlignment="1">
      <alignment horizontal="right"/>
    </xf>
    <xf numFmtId="166" fontId="61" fillId="0" borderId="1" xfId="0" quotePrefix="1" applyNumberFormat="1" applyFont="1" applyBorder="1" applyAlignment="1">
      <alignment horizontal="right"/>
    </xf>
    <xf numFmtId="176" fontId="61" fillId="0" borderId="1" xfId="0" applyNumberFormat="1" applyFont="1" applyBorder="1" applyAlignment="1">
      <alignment horizontal="right"/>
    </xf>
    <xf numFmtId="176" fontId="58" fillId="0" borderId="12" xfId="0" applyNumberFormat="1" applyFont="1" applyBorder="1" applyAlignment="1">
      <alignment horizontal="right"/>
    </xf>
    <xf numFmtId="175" fontId="58" fillId="0" borderId="12" xfId="0" applyNumberFormat="1" applyFont="1" applyBorder="1" applyAlignment="1">
      <alignment horizontal="right"/>
    </xf>
    <xf numFmtId="166" fontId="0" fillId="0" borderId="0" xfId="0" applyNumberFormat="1"/>
    <xf numFmtId="0" fontId="10" fillId="33" borderId="0" xfId="0" applyFont="1" applyFill="1" applyAlignment="1">
      <alignment horizontal="center" vertical="center"/>
    </xf>
    <xf numFmtId="9" fontId="0" fillId="51" borderId="1" xfId="1540" applyNumberFormat="1" applyFont="1" applyFill="1" applyBorder="1"/>
    <xf numFmtId="10" fontId="0" fillId="47" borderId="1" xfId="1540" applyNumberFormat="1" applyFont="1" applyFill="1" applyBorder="1"/>
    <xf numFmtId="0" fontId="0" fillId="38" borderId="0" xfId="1540" applyFont="1" applyFill="1" applyBorder="1" applyAlignment="1">
      <alignment horizontal="center"/>
    </xf>
    <xf numFmtId="0" fontId="62" fillId="0" borderId="0" xfId="0" applyFont="1" applyAlignment="1">
      <alignment horizontal="center"/>
    </xf>
    <xf numFmtId="0" fontId="0" fillId="0" borderId="0" xfId="0" applyAlignment="1">
      <alignment wrapText="1"/>
    </xf>
    <xf numFmtId="0" fontId="0" fillId="0" borderId="0" xfId="0" applyAlignment="1">
      <alignment horizontal="center" vertical="center" wrapText="1"/>
    </xf>
    <xf numFmtId="177" fontId="0" fillId="0" borderId="1" xfId="0" applyNumberFormat="1" applyBorder="1"/>
    <xf numFmtId="0" fontId="64" fillId="0" borderId="12" xfId="1540" applyFont="1" applyBorder="1" applyAlignment="1">
      <alignment horizontal="center"/>
    </xf>
    <xf numFmtId="171" fontId="41" fillId="0" borderId="1" xfId="1" applyNumberFormat="1" applyFont="1" applyBorder="1" applyAlignment="1" applyProtection="1"/>
    <xf numFmtId="168" fontId="41" fillId="0" borderId="1" xfId="2" applyFont="1" applyBorder="1" applyProtection="1"/>
    <xf numFmtId="171" fontId="41" fillId="0" borderId="1" xfId="1540" applyNumberFormat="1" applyFont="1" applyBorder="1"/>
    <xf numFmtId="0" fontId="41" fillId="64" borderId="1" xfId="1540" applyFont="1" applyFill="1" applyBorder="1" applyAlignment="1">
      <alignment horizontal="center"/>
    </xf>
    <xf numFmtId="0" fontId="41" fillId="65" borderId="1" xfId="1540" applyFont="1" applyFill="1" applyBorder="1" applyAlignment="1">
      <alignment horizontal="center"/>
    </xf>
    <xf numFmtId="169" fontId="31" fillId="0" borderId="11" xfId="2" applyNumberFormat="1" applyFont="1" applyBorder="1" applyProtection="1"/>
    <xf numFmtId="1" fontId="0" fillId="0" borderId="11" xfId="1540" applyNumberFormat="1" applyFont="1" applyBorder="1"/>
    <xf numFmtId="0" fontId="0" fillId="0" borderId="1" xfId="0" applyBorder="1" applyAlignment="1">
      <alignment horizontal="right"/>
    </xf>
    <xf numFmtId="0" fontId="0" fillId="0" borderId="1" xfId="0" applyBorder="1" applyAlignment="1">
      <alignment horizontal="center"/>
    </xf>
    <xf numFmtId="0" fontId="65" fillId="64" borderId="1" xfId="1540" applyFont="1" applyFill="1" applyBorder="1" applyAlignment="1">
      <alignment wrapText="1"/>
    </xf>
    <xf numFmtId="0" fontId="65" fillId="0" borderId="1" xfId="0" applyFont="1" applyBorder="1" applyAlignment="1">
      <alignment wrapText="1"/>
    </xf>
    <xf numFmtId="0" fontId="63" fillId="0" borderId="1" xfId="1540" applyFont="1" applyBorder="1"/>
    <xf numFmtId="0" fontId="65" fillId="0" borderId="0" xfId="0" applyFont="1" applyBorder="1" applyAlignment="1">
      <alignment wrapText="1"/>
    </xf>
    <xf numFmtId="3" fontId="0" fillId="0" borderId="11" xfId="1540" applyNumberFormat="1" applyFont="1" applyBorder="1"/>
    <xf numFmtId="2" fontId="0" fillId="0" borderId="11" xfId="1540" applyNumberFormat="1" applyFont="1" applyBorder="1"/>
    <xf numFmtId="168" fontId="49" fillId="0" borderId="11" xfId="2" applyBorder="1" applyProtection="1"/>
    <xf numFmtId="0" fontId="66" fillId="0" borderId="1" xfId="0" applyFont="1" applyBorder="1"/>
    <xf numFmtId="0" fontId="66" fillId="0" borderId="0" xfId="0" applyFont="1" applyBorder="1"/>
    <xf numFmtId="0" fontId="0" fillId="64" borderId="1" xfId="1540" applyFont="1" applyFill="1" applyBorder="1" applyAlignment="1">
      <alignment wrapText="1"/>
    </xf>
    <xf numFmtId="166" fontId="0" fillId="0" borderId="11" xfId="1540" applyNumberFormat="1" applyFont="1" applyBorder="1"/>
    <xf numFmtId="0" fontId="67" fillId="0" borderId="1" xfId="0" applyFont="1" applyBorder="1"/>
    <xf numFmtId="0" fontId="67" fillId="0" borderId="0" xfId="0" applyFont="1" applyBorder="1"/>
    <xf numFmtId="0" fontId="0" fillId="65" borderId="1" xfId="1540" applyFont="1" applyFill="1" applyBorder="1"/>
    <xf numFmtId="0" fontId="0" fillId="65" borderId="0" xfId="0" applyFill="1"/>
    <xf numFmtId="0" fontId="67" fillId="65" borderId="1" xfId="0" applyFont="1" applyFill="1" applyBorder="1"/>
    <xf numFmtId="0" fontId="69" fillId="0" borderId="1" xfId="0" applyFont="1" applyBorder="1" applyAlignment="1">
      <alignment horizontal="right"/>
    </xf>
    <xf numFmtId="2" fontId="0" fillId="65" borderId="1" xfId="1540" applyNumberFormat="1" applyFont="1" applyFill="1" applyBorder="1"/>
    <xf numFmtId="0" fontId="67" fillId="0" borderId="1" xfId="1540" applyFont="1" applyBorder="1"/>
    <xf numFmtId="0" fontId="67" fillId="64" borderId="1" xfId="1540" applyFont="1" applyFill="1" applyBorder="1"/>
    <xf numFmtId="0" fontId="62" fillId="0" borderId="0" xfId="1540" applyFont="1" applyBorder="1" applyAlignment="1">
      <alignment horizontal="center"/>
    </xf>
    <xf numFmtId="0" fontId="0" fillId="0" borderId="1" xfId="1540" applyFont="1" applyFill="1" applyBorder="1"/>
    <xf numFmtId="2" fontId="0" fillId="0" borderId="1" xfId="0" applyNumberFormat="1" applyBorder="1"/>
    <xf numFmtId="2" fontId="63" fillId="0" borderId="1" xfId="1540" applyNumberFormat="1" applyFont="1" applyBorder="1"/>
    <xf numFmtId="1" fontId="63" fillId="0" borderId="1" xfId="1540" applyNumberFormat="1" applyFont="1" applyBorder="1"/>
    <xf numFmtId="0" fontId="0" fillId="0" borderId="0" xfId="0" applyBorder="1" applyAlignment="1">
      <alignment horizontal="center"/>
    </xf>
    <xf numFmtId="0" fontId="70" fillId="0" borderId="1" xfId="1540" applyFont="1" applyBorder="1"/>
    <xf numFmtId="168" fontId="63" fillId="0" borderId="1" xfId="2" applyFont="1" applyBorder="1" applyProtection="1"/>
    <xf numFmtId="168" fontId="63" fillId="0" borderId="11" xfId="2" applyFont="1" applyBorder="1" applyProtection="1"/>
    <xf numFmtId="0" fontId="63" fillId="0" borderId="11" xfId="1540" applyFont="1" applyBorder="1"/>
    <xf numFmtId="169" fontId="63" fillId="0" borderId="1" xfId="1540" applyNumberFormat="1" applyFont="1" applyBorder="1"/>
    <xf numFmtId="169" fontId="63" fillId="0" borderId="11" xfId="1540" applyNumberFormat="1" applyFont="1" applyBorder="1"/>
    <xf numFmtId="171" fontId="31" fillId="64" borderId="1" xfId="1" applyNumberFormat="1" applyFont="1" applyFill="1" applyBorder="1" applyAlignment="1" applyProtection="1">
      <alignment horizontal="right"/>
    </xf>
    <xf numFmtId="171" fontId="0" fillId="64" borderId="1" xfId="1" applyNumberFormat="1" applyFont="1" applyFill="1" applyBorder="1" applyAlignment="1" applyProtection="1">
      <alignment horizontal="right"/>
    </xf>
    <xf numFmtId="0" fontId="7" fillId="0" borderId="0" xfId="3"/>
    <xf numFmtId="0" fontId="63" fillId="3" borderId="1" xfId="1540" applyFont="1" applyFill="1" applyBorder="1"/>
    <xf numFmtId="0" fontId="72" fillId="3" borderId="1" xfId="3" applyFont="1" applyFill="1" applyBorder="1" applyAlignment="1" applyProtection="1"/>
    <xf numFmtId="0" fontId="0" fillId="67" borderId="0" xfId="1540" applyFont="1" applyFill="1" applyBorder="1" applyAlignment="1"/>
    <xf numFmtId="0" fontId="0" fillId="39" borderId="1" xfId="1540" applyFont="1" applyFill="1" applyBorder="1" applyAlignment="1"/>
    <xf numFmtId="1" fontId="0" fillId="0" borderId="3" xfId="1540" applyNumberFormat="1" applyFont="1" applyBorder="1"/>
    <xf numFmtId="3" fontId="63" fillId="0" borderId="1" xfId="1540" applyNumberFormat="1" applyFont="1" applyBorder="1"/>
    <xf numFmtId="0" fontId="0" fillId="68" borderId="0" xfId="0" applyFill="1"/>
    <xf numFmtId="0" fontId="0" fillId="69" borderId="0" xfId="0" applyFill="1"/>
    <xf numFmtId="0" fontId="0" fillId="70" borderId="0" xfId="0" applyFill="1"/>
    <xf numFmtId="168" fontId="0" fillId="58" borderId="1" xfId="1540" applyNumberFormat="1" applyFont="1" applyFill="1" applyBorder="1"/>
    <xf numFmtId="0" fontId="0" fillId="0" borderId="0" xfId="1540" applyFont="1" applyFill="1" applyBorder="1" applyAlignment="1">
      <alignment horizontal="center"/>
    </xf>
    <xf numFmtId="0" fontId="0" fillId="0" borderId="0" xfId="1540" applyFont="1" applyFill="1" applyBorder="1"/>
    <xf numFmtId="10" fontId="0" fillId="0" borderId="0" xfId="1540" applyNumberFormat="1" applyFont="1" applyFill="1" applyBorder="1"/>
    <xf numFmtId="9" fontId="0" fillId="0" borderId="0" xfId="1540" applyNumberFormat="1" applyFont="1" applyFill="1" applyBorder="1"/>
    <xf numFmtId="0" fontId="62" fillId="0" borderId="0" xfId="0" applyFont="1" applyFill="1" applyBorder="1" applyAlignment="1">
      <alignment horizontal="center"/>
    </xf>
    <xf numFmtId="0" fontId="0" fillId="0" borderId="0" xfId="0" applyFill="1"/>
    <xf numFmtId="0" fontId="0" fillId="0" borderId="0" xfId="1540" applyFont="1" applyFill="1"/>
    <xf numFmtId="0" fontId="0" fillId="66" borderId="0" xfId="0" applyFill="1"/>
    <xf numFmtId="0" fontId="62" fillId="66" borderId="0" xfId="0" applyFont="1" applyFill="1" applyAlignment="1">
      <alignment horizontal="center"/>
    </xf>
    <xf numFmtId="0" fontId="0" fillId="66" borderId="0" xfId="1540" applyFont="1" applyFill="1" applyBorder="1"/>
    <xf numFmtId="0" fontId="0" fillId="66" borderId="0" xfId="1540" applyFont="1" applyFill="1" applyBorder="1" applyAlignment="1">
      <alignment horizontal="center"/>
    </xf>
    <xf numFmtId="10" fontId="0" fillId="66" borderId="0" xfId="1540" applyNumberFormat="1" applyFont="1" applyFill="1" applyBorder="1"/>
    <xf numFmtId="9" fontId="0" fillId="66" borderId="0" xfId="1540" applyNumberFormat="1" applyFont="1" applyFill="1" applyBorder="1"/>
    <xf numFmtId="0" fontId="62" fillId="66" borderId="0" xfId="0" applyFont="1" applyFill="1" applyBorder="1" applyAlignment="1">
      <alignment horizontal="center"/>
    </xf>
    <xf numFmtId="0" fontId="0" fillId="66" borderId="0" xfId="1540" applyFont="1" applyFill="1" applyBorder="1" applyAlignment="1"/>
    <xf numFmtId="0" fontId="0" fillId="66" borderId="0" xfId="1540" applyFont="1" applyFill="1"/>
    <xf numFmtId="168" fontId="0" fillId="66" borderId="0" xfId="1540" applyNumberFormat="1" applyFont="1" applyFill="1"/>
    <xf numFmtId="0" fontId="0" fillId="71" borderId="0" xfId="0" applyFill="1"/>
    <xf numFmtId="168" fontId="49" fillId="0" borderId="1" xfId="2" applyBorder="1"/>
    <xf numFmtId="9" fontId="0" fillId="0" borderId="1" xfId="0" applyNumberFormat="1" applyBorder="1"/>
    <xf numFmtId="168" fontId="0" fillId="0" borderId="0" xfId="0" applyNumberFormat="1"/>
    <xf numFmtId="0" fontId="0" fillId="72" borderId="1" xfId="0" applyFill="1" applyBorder="1"/>
    <xf numFmtId="1" fontId="0" fillId="72" borderId="1" xfId="0" applyNumberFormat="1" applyFill="1" applyBorder="1"/>
    <xf numFmtId="0" fontId="0" fillId="0" borderId="0" xfId="0"/>
    <xf numFmtId="0" fontId="0" fillId="0" borderId="11" xfId="0" applyFont="1" applyBorder="1"/>
    <xf numFmtId="0" fontId="0" fillId="0" borderId="12" xfId="0" applyFont="1" applyBorder="1"/>
    <xf numFmtId="0" fontId="0" fillId="0" borderId="3" xfId="0" applyFont="1" applyBorder="1"/>
    <xf numFmtId="0" fontId="0" fillId="0" borderId="0" xfId="0"/>
    <xf numFmtId="0" fontId="0" fillId="73" borderId="1" xfId="1540" applyFont="1" applyFill="1" applyBorder="1"/>
    <xf numFmtId="0" fontId="0" fillId="74" borderId="1" xfId="1540" applyFont="1" applyFill="1" applyBorder="1"/>
    <xf numFmtId="166" fontId="0" fillId="74" borderId="1" xfId="1540" applyNumberFormat="1" applyFont="1" applyFill="1" applyBorder="1"/>
    <xf numFmtId="2" fontId="0" fillId="74" borderId="1" xfId="1540" applyNumberFormat="1" applyFont="1" applyFill="1" applyBorder="1"/>
    <xf numFmtId="0" fontId="0" fillId="75" borderId="1" xfId="1540" applyFont="1" applyFill="1" applyBorder="1"/>
    <xf numFmtId="1" fontId="0" fillId="75" borderId="1" xfId="1540" applyNumberFormat="1" applyFont="1" applyFill="1" applyBorder="1" applyAlignment="1">
      <alignment horizontal="right"/>
    </xf>
    <xf numFmtId="166" fontId="0" fillId="75" borderId="1" xfId="1540" applyNumberFormat="1" applyFont="1" applyFill="1" applyBorder="1"/>
    <xf numFmtId="2" fontId="0" fillId="75" borderId="1" xfId="1540" applyNumberFormat="1" applyFont="1" applyFill="1" applyBorder="1"/>
    <xf numFmtId="0" fontId="0" fillId="0" borderId="0" xfId="0"/>
    <xf numFmtId="3" fontId="41" fillId="0" borderId="0" xfId="1540" applyNumberFormat="1" applyFont="1" applyAlignment="1">
      <alignment wrapText="1"/>
    </xf>
    <xf numFmtId="0" fontId="10" fillId="33" borderId="0" xfId="1540" applyFont="1" applyFill="1" applyBorder="1" applyAlignment="1">
      <alignment horizontal="center" vertical="center"/>
    </xf>
    <xf numFmtId="0" fontId="0" fillId="0" borderId="0" xfId="0"/>
    <xf numFmtId="0" fontId="74" fillId="0" borderId="0" xfId="0" applyFont="1"/>
    <xf numFmtId="0" fontId="73" fillId="0" borderId="0" xfId="0" applyFont="1" applyAlignment="1">
      <alignment horizontal="center"/>
    </xf>
    <xf numFmtId="0" fontId="58" fillId="0" borderId="8" xfId="0" applyFont="1" applyBorder="1" applyAlignment="1">
      <alignment horizontal="center" vertical="center" wrapText="1"/>
    </xf>
    <xf numFmtId="0" fontId="58" fillId="0" borderId="5" xfId="0" applyFont="1" applyBorder="1" applyAlignment="1">
      <alignment horizontal="center" vertical="center" wrapText="1"/>
    </xf>
    <xf numFmtId="0" fontId="58" fillId="0" borderId="11" xfId="0" applyFont="1" applyBorder="1" applyAlignment="1">
      <alignment horizontal="center" vertical="center" wrapText="1"/>
    </xf>
    <xf numFmtId="0" fontId="58" fillId="0" borderId="12" xfId="0" applyFont="1" applyBorder="1" applyAlignment="1">
      <alignment horizontal="center" vertical="center" wrapText="1"/>
    </xf>
    <xf numFmtId="0" fontId="58" fillId="0" borderId="3" xfId="0" applyFont="1" applyBorder="1" applyAlignment="1">
      <alignment horizontal="center" vertical="center" wrapText="1"/>
    </xf>
    <xf numFmtId="0" fontId="56" fillId="0" borderId="0" xfId="0" applyFont="1" applyAlignment="1">
      <alignment horizontal="center" vertical="center"/>
    </xf>
    <xf numFmtId="0" fontId="57" fillId="0" borderId="8" xfId="0" applyFont="1" applyBorder="1" applyAlignment="1">
      <alignment horizontal="center" vertical="center" wrapText="1"/>
    </xf>
    <xf numFmtId="0" fontId="57" fillId="0" borderId="5" xfId="0" applyFont="1" applyBorder="1" applyAlignment="1">
      <alignment horizontal="center" vertical="center" wrapText="1"/>
    </xf>
    <xf numFmtId="0" fontId="58" fillId="0" borderId="1" xfId="0" applyFont="1" applyBorder="1" applyAlignment="1">
      <alignment horizontal="center" vertical="center" wrapText="1"/>
    </xf>
    <xf numFmtId="0" fontId="57" fillId="0" borderId="1" xfId="0" applyFont="1" applyBorder="1" applyAlignment="1">
      <alignment horizontal="center" vertical="center" wrapText="1"/>
    </xf>
    <xf numFmtId="0" fontId="10" fillId="33" borderId="0" xfId="0" applyFont="1" applyFill="1" applyAlignment="1">
      <alignment horizontal="center" vertical="center"/>
    </xf>
    <xf numFmtId="0" fontId="48" fillId="33" borderId="0" xfId="0" applyFont="1" applyFill="1" applyAlignment="1">
      <alignment horizontal="center"/>
    </xf>
    <xf numFmtId="0" fontId="0" fillId="0" borderId="0" xfId="0" applyAlignment="1">
      <alignment horizontal="center" wrapText="1"/>
    </xf>
    <xf numFmtId="0" fontId="0" fillId="40" borderId="6" xfId="1540" applyFont="1" applyFill="1" applyBorder="1" applyAlignment="1">
      <alignment horizontal="center"/>
    </xf>
    <xf numFmtId="0" fontId="0" fillId="0" borderId="1" xfId="1540" applyFont="1" applyBorder="1" applyAlignment="1">
      <alignment horizontal="center" wrapText="1"/>
    </xf>
    <xf numFmtId="0" fontId="0" fillId="38" borderId="0" xfId="1540" applyFont="1" applyFill="1" applyBorder="1" applyAlignment="1">
      <alignment horizontal="center"/>
    </xf>
    <xf numFmtId="0" fontId="62" fillId="0" borderId="11" xfId="1540" applyFont="1" applyBorder="1" applyAlignment="1">
      <alignment horizontal="center"/>
    </xf>
    <xf numFmtId="0" fontId="62" fillId="0" borderId="12" xfId="1540" applyFont="1" applyBorder="1" applyAlignment="1">
      <alignment horizontal="center"/>
    </xf>
    <xf numFmtId="0" fontId="62" fillId="0" borderId="3" xfId="1540" applyFont="1" applyBorder="1" applyAlignment="1">
      <alignment horizontal="center"/>
    </xf>
    <xf numFmtId="0" fontId="0" fillId="39" borderId="1" xfId="1540" applyFont="1" applyFill="1" applyBorder="1" applyAlignment="1">
      <alignment horizontal="center"/>
    </xf>
    <xf numFmtId="0" fontId="0" fillId="40" borderId="1" xfId="1540" applyFont="1" applyFill="1" applyBorder="1" applyAlignment="1">
      <alignment horizontal="center"/>
    </xf>
    <xf numFmtId="0" fontId="62" fillId="0" borderId="1" xfId="0" applyFont="1" applyFill="1" applyBorder="1" applyAlignment="1">
      <alignment horizontal="center" wrapText="1"/>
    </xf>
    <xf numFmtId="0" fontId="73" fillId="40" borderId="0" xfId="1540" applyFont="1" applyFill="1" applyBorder="1" applyAlignment="1">
      <alignment horizontal="center"/>
    </xf>
    <xf numFmtId="0" fontId="62" fillId="65" borderId="1" xfId="0" applyFont="1" applyFill="1" applyBorder="1" applyAlignment="1">
      <alignment horizontal="center" wrapText="1"/>
    </xf>
    <xf numFmtId="0" fontId="0" fillId="39" borderId="11" xfId="1540" applyFont="1" applyFill="1" applyBorder="1" applyAlignment="1">
      <alignment horizontal="center"/>
    </xf>
    <xf numFmtId="0" fontId="0" fillId="39" borderId="12" xfId="1540" applyFont="1" applyFill="1" applyBorder="1" applyAlignment="1">
      <alignment horizontal="center"/>
    </xf>
    <xf numFmtId="0" fontId="0" fillId="39" borderId="3" xfId="1540" applyFont="1" applyFill="1" applyBorder="1" applyAlignment="1">
      <alignment horizontal="center"/>
    </xf>
    <xf numFmtId="0" fontId="62" fillId="0" borderId="0" xfId="0" applyFont="1" applyAlignment="1">
      <alignment horizontal="center"/>
    </xf>
    <xf numFmtId="0" fontId="62" fillId="0" borderId="22" xfId="0" applyFont="1" applyBorder="1" applyAlignment="1">
      <alignment horizontal="center"/>
    </xf>
    <xf numFmtId="0" fontId="64" fillId="0" borderId="1" xfId="1540" applyFont="1" applyBorder="1" applyAlignment="1">
      <alignment horizontal="center"/>
    </xf>
    <xf numFmtId="0" fontId="0" fillId="38" borderId="0" xfId="1540" applyFont="1" applyFill="1" applyAlignment="1">
      <alignment horizontal="center" vertical="top"/>
    </xf>
    <xf numFmtId="0" fontId="0" fillId="38" borderId="12" xfId="1540" applyFont="1" applyFill="1" applyBorder="1" applyAlignment="1">
      <alignment horizontal="center" vertical="top"/>
    </xf>
    <xf numFmtId="0" fontId="62" fillId="0" borderId="1" xfId="0" applyFont="1" applyBorder="1" applyAlignment="1">
      <alignment horizontal="center"/>
    </xf>
    <xf numFmtId="0" fontId="68" fillId="0" borderId="0" xfId="0" applyFont="1" applyAlignment="1">
      <alignment horizontal="center" vertical="center"/>
    </xf>
    <xf numFmtId="0" fontId="0" fillId="40" borderId="0" xfId="1540" applyFont="1" applyFill="1" applyBorder="1" applyAlignment="1">
      <alignment horizontal="center"/>
    </xf>
    <xf numFmtId="0" fontId="62" fillId="74" borderId="1" xfId="0" applyFont="1" applyFill="1" applyBorder="1" applyAlignment="1">
      <alignment horizontal="center" wrapText="1"/>
    </xf>
    <xf numFmtId="0" fontId="0" fillId="57" borderId="0" xfId="1540" applyFont="1" applyFill="1" applyBorder="1" applyAlignment="1">
      <alignment horizontal="center"/>
    </xf>
    <xf numFmtId="0" fontId="62" fillId="0" borderId="1" xfId="0" applyFont="1" applyBorder="1" applyAlignment="1">
      <alignment horizontal="center" wrapText="1"/>
    </xf>
    <xf numFmtId="0" fontId="0" fillId="53" borderId="0" xfId="1540" applyFont="1" applyFill="1" applyBorder="1" applyAlignment="1">
      <alignment horizontal="center"/>
    </xf>
    <xf numFmtId="0" fontId="62" fillId="0" borderId="0" xfId="1540" applyFont="1" applyBorder="1" applyAlignment="1">
      <alignment horizontal="center"/>
    </xf>
    <xf numFmtId="0" fontId="0" fillId="0" borderId="4" xfId="1540" applyFont="1" applyBorder="1" applyAlignment="1">
      <alignment horizontal="center"/>
    </xf>
    <xf numFmtId="0" fontId="0" fillId="0" borderId="6" xfId="1540" applyFont="1" applyBorder="1" applyAlignment="1">
      <alignment horizontal="center"/>
    </xf>
    <xf numFmtId="0" fontId="0" fillId="40" borderId="13" xfId="1540" applyFont="1" applyFill="1" applyBorder="1" applyAlignment="1">
      <alignment horizontal="center"/>
    </xf>
    <xf numFmtId="0" fontId="0" fillId="0" borderId="15" xfId="1540" applyFont="1" applyBorder="1" applyAlignment="1">
      <alignment horizontal="center"/>
    </xf>
    <xf numFmtId="0" fontId="0" fillId="0" borderId="17" xfId="1540" applyFont="1" applyBorder="1" applyAlignment="1">
      <alignment horizontal="center"/>
    </xf>
    <xf numFmtId="0" fontId="0" fillId="0" borderId="18" xfId="1540" applyFont="1" applyBorder="1" applyAlignment="1">
      <alignment horizontal="center"/>
    </xf>
    <xf numFmtId="0" fontId="0" fillId="0" borderId="1" xfId="1540" applyFont="1" applyBorder="1" applyAlignment="1">
      <alignment horizontal="center"/>
    </xf>
    <xf numFmtId="0" fontId="0" fillId="0" borderId="12" xfId="1540" applyFont="1" applyBorder="1" applyAlignment="1">
      <alignment horizontal="center"/>
    </xf>
    <xf numFmtId="0" fontId="0" fillId="0" borderId="19" xfId="1540" applyFont="1" applyBorder="1" applyAlignment="1">
      <alignment horizontal="center"/>
    </xf>
    <xf numFmtId="0" fontId="0" fillId="52" borderId="4" xfId="1540" applyFont="1" applyFill="1" applyBorder="1" applyAlignment="1">
      <alignment horizontal="center"/>
    </xf>
    <xf numFmtId="0" fontId="0" fillId="40" borderId="21" xfId="1540" applyFont="1" applyFill="1" applyBorder="1" applyAlignment="1">
      <alignment horizontal="center"/>
    </xf>
    <xf numFmtId="0" fontId="62" fillId="0" borderId="1" xfId="1540" applyFont="1" applyBorder="1" applyAlignment="1">
      <alignment horizontal="center"/>
    </xf>
    <xf numFmtId="0" fontId="32" fillId="51" borderId="0" xfId="1540" applyFont="1" applyFill="1" applyBorder="1" applyAlignment="1">
      <alignment horizontal="center" vertical="center"/>
    </xf>
    <xf numFmtId="0" fontId="18" fillId="3" borderId="7" xfId="1540" applyFont="1" applyFill="1" applyBorder="1" applyAlignment="1">
      <alignment horizontal="center" vertical="center" wrapText="1"/>
    </xf>
    <xf numFmtId="0" fontId="19" fillId="0" borderId="1" xfId="1540" applyFont="1" applyBorder="1" applyAlignment="1">
      <alignment horizontal="center" vertical="center" wrapText="1"/>
    </xf>
    <xf numFmtId="0" fontId="40" fillId="0" borderId="1" xfId="1540" applyFont="1" applyBorder="1" applyAlignment="1">
      <alignment horizontal="center" vertical="center" wrapText="1"/>
    </xf>
  </cellXfs>
  <cellStyles count="7784">
    <cellStyle name="(min) Duizend,0" xfId="4"/>
    <cellStyle name="(min) Duizend,0 2" xfId="5"/>
    <cellStyle name="=C:\WINNT35\SYSTEM32\COMMAND.COM" xfId="1098"/>
    <cellStyle name="=C:\WINNT35\SYSTEM32\COMMAND.COM 2" xfId="1099"/>
    <cellStyle name="20 % - Accent1 10" xfId="6"/>
    <cellStyle name="20 % - Accent1 10 2" xfId="7"/>
    <cellStyle name="20 % - Accent1 11" xfId="8"/>
    <cellStyle name="20 % - Accent1 11 2" xfId="9"/>
    <cellStyle name="20 % - Accent1 11 2 2" xfId="10"/>
    <cellStyle name="20 % - Accent1 11 3" xfId="11"/>
    <cellStyle name="20 % - Accent1 11 3 2" xfId="12"/>
    <cellStyle name="20 % - Accent1 11 4" xfId="13"/>
    <cellStyle name="20 % - Accent1 11 4 2" xfId="14"/>
    <cellStyle name="20 % - Accent1 11 5" xfId="15"/>
    <cellStyle name="20 % - Accent1 12" xfId="16"/>
    <cellStyle name="20 % - Accent1 12 2" xfId="17"/>
    <cellStyle name="20 % - Accent1 12 2 2" xfId="18"/>
    <cellStyle name="20 % - Accent1 12 3" xfId="19"/>
    <cellStyle name="20 % - Accent1 12 3 2" xfId="20"/>
    <cellStyle name="20 % - Accent1 12 4" xfId="21"/>
    <cellStyle name="20 % - Accent1 13" xfId="22"/>
    <cellStyle name="20 % - Accent1 13 2" xfId="23"/>
    <cellStyle name="20 % - Accent1 13 3" xfId="24"/>
    <cellStyle name="20 % - Accent1 14" xfId="25"/>
    <cellStyle name="20 % - Accent1 14 2" xfId="26"/>
    <cellStyle name="20 % - Accent1 14 3" xfId="27"/>
    <cellStyle name="20 % - Accent1 15" xfId="28"/>
    <cellStyle name="20 % - Accent1 15 2" xfId="29"/>
    <cellStyle name="20 % - Accent1 15 3" xfId="30"/>
    <cellStyle name="20 % - Accent1 2" xfId="31"/>
    <cellStyle name="20 % - Accent1 2 2" xfId="32"/>
    <cellStyle name="20 % - Accent1 2 2 2" xfId="33"/>
    <cellStyle name="20 % - Accent1 2 3" xfId="34"/>
    <cellStyle name="20 % - Accent1 2 3 2" xfId="35"/>
    <cellStyle name="20 % - Accent1 2 4" xfId="36"/>
    <cellStyle name="20 % - Accent1 2 4 2" xfId="37"/>
    <cellStyle name="20 % - Accent1 2 5" xfId="38"/>
    <cellStyle name="20 % - Accent1 3" xfId="39"/>
    <cellStyle name="20 % - Accent1 3 2" xfId="40"/>
    <cellStyle name="20 % - Accent1 3 2 2" xfId="41"/>
    <cellStyle name="20 % - Accent1 3 3" xfId="42"/>
    <cellStyle name="20 % - Accent1 3 3 2" xfId="43"/>
    <cellStyle name="20 % - Accent1 3 4" xfId="44"/>
    <cellStyle name="20 % - Accent1 3 4 2" xfId="45"/>
    <cellStyle name="20 % - Accent1 3 5" xfId="46"/>
    <cellStyle name="20 % - Accent1 4" xfId="47"/>
    <cellStyle name="20 % - Accent1 4 2" xfId="48"/>
    <cellStyle name="20 % - Accent1 4 2 2" xfId="49"/>
    <cellStyle name="20 % - Accent1 4 3" xfId="50"/>
    <cellStyle name="20 % - Accent1 4 3 2" xfId="51"/>
    <cellStyle name="20 % - Accent1 4 4" xfId="52"/>
    <cellStyle name="20 % - Accent1 4 4 2" xfId="53"/>
    <cellStyle name="20 % - Accent1 4 5" xfId="54"/>
    <cellStyle name="20 % - Accent1 5" xfId="55"/>
    <cellStyle name="20 % - Accent1 5 2" xfId="56"/>
    <cellStyle name="20 % - Accent1 5 2 2" xfId="57"/>
    <cellStyle name="20 % - Accent1 5 3" xfId="58"/>
    <cellStyle name="20 % - Accent1 6" xfId="59"/>
    <cellStyle name="20 % - Accent1 6 2" xfId="60"/>
    <cellStyle name="20 % - Accent1 6 2 2" xfId="61"/>
    <cellStyle name="20 % - Accent1 6 3" xfId="62"/>
    <cellStyle name="20 % - Accent1 7" xfId="63"/>
    <cellStyle name="20 % - Accent1 7 2" xfId="64"/>
    <cellStyle name="20 % - Accent1 8" xfId="65"/>
    <cellStyle name="20 % - Accent1 8 2" xfId="66"/>
    <cellStyle name="20 % - Accent1 9" xfId="67"/>
    <cellStyle name="20 % - Accent1 9 2" xfId="68"/>
    <cellStyle name="20 % - Accent2 10" xfId="69"/>
    <cellStyle name="20 % - Accent2 10 2" xfId="70"/>
    <cellStyle name="20 % - Accent2 11" xfId="71"/>
    <cellStyle name="20 % - Accent2 11 2" xfId="72"/>
    <cellStyle name="20 % - Accent2 11 2 2" xfId="73"/>
    <cellStyle name="20 % - Accent2 11 3" xfId="74"/>
    <cellStyle name="20 % - Accent2 11 3 2" xfId="75"/>
    <cellStyle name="20 % - Accent2 11 4" xfId="76"/>
    <cellStyle name="20 % - Accent2 11 4 2" xfId="77"/>
    <cellStyle name="20 % - Accent2 11 5" xfId="78"/>
    <cellStyle name="20 % - Accent2 12" xfId="79"/>
    <cellStyle name="20 % - Accent2 12 2" xfId="80"/>
    <cellStyle name="20 % - Accent2 12 2 2" xfId="81"/>
    <cellStyle name="20 % - Accent2 12 3" xfId="82"/>
    <cellStyle name="20 % - Accent2 12 3 2" xfId="83"/>
    <cellStyle name="20 % - Accent2 12 4" xfId="84"/>
    <cellStyle name="20 % - Accent2 13" xfId="85"/>
    <cellStyle name="20 % - Accent2 13 2" xfId="86"/>
    <cellStyle name="20 % - Accent2 13 3" xfId="87"/>
    <cellStyle name="20 % - Accent2 14" xfId="88"/>
    <cellStyle name="20 % - Accent2 14 2" xfId="89"/>
    <cellStyle name="20 % - Accent2 14 3" xfId="90"/>
    <cellStyle name="20 % - Accent2 15" xfId="91"/>
    <cellStyle name="20 % - Accent2 15 2" xfId="92"/>
    <cellStyle name="20 % - Accent2 15 3" xfId="93"/>
    <cellStyle name="20 % - Accent2 2" xfId="94"/>
    <cellStyle name="20 % - Accent2 2 2" xfId="95"/>
    <cellStyle name="20 % - Accent2 2 2 2" xfId="96"/>
    <cellStyle name="20 % - Accent2 2 3" xfId="97"/>
    <cellStyle name="20 % - Accent2 2 3 2" xfId="98"/>
    <cellStyle name="20 % - Accent2 2 4" xfId="99"/>
    <cellStyle name="20 % - Accent2 2 4 2" xfId="100"/>
    <cellStyle name="20 % - Accent2 2 5" xfId="101"/>
    <cellStyle name="20 % - Accent2 3" xfId="102"/>
    <cellStyle name="20 % - Accent2 3 2" xfId="103"/>
    <cellStyle name="20 % - Accent2 3 2 2" xfId="104"/>
    <cellStyle name="20 % - Accent2 3 3" xfId="105"/>
    <cellStyle name="20 % - Accent2 3 3 2" xfId="106"/>
    <cellStyle name="20 % - Accent2 3 4" xfId="107"/>
    <cellStyle name="20 % - Accent2 3 4 2" xfId="108"/>
    <cellStyle name="20 % - Accent2 3 5" xfId="109"/>
    <cellStyle name="20 % - Accent2 4" xfId="110"/>
    <cellStyle name="20 % - Accent2 4 2" xfId="111"/>
    <cellStyle name="20 % - Accent2 4 2 2" xfId="112"/>
    <cellStyle name="20 % - Accent2 4 3" xfId="113"/>
    <cellStyle name="20 % - Accent2 4 3 2" xfId="114"/>
    <cellStyle name="20 % - Accent2 4 4" xfId="115"/>
    <cellStyle name="20 % - Accent2 4 4 2" xfId="116"/>
    <cellStyle name="20 % - Accent2 4 5" xfId="117"/>
    <cellStyle name="20 % - Accent2 5" xfId="118"/>
    <cellStyle name="20 % - Accent2 5 2" xfId="119"/>
    <cellStyle name="20 % - Accent2 5 2 2" xfId="120"/>
    <cellStyle name="20 % - Accent2 5 3" xfId="121"/>
    <cellStyle name="20 % - Accent2 6" xfId="122"/>
    <cellStyle name="20 % - Accent2 6 2" xfId="123"/>
    <cellStyle name="20 % - Accent2 6 2 2" xfId="124"/>
    <cellStyle name="20 % - Accent2 6 3" xfId="125"/>
    <cellStyle name="20 % - Accent2 7" xfId="126"/>
    <cellStyle name="20 % - Accent2 7 2" xfId="127"/>
    <cellStyle name="20 % - Accent2 8" xfId="128"/>
    <cellStyle name="20 % - Accent2 8 2" xfId="129"/>
    <cellStyle name="20 % - Accent2 9" xfId="130"/>
    <cellStyle name="20 % - Accent2 9 2" xfId="131"/>
    <cellStyle name="20 % - Accent3 10" xfId="132"/>
    <cellStyle name="20 % - Accent3 10 2" xfId="133"/>
    <cellStyle name="20 % - Accent3 11" xfId="134"/>
    <cellStyle name="20 % - Accent3 11 2" xfId="135"/>
    <cellStyle name="20 % - Accent3 11 2 2" xfId="136"/>
    <cellStyle name="20 % - Accent3 11 3" xfId="137"/>
    <cellStyle name="20 % - Accent3 11 3 2" xfId="138"/>
    <cellStyle name="20 % - Accent3 11 4" xfId="139"/>
    <cellStyle name="20 % - Accent3 11 4 2" xfId="140"/>
    <cellStyle name="20 % - Accent3 11 5" xfId="141"/>
    <cellStyle name="20 % - Accent3 12" xfId="142"/>
    <cellStyle name="20 % - Accent3 12 2" xfId="143"/>
    <cellStyle name="20 % - Accent3 12 2 2" xfId="144"/>
    <cellStyle name="20 % - Accent3 12 3" xfId="145"/>
    <cellStyle name="20 % - Accent3 12 3 2" xfId="146"/>
    <cellStyle name="20 % - Accent3 12 4" xfId="147"/>
    <cellStyle name="20 % - Accent3 13" xfId="148"/>
    <cellStyle name="20 % - Accent3 13 2" xfId="149"/>
    <cellStyle name="20 % - Accent3 13 3" xfId="150"/>
    <cellStyle name="20 % - Accent3 14" xfId="151"/>
    <cellStyle name="20 % - Accent3 14 2" xfId="152"/>
    <cellStyle name="20 % - Accent3 14 3" xfId="153"/>
    <cellStyle name="20 % - Accent3 15" xfId="154"/>
    <cellStyle name="20 % - Accent3 15 2" xfId="155"/>
    <cellStyle name="20 % - Accent3 15 3" xfId="156"/>
    <cellStyle name="20 % - Accent3 2" xfId="157"/>
    <cellStyle name="20 % - Accent3 2 2" xfId="158"/>
    <cellStyle name="20 % - Accent3 2 2 2" xfId="159"/>
    <cellStyle name="20 % - Accent3 2 3" xfId="160"/>
    <cellStyle name="20 % - Accent3 2 3 2" xfId="161"/>
    <cellStyle name="20 % - Accent3 2 3 2 2" xfId="162"/>
    <cellStyle name="20 % - Accent3 2 3 3" xfId="163"/>
    <cellStyle name="20 % - Accent3 2 4" xfId="164"/>
    <cellStyle name="20 % - Accent3 2 4 2" xfId="165"/>
    <cellStyle name="20 % - Accent3 2 5" xfId="166"/>
    <cellStyle name="20 % - Accent3 3" xfId="167"/>
    <cellStyle name="20 % - Accent3 3 2" xfId="168"/>
    <cellStyle name="20 % - Accent3 3 2 2" xfId="169"/>
    <cellStyle name="20 % - Accent3 3 3" xfId="170"/>
    <cellStyle name="20 % - Accent3 3 3 2" xfId="171"/>
    <cellStyle name="20 % - Accent3 3 4" xfId="172"/>
    <cellStyle name="20 % - Accent3 3 4 2" xfId="173"/>
    <cellStyle name="20 % - Accent3 3 5" xfId="174"/>
    <cellStyle name="20 % - Accent3 4" xfId="175"/>
    <cellStyle name="20 % - Accent3 4 2" xfId="176"/>
    <cellStyle name="20 % - Accent3 4 2 2" xfId="177"/>
    <cellStyle name="20 % - Accent3 4 3" xfId="178"/>
    <cellStyle name="20 % - Accent3 4 3 2" xfId="179"/>
    <cellStyle name="20 % - Accent3 4 4" xfId="180"/>
    <cellStyle name="20 % - Accent3 4 4 2" xfId="181"/>
    <cellStyle name="20 % - Accent3 4 5" xfId="182"/>
    <cellStyle name="20 % - Accent3 5" xfId="183"/>
    <cellStyle name="20 % - Accent3 5 2" xfId="184"/>
    <cellStyle name="20 % - Accent3 5 2 2" xfId="185"/>
    <cellStyle name="20 % - Accent3 5 3" xfId="186"/>
    <cellStyle name="20 % - Accent3 6" xfId="187"/>
    <cellStyle name="20 % - Accent3 6 2" xfId="188"/>
    <cellStyle name="20 % - Accent3 6 2 2" xfId="189"/>
    <cellStyle name="20 % - Accent3 6 3" xfId="190"/>
    <cellStyle name="20 % - Accent3 7" xfId="191"/>
    <cellStyle name="20 % - Accent3 7 2" xfId="192"/>
    <cellStyle name="20 % - Accent3 8" xfId="193"/>
    <cellStyle name="20 % - Accent3 8 2" xfId="194"/>
    <cellStyle name="20 % - Accent3 9" xfId="195"/>
    <cellStyle name="20 % - Accent3 9 2" xfId="196"/>
    <cellStyle name="20 % - Accent4 10" xfId="197"/>
    <cellStyle name="20 % - Accent4 10 2" xfId="198"/>
    <cellStyle name="20 % - Accent4 11" xfId="199"/>
    <cellStyle name="20 % - Accent4 11 2" xfId="200"/>
    <cellStyle name="20 % - Accent4 11 2 2" xfId="201"/>
    <cellStyle name="20 % - Accent4 11 3" xfId="202"/>
    <cellStyle name="20 % - Accent4 11 3 2" xfId="203"/>
    <cellStyle name="20 % - Accent4 11 4" xfId="204"/>
    <cellStyle name="20 % - Accent4 11 4 2" xfId="205"/>
    <cellStyle name="20 % - Accent4 11 5" xfId="206"/>
    <cellStyle name="20 % - Accent4 12" xfId="207"/>
    <cellStyle name="20 % - Accent4 12 2" xfId="208"/>
    <cellStyle name="20 % - Accent4 12 2 2" xfId="209"/>
    <cellStyle name="20 % - Accent4 12 3" xfId="210"/>
    <cellStyle name="20 % - Accent4 12 3 2" xfId="211"/>
    <cellStyle name="20 % - Accent4 12 4" xfId="212"/>
    <cellStyle name="20 % - Accent4 13" xfId="213"/>
    <cellStyle name="20 % - Accent4 13 2" xfId="214"/>
    <cellStyle name="20 % - Accent4 13 3" xfId="215"/>
    <cellStyle name="20 % - Accent4 14" xfId="216"/>
    <cellStyle name="20 % - Accent4 14 2" xfId="217"/>
    <cellStyle name="20 % - Accent4 14 3" xfId="218"/>
    <cellStyle name="20 % - Accent4 15" xfId="219"/>
    <cellStyle name="20 % - Accent4 15 2" xfId="220"/>
    <cellStyle name="20 % - Accent4 15 3" xfId="221"/>
    <cellStyle name="20 % - Accent4 2" xfId="222"/>
    <cellStyle name="20 % - Accent4 2 2" xfId="223"/>
    <cellStyle name="20 % - Accent4 2 2 2" xfId="224"/>
    <cellStyle name="20 % - Accent4 2 3" xfId="225"/>
    <cellStyle name="20 % - Accent4 2 3 2" xfId="226"/>
    <cellStyle name="20 % - Accent4 2 4" xfId="227"/>
    <cellStyle name="20 % - Accent4 2 4 2" xfId="228"/>
    <cellStyle name="20 % - Accent4 2 5" xfId="229"/>
    <cellStyle name="20 % - Accent4 3" xfId="230"/>
    <cellStyle name="20 % - Accent4 3 2" xfId="231"/>
    <cellStyle name="20 % - Accent4 3 2 2" xfId="232"/>
    <cellStyle name="20 % - Accent4 3 3" xfId="233"/>
    <cellStyle name="20 % - Accent4 3 3 2" xfId="234"/>
    <cellStyle name="20 % - Accent4 3 4" xfId="235"/>
    <cellStyle name="20 % - Accent4 3 4 2" xfId="236"/>
    <cellStyle name="20 % - Accent4 3 5" xfId="237"/>
    <cellStyle name="20 % - Accent4 4" xfId="238"/>
    <cellStyle name="20 % - Accent4 4 2" xfId="239"/>
    <cellStyle name="20 % - Accent4 4 2 2" xfId="240"/>
    <cellStyle name="20 % - Accent4 4 3" xfId="241"/>
    <cellStyle name="20 % - Accent4 4 3 2" xfId="242"/>
    <cellStyle name="20 % - Accent4 4 4" xfId="243"/>
    <cellStyle name="20 % - Accent4 4 4 2" xfId="244"/>
    <cellStyle name="20 % - Accent4 4 5" xfId="245"/>
    <cellStyle name="20 % - Accent4 5" xfId="246"/>
    <cellStyle name="20 % - Accent4 5 2" xfId="247"/>
    <cellStyle name="20 % - Accent4 5 2 2" xfId="248"/>
    <cellStyle name="20 % - Accent4 5 3" xfId="249"/>
    <cellStyle name="20 % - Accent4 6" xfId="250"/>
    <cellStyle name="20 % - Accent4 6 2" xfId="251"/>
    <cellStyle name="20 % - Accent4 6 2 2" xfId="252"/>
    <cellStyle name="20 % - Accent4 6 3" xfId="253"/>
    <cellStyle name="20 % - Accent4 7" xfId="254"/>
    <cellStyle name="20 % - Accent4 7 2" xfId="255"/>
    <cellStyle name="20 % - Accent4 8" xfId="256"/>
    <cellStyle name="20 % - Accent4 8 2" xfId="257"/>
    <cellStyle name="20 % - Accent4 9" xfId="258"/>
    <cellStyle name="20 % - Accent4 9 2" xfId="259"/>
    <cellStyle name="20 % - Accent5 10" xfId="260"/>
    <cellStyle name="20 % - Accent5 10 2" xfId="261"/>
    <cellStyle name="20 % - Accent5 11" xfId="262"/>
    <cellStyle name="20 % - Accent5 11 2" xfId="263"/>
    <cellStyle name="20 % - Accent5 11 2 2" xfId="264"/>
    <cellStyle name="20 % - Accent5 11 3" xfId="265"/>
    <cellStyle name="20 % - Accent5 12" xfId="266"/>
    <cellStyle name="20 % - Accent5 12 2" xfId="267"/>
    <cellStyle name="20 % - Accent5 13" xfId="268"/>
    <cellStyle name="20 % - Accent5 13 2" xfId="269"/>
    <cellStyle name="20 % - Accent5 13 3" xfId="270"/>
    <cellStyle name="20 % - Accent5 2" xfId="271"/>
    <cellStyle name="20 % - Accent5 2 2" xfId="272"/>
    <cellStyle name="20 % - Accent5 2 2 2" xfId="273"/>
    <cellStyle name="20 % - Accent5 2 3" xfId="274"/>
    <cellStyle name="20 % - Accent5 2 3 2" xfId="275"/>
    <cellStyle name="20 % - Accent5 2 4" xfId="276"/>
    <cellStyle name="20 % - Accent5 2 4 2" xfId="277"/>
    <cellStyle name="20 % - Accent5 2 5" xfId="278"/>
    <cellStyle name="20 % - Accent5 3" xfId="279"/>
    <cellStyle name="20 % - Accent5 3 2" xfId="280"/>
    <cellStyle name="20 % - Accent5 3 2 2" xfId="281"/>
    <cellStyle name="20 % - Accent5 3 3" xfId="282"/>
    <cellStyle name="20 % - Accent5 3 3 2" xfId="283"/>
    <cellStyle name="20 % - Accent5 3 4" xfId="284"/>
    <cellStyle name="20 % - Accent5 3 4 2" xfId="285"/>
    <cellStyle name="20 % - Accent5 3 5" xfId="286"/>
    <cellStyle name="20 % - Accent5 4" xfId="287"/>
    <cellStyle name="20 % - Accent5 4 2" xfId="288"/>
    <cellStyle name="20 % - Accent5 4 2 2" xfId="289"/>
    <cellStyle name="20 % - Accent5 4 3" xfId="290"/>
    <cellStyle name="20 % - Accent5 4 3 2" xfId="291"/>
    <cellStyle name="20 % - Accent5 4 4" xfId="292"/>
    <cellStyle name="20 % - Accent5 4 4 2" xfId="293"/>
    <cellStyle name="20 % - Accent5 4 5" xfId="294"/>
    <cellStyle name="20 % - Accent5 5" xfId="295"/>
    <cellStyle name="20 % - Accent5 5 2" xfId="296"/>
    <cellStyle name="20 % - Accent5 5 2 2" xfId="297"/>
    <cellStyle name="20 % - Accent5 5 3" xfId="298"/>
    <cellStyle name="20 % - Accent5 6" xfId="299"/>
    <cellStyle name="20 % - Accent5 6 2" xfId="300"/>
    <cellStyle name="20 % - Accent5 7" xfId="301"/>
    <cellStyle name="20 % - Accent5 7 2" xfId="302"/>
    <cellStyle name="20 % - Accent5 8" xfId="303"/>
    <cellStyle name="20 % - Accent5 8 2" xfId="304"/>
    <cellStyle name="20 % - Accent5 9" xfId="305"/>
    <cellStyle name="20 % - Accent5 9 2" xfId="306"/>
    <cellStyle name="20 % - Accent6 10" xfId="307"/>
    <cellStyle name="20 % - Accent6 10 2" xfId="308"/>
    <cellStyle name="20 % - Accent6 11" xfId="309"/>
    <cellStyle name="20 % - Accent6 11 2" xfId="310"/>
    <cellStyle name="20 % - Accent6 11 2 2" xfId="311"/>
    <cellStyle name="20 % - Accent6 11 3" xfId="312"/>
    <cellStyle name="20 % - Accent6 11 3 2" xfId="313"/>
    <cellStyle name="20 % - Accent6 11 4" xfId="314"/>
    <cellStyle name="20 % - Accent6 11 4 2" xfId="315"/>
    <cellStyle name="20 % - Accent6 11 5" xfId="316"/>
    <cellStyle name="20 % - Accent6 12" xfId="317"/>
    <cellStyle name="20 % - Accent6 12 2" xfId="318"/>
    <cellStyle name="20 % - Accent6 12 2 2" xfId="319"/>
    <cellStyle name="20 % - Accent6 12 3" xfId="320"/>
    <cellStyle name="20 % - Accent6 12 3 2" xfId="321"/>
    <cellStyle name="20 % - Accent6 12 4" xfId="322"/>
    <cellStyle name="20 % - Accent6 13" xfId="323"/>
    <cellStyle name="20 % - Accent6 13 2" xfId="324"/>
    <cellStyle name="20 % - Accent6 13 3" xfId="325"/>
    <cellStyle name="20 % - Accent6 14" xfId="326"/>
    <cellStyle name="20 % - Accent6 14 2" xfId="327"/>
    <cellStyle name="20 % - Accent6 14 3" xfId="328"/>
    <cellStyle name="20 % - Accent6 15" xfId="329"/>
    <cellStyle name="20 % - Accent6 15 2" xfId="330"/>
    <cellStyle name="20 % - Accent6 15 3" xfId="331"/>
    <cellStyle name="20 % - Accent6 2" xfId="332"/>
    <cellStyle name="20 % - Accent6 2 2" xfId="333"/>
    <cellStyle name="20 % - Accent6 2 2 2" xfId="334"/>
    <cellStyle name="20 % - Accent6 2 3" xfId="335"/>
    <cellStyle name="20 % - Accent6 2 3 2" xfId="336"/>
    <cellStyle name="20 % - Accent6 2 3 2 2" xfId="337"/>
    <cellStyle name="20 % - Accent6 2 3 3" xfId="338"/>
    <cellStyle name="20 % - Accent6 2 4" xfId="339"/>
    <cellStyle name="20 % - Accent6 2 4 2" xfId="340"/>
    <cellStyle name="20 % - Accent6 2 5" xfId="341"/>
    <cellStyle name="20 % - Accent6 3" xfId="342"/>
    <cellStyle name="20 % - Accent6 3 2" xfId="343"/>
    <cellStyle name="20 % - Accent6 3 2 2" xfId="344"/>
    <cellStyle name="20 % - Accent6 3 3" xfId="345"/>
    <cellStyle name="20 % - Accent6 3 3 2" xfId="346"/>
    <cellStyle name="20 % - Accent6 3 4" xfId="347"/>
    <cellStyle name="20 % - Accent6 3 4 2" xfId="348"/>
    <cellStyle name="20 % - Accent6 3 5" xfId="349"/>
    <cellStyle name="20 % - Accent6 4" xfId="350"/>
    <cellStyle name="20 % - Accent6 4 2" xfId="351"/>
    <cellStyle name="20 % - Accent6 4 2 2" xfId="352"/>
    <cellStyle name="20 % - Accent6 4 3" xfId="353"/>
    <cellStyle name="20 % - Accent6 4 3 2" xfId="354"/>
    <cellStyle name="20 % - Accent6 4 4" xfId="355"/>
    <cellStyle name="20 % - Accent6 4 4 2" xfId="356"/>
    <cellStyle name="20 % - Accent6 4 5" xfId="357"/>
    <cellStyle name="20 % - Accent6 5" xfId="358"/>
    <cellStyle name="20 % - Accent6 5 2" xfId="359"/>
    <cellStyle name="20 % - Accent6 5 2 2" xfId="360"/>
    <cellStyle name="20 % - Accent6 5 3" xfId="361"/>
    <cellStyle name="20 % - Accent6 6" xfId="362"/>
    <cellStyle name="20 % - Accent6 6 2" xfId="363"/>
    <cellStyle name="20 % - Accent6 6 2 2" xfId="364"/>
    <cellStyle name="20 % - Accent6 6 3" xfId="365"/>
    <cellStyle name="20 % - Accent6 7" xfId="366"/>
    <cellStyle name="20 % - Accent6 7 2" xfId="367"/>
    <cellStyle name="20 % - Accent6 8" xfId="368"/>
    <cellStyle name="20 % - Accent6 8 2" xfId="369"/>
    <cellStyle name="20 % - Accent6 9" xfId="370"/>
    <cellStyle name="20 % - Accent6 9 2" xfId="371"/>
    <cellStyle name="2x indented GHG Textfiels" xfId="372"/>
    <cellStyle name="2x indented GHG Textfiels 2" xfId="373"/>
    <cellStyle name="40 % - Accent1 10" xfId="374"/>
    <cellStyle name="40 % - Accent1 10 2" xfId="375"/>
    <cellStyle name="40 % - Accent1 11" xfId="376"/>
    <cellStyle name="40 % - Accent1 11 2" xfId="377"/>
    <cellStyle name="40 % - Accent1 11 2 2" xfId="378"/>
    <cellStyle name="40 % - Accent1 11 3" xfId="379"/>
    <cellStyle name="40 % - Accent1 11 3 2" xfId="380"/>
    <cellStyle name="40 % - Accent1 11 4" xfId="381"/>
    <cellStyle name="40 % - Accent1 11 4 2" xfId="382"/>
    <cellStyle name="40 % - Accent1 11 5" xfId="383"/>
    <cellStyle name="40 % - Accent1 12" xfId="384"/>
    <cellStyle name="40 % - Accent1 12 2" xfId="385"/>
    <cellStyle name="40 % - Accent1 12 2 2" xfId="386"/>
    <cellStyle name="40 % - Accent1 12 3" xfId="387"/>
    <cellStyle name="40 % - Accent1 12 3 2" xfId="388"/>
    <cellStyle name="40 % - Accent1 12 4" xfId="389"/>
    <cellStyle name="40 % - Accent1 13" xfId="390"/>
    <cellStyle name="40 % - Accent1 13 2" xfId="391"/>
    <cellStyle name="40 % - Accent1 13 3" xfId="392"/>
    <cellStyle name="40 % - Accent1 14" xfId="393"/>
    <cellStyle name="40 % - Accent1 14 2" xfId="394"/>
    <cellStyle name="40 % - Accent1 14 3" xfId="395"/>
    <cellStyle name="40 % - Accent1 15" xfId="396"/>
    <cellStyle name="40 % - Accent1 15 2" xfId="397"/>
    <cellStyle name="40 % - Accent1 15 3" xfId="398"/>
    <cellStyle name="40 % - Accent1 2" xfId="399"/>
    <cellStyle name="40 % - Accent1 2 2" xfId="400"/>
    <cellStyle name="40 % - Accent1 2 2 2" xfId="401"/>
    <cellStyle name="40 % - Accent1 2 3" xfId="402"/>
    <cellStyle name="40 % - Accent1 2 3 2" xfId="403"/>
    <cellStyle name="40 % - Accent1 2 4" xfId="404"/>
    <cellStyle name="40 % - Accent1 2 4 2" xfId="405"/>
    <cellStyle name="40 % - Accent1 2 5" xfId="406"/>
    <cellStyle name="40 % - Accent1 3" xfId="407"/>
    <cellStyle name="40 % - Accent1 3 2" xfId="408"/>
    <cellStyle name="40 % - Accent1 3 2 2" xfId="409"/>
    <cellStyle name="40 % - Accent1 3 3" xfId="410"/>
    <cellStyle name="40 % - Accent1 3 3 2" xfId="411"/>
    <cellStyle name="40 % - Accent1 3 4" xfId="412"/>
    <cellStyle name="40 % - Accent1 3 4 2" xfId="413"/>
    <cellStyle name="40 % - Accent1 3 5" xfId="414"/>
    <cellStyle name="40 % - Accent1 4" xfId="415"/>
    <cellStyle name="40 % - Accent1 4 2" xfId="416"/>
    <cellStyle name="40 % - Accent1 4 2 2" xfId="417"/>
    <cellStyle name="40 % - Accent1 4 3" xfId="418"/>
    <cellStyle name="40 % - Accent1 4 3 2" xfId="419"/>
    <cellStyle name="40 % - Accent1 4 4" xfId="420"/>
    <cellStyle name="40 % - Accent1 4 4 2" xfId="421"/>
    <cellStyle name="40 % - Accent1 4 5" xfId="422"/>
    <cellStyle name="40 % - Accent1 5" xfId="423"/>
    <cellStyle name="40 % - Accent1 5 2" xfId="424"/>
    <cellStyle name="40 % - Accent1 5 2 2" xfId="425"/>
    <cellStyle name="40 % - Accent1 5 3" xfId="426"/>
    <cellStyle name="40 % - Accent1 6" xfId="427"/>
    <cellStyle name="40 % - Accent1 6 2" xfId="428"/>
    <cellStyle name="40 % - Accent1 6 2 2" xfId="429"/>
    <cellStyle name="40 % - Accent1 6 3" xfId="430"/>
    <cellStyle name="40 % - Accent1 7" xfId="431"/>
    <cellStyle name="40 % - Accent1 7 2" xfId="432"/>
    <cellStyle name="40 % - Accent1 8" xfId="433"/>
    <cellStyle name="40 % - Accent1 8 2" xfId="434"/>
    <cellStyle name="40 % - Accent1 9" xfId="435"/>
    <cellStyle name="40 % - Accent1 9 2" xfId="436"/>
    <cellStyle name="40 % - Accent2 10" xfId="437"/>
    <cellStyle name="40 % - Accent2 10 2" xfId="438"/>
    <cellStyle name="40 % - Accent2 11" xfId="439"/>
    <cellStyle name="40 % - Accent2 11 2" xfId="440"/>
    <cellStyle name="40 % - Accent2 11 2 2" xfId="441"/>
    <cellStyle name="40 % - Accent2 11 3" xfId="442"/>
    <cellStyle name="40 % - Accent2 12" xfId="443"/>
    <cellStyle name="40 % - Accent2 12 2" xfId="444"/>
    <cellStyle name="40 % - Accent2 13" xfId="445"/>
    <cellStyle name="40 % - Accent2 13 2" xfId="446"/>
    <cellStyle name="40 % - Accent2 13 3" xfId="447"/>
    <cellStyle name="40 % - Accent2 2" xfId="448"/>
    <cellStyle name="40 % - Accent2 2 2" xfId="449"/>
    <cellStyle name="40 % - Accent2 2 2 2" xfId="450"/>
    <cellStyle name="40 % - Accent2 2 3" xfId="451"/>
    <cellStyle name="40 % - Accent2 2 3 2" xfId="452"/>
    <cellStyle name="40 % - Accent2 2 4" xfId="453"/>
    <cellStyle name="40 % - Accent2 2 4 2" xfId="454"/>
    <cellStyle name="40 % - Accent2 2 5" xfId="455"/>
    <cellStyle name="40 % - Accent2 3" xfId="456"/>
    <cellStyle name="40 % - Accent2 3 2" xfId="457"/>
    <cellStyle name="40 % - Accent2 3 2 2" xfId="458"/>
    <cellStyle name="40 % - Accent2 3 3" xfId="459"/>
    <cellStyle name="40 % - Accent2 3 3 2" xfId="460"/>
    <cellStyle name="40 % - Accent2 3 4" xfId="461"/>
    <cellStyle name="40 % - Accent2 3 4 2" xfId="462"/>
    <cellStyle name="40 % - Accent2 3 5" xfId="463"/>
    <cellStyle name="40 % - Accent2 4" xfId="464"/>
    <cellStyle name="40 % - Accent2 4 2" xfId="465"/>
    <cellStyle name="40 % - Accent2 4 2 2" xfId="466"/>
    <cellStyle name="40 % - Accent2 4 3" xfId="467"/>
    <cellStyle name="40 % - Accent2 4 3 2" xfId="468"/>
    <cellStyle name="40 % - Accent2 4 4" xfId="469"/>
    <cellStyle name="40 % - Accent2 4 4 2" xfId="470"/>
    <cellStyle name="40 % - Accent2 4 5" xfId="471"/>
    <cellStyle name="40 % - Accent2 5" xfId="472"/>
    <cellStyle name="40 % - Accent2 5 2" xfId="473"/>
    <cellStyle name="40 % - Accent2 5 2 2" xfId="474"/>
    <cellStyle name="40 % - Accent2 5 3" xfId="475"/>
    <cellStyle name="40 % - Accent2 6" xfId="476"/>
    <cellStyle name="40 % - Accent2 6 2" xfId="477"/>
    <cellStyle name="40 % - Accent2 7" xfId="478"/>
    <cellStyle name="40 % - Accent2 7 2" xfId="479"/>
    <cellStyle name="40 % - Accent2 8" xfId="480"/>
    <cellStyle name="40 % - Accent2 8 2" xfId="481"/>
    <cellStyle name="40 % - Accent2 9" xfId="482"/>
    <cellStyle name="40 % - Accent2 9 2" xfId="483"/>
    <cellStyle name="40 % - Accent3 10" xfId="484"/>
    <cellStyle name="40 % - Accent3 10 2" xfId="485"/>
    <cellStyle name="40 % - Accent3 11" xfId="486"/>
    <cellStyle name="40 % - Accent3 11 2" xfId="487"/>
    <cellStyle name="40 % - Accent3 11 2 2" xfId="488"/>
    <cellStyle name="40 % - Accent3 11 3" xfId="489"/>
    <cellStyle name="40 % - Accent3 11 3 2" xfId="490"/>
    <cellStyle name="40 % - Accent3 11 4" xfId="491"/>
    <cellStyle name="40 % - Accent3 11 4 2" xfId="492"/>
    <cellStyle name="40 % - Accent3 11 5" xfId="493"/>
    <cellStyle name="40 % - Accent3 12" xfId="494"/>
    <cellStyle name="40 % - Accent3 12 2" xfId="495"/>
    <cellStyle name="40 % - Accent3 12 2 2" xfId="496"/>
    <cellStyle name="40 % - Accent3 12 3" xfId="497"/>
    <cellStyle name="40 % - Accent3 12 3 2" xfId="498"/>
    <cellStyle name="40 % - Accent3 12 4" xfId="499"/>
    <cellStyle name="40 % - Accent3 13" xfId="500"/>
    <cellStyle name="40 % - Accent3 13 2" xfId="501"/>
    <cellStyle name="40 % - Accent3 13 3" xfId="502"/>
    <cellStyle name="40 % - Accent3 14" xfId="503"/>
    <cellStyle name="40 % - Accent3 14 2" xfId="504"/>
    <cellStyle name="40 % - Accent3 14 3" xfId="505"/>
    <cellStyle name="40 % - Accent3 15" xfId="506"/>
    <cellStyle name="40 % - Accent3 15 2" xfId="507"/>
    <cellStyle name="40 % - Accent3 15 3" xfId="508"/>
    <cellStyle name="40 % - Accent3 2" xfId="509"/>
    <cellStyle name="40 % - Accent3 2 2" xfId="510"/>
    <cellStyle name="40 % - Accent3 2 2 2" xfId="511"/>
    <cellStyle name="40 % - Accent3 2 3" xfId="512"/>
    <cellStyle name="40 % - Accent3 2 3 2" xfId="513"/>
    <cellStyle name="40 % - Accent3 2 3 2 2" xfId="514"/>
    <cellStyle name="40 % - Accent3 2 3 3" xfId="515"/>
    <cellStyle name="40 % - Accent3 2 4" xfId="516"/>
    <cellStyle name="40 % - Accent3 2 4 2" xfId="517"/>
    <cellStyle name="40 % - Accent3 2 5" xfId="518"/>
    <cellStyle name="40 % - Accent3 3" xfId="519"/>
    <cellStyle name="40 % - Accent3 3 2" xfId="520"/>
    <cellStyle name="40 % - Accent3 3 2 2" xfId="521"/>
    <cellStyle name="40 % - Accent3 3 3" xfId="522"/>
    <cellStyle name="40 % - Accent3 3 3 2" xfId="523"/>
    <cellStyle name="40 % - Accent3 3 4" xfId="524"/>
    <cellStyle name="40 % - Accent3 3 4 2" xfId="525"/>
    <cellStyle name="40 % - Accent3 3 5" xfId="526"/>
    <cellStyle name="40 % - Accent3 4" xfId="527"/>
    <cellStyle name="40 % - Accent3 4 2" xfId="528"/>
    <cellStyle name="40 % - Accent3 4 2 2" xfId="529"/>
    <cellStyle name="40 % - Accent3 4 3" xfId="530"/>
    <cellStyle name="40 % - Accent3 4 3 2" xfId="531"/>
    <cellStyle name="40 % - Accent3 4 4" xfId="532"/>
    <cellStyle name="40 % - Accent3 4 4 2" xfId="533"/>
    <cellStyle name="40 % - Accent3 4 5" xfId="534"/>
    <cellStyle name="40 % - Accent3 5" xfId="535"/>
    <cellStyle name="40 % - Accent3 5 2" xfId="536"/>
    <cellStyle name="40 % - Accent3 5 2 2" xfId="537"/>
    <cellStyle name="40 % - Accent3 5 3" xfId="538"/>
    <cellStyle name="40 % - Accent3 6" xfId="539"/>
    <cellStyle name="40 % - Accent3 6 2" xfId="540"/>
    <cellStyle name="40 % - Accent3 6 2 2" xfId="541"/>
    <cellStyle name="40 % - Accent3 6 3" xfId="542"/>
    <cellStyle name="40 % - Accent3 7" xfId="543"/>
    <cellStyle name="40 % - Accent3 7 2" xfId="544"/>
    <cellStyle name="40 % - Accent3 8" xfId="545"/>
    <cellStyle name="40 % - Accent3 8 2" xfId="546"/>
    <cellStyle name="40 % - Accent3 9" xfId="547"/>
    <cellStyle name="40 % - Accent3 9 2" xfId="548"/>
    <cellStyle name="40 % - Accent4 10" xfId="549"/>
    <cellStyle name="40 % - Accent4 10 2" xfId="550"/>
    <cellStyle name="40 % - Accent4 11" xfId="551"/>
    <cellStyle name="40 % - Accent4 11 2" xfId="552"/>
    <cellStyle name="40 % - Accent4 11 2 2" xfId="553"/>
    <cellStyle name="40 % - Accent4 11 3" xfId="554"/>
    <cellStyle name="40 % - Accent4 11 3 2" xfId="555"/>
    <cellStyle name="40 % - Accent4 11 4" xfId="556"/>
    <cellStyle name="40 % - Accent4 11 4 2" xfId="557"/>
    <cellStyle name="40 % - Accent4 11 5" xfId="558"/>
    <cellStyle name="40 % - Accent4 12" xfId="559"/>
    <cellStyle name="40 % - Accent4 12 2" xfId="560"/>
    <cellStyle name="40 % - Accent4 12 2 2" xfId="561"/>
    <cellStyle name="40 % - Accent4 12 3" xfId="562"/>
    <cellStyle name="40 % - Accent4 12 3 2" xfId="563"/>
    <cellStyle name="40 % - Accent4 12 4" xfId="564"/>
    <cellStyle name="40 % - Accent4 13" xfId="565"/>
    <cellStyle name="40 % - Accent4 13 2" xfId="566"/>
    <cellStyle name="40 % - Accent4 13 3" xfId="567"/>
    <cellStyle name="40 % - Accent4 14" xfId="568"/>
    <cellStyle name="40 % - Accent4 14 2" xfId="569"/>
    <cellStyle name="40 % - Accent4 14 3" xfId="570"/>
    <cellStyle name="40 % - Accent4 15" xfId="571"/>
    <cellStyle name="40 % - Accent4 15 2" xfId="572"/>
    <cellStyle name="40 % - Accent4 15 3" xfId="573"/>
    <cellStyle name="40 % - Accent4 2" xfId="574"/>
    <cellStyle name="40 % - Accent4 2 2" xfId="575"/>
    <cellStyle name="40 % - Accent4 2 2 2" xfId="576"/>
    <cellStyle name="40 % - Accent4 2 3" xfId="577"/>
    <cellStyle name="40 % - Accent4 2 3 2" xfId="578"/>
    <cellStyle name="40 % - Accent4 2 4" xfId="579"/>
    <cellStyle name="40 % - Accent4 2 4 2" xfId="580"/>
    <cellStyle name="40 % - Accent4 2 5" xfId="581"/>
    <cellStyle name="40 % - Accent4 3" xfId="582"/>
    <cellStyle name="40 % - Accent4 3 2" xfId="583"/>
    <cellStyle name="40 % - Accent4 3 2 2" xfId="584"/>
    <cellStyle name="40 % - Accent4 3 3" xfId="585"/>
    <cellStyle name="40 % - Accent4 3 3 2" xfId="586"/>
    <cellStyle name="40 % - Accent4 3 4" xfId="587"/>
    <cellStyle name="40 % - Accent4 3 4 2" xfId="588"/>
    <cellStyle name="40 % - Accent4 3 5" xfId="589"/>
    <cellStyle name="40 % - Accent4 4" xfId="590"/>
    <cellStyle name="40 % - Accent4 4 2" xfId="591"/>
    <cellStyle name="40 % - Accent4 4 2 2" xfId="592"/>
    <cellStyle name="40 % - Accent4 4 3" xfId="593"/>
    <cellStyle name="40 % - Accent4 4 3 2" xfId="594"/>
    <cellStyle name="40 % - Accent4 4 4" xfId="595"/>
    <cellStyle name="40 % - Accent4 4 4 2" xfId="596"/>
    <cellStyle name="40 % - Accent4 4 5" xfId="597"/>
    <cellStyle name="40 % - Accent4 5" xfId="598"/>
    <cellStyle name="40 % - Accent4 5 2" xfId="599"/>
    <cellStyle name="40 % - Accent4 5 2 2" xfId="600"/>
    <cellStyle name="40 % - Accent4 5 3" xfId="601"/>
    <cellStyle name="40 % - Accent4 6" xfId="602"/>
    <cellStyle name="40 % - Accent4 6 2" xfId="603"/>
    <cellStyle name="40 % - Accent4 6 2 2" xfId="604"/>
    <cellStyle name="40 % - Accent4 6 3" xfId="605"/>
    <cellStyle name="40 % - Accent4 7" xfId="606"/>
    <cellStyle name="40 % - Accent4 7 2" xfId="607"/>
    <cellStyle name="40 % - Accent4 8" xfId="608"/>
    <cellStyle name="40 % - Accent4 8 2" xfId="609"/>
    <cellStyle name="40 % - Accent4 9" xfId="610"/>
    <cellStyle name="40 % - Accent4 9 2" xfId="611"/>
    <cellStyle name="40 % - Accent5 10" xfId="612"/>
    <cellStyle name="40 % - Accent5 10 2" xfId="613"/>
    <cellStyle name="40 % - Accent5 11" xfId="614"/>
    <cellStyle name="40 % - Accent5 11 2" xfId="615"/>
    <cellStyle name="40 % - Accent5 11 2 2" xfId="616"/>
    <cellStyle name="40 % - Accent5 11 3" xfId="617"/>
    <cellStyle name="40 % - Accent5 11 3 2" xfId="618"/>
    <cellStyle name="40 % - Accent5 11 4" xfId="619"/>
    <cellStyle name="40 % - Accent5 11 4 2" xfId="620"/>
    <cellStyle name="40 % - Accent5 11 5" xfId="621"/>
    <cellStyle name="40 % - Accent5 12" xfId="622"/>
    <cellStyle name="40 % - Accent5 12 2" xfId="623"/>
    <cellStyle name="40 % - Accent5 12 2 2" xfId="624"/>
    <cellStyle name="40 % - Accent5 12 3" xfId="625"/>
    <cellStyle name="40 % - Accent5 12 3 2" xfId="626"/>
    <cellStyle name="40 % - Accent5 12 4" xfId="627"/>
    <cellStyle name="40 % - Accent5 13" xfId="628"/>
    <cellStyle name="40 % - Accent5 13 2" xfId="629"/>
    <cellStyle name="40 % - Accent5 13 3" xfId="630"/>
    <cellStyle name="40 % - Accent5 14" xfId="631"/>
    <cellStyle name="40 % - Accent5 14 2" xfId="632"/>
    <cellStyle name="40 % - Accent5 14 3" xfId="633"/>
    <cellStyle name="40 % - Accent5 15" xfId="634"/>
    <cellStyle name="40 % - Accent5 15 2" xfId="635"/>
    <cellStyle name="40 % - Accent5 15 3" xfId="636"/>
    <cellStyle name="40 % - Accent5 2" xfId="637"/>
    <cellStyle name="40 % - Accent5 2 2" xfId="638"/>
    <cellStyle name="40 % - Accent5 2 2 2" xfId="639"/>
    <cellStyle name="40 % - Accent5 2 3" xfId="640"/>
    <cellStyle name="40 % - Accent5 2 3 2" xfId="641"/>
    <cellStyle name="40 % - Accent5 2 4" xfId="642"/>
    <cellStyle name="40 % - Accent5 2 4 2" xfId="643"/>
    <cellStyle name="40 % - Accent5 2 5" xfId="644"/>
    <cellStyle name="40 % - Accent5 3" xfId="645"/>
    <cellStyle name="40 % - Accent5 3 2" xfId="646"/>
    <cellStyle name="40 % - Accent5 3 2 2" xfId="647"/>
    <cellStyle name="40 % - Accent5 3 3" xfId="648"/>
    <cellStyle name="40 % - Accent5 3 3 2" xfId="649"/>
    <cellStyle name="40 % - Accent5 3 4" xfId="650"/>
    <cellStyle name="40 % - Accent5 3 4 2" xfId="651"/>
    <cellStyle name="40 % - Accent5 3 5" xfId="652"/>
    <cellStyle name="40 % - Accent5 4" xfId="653"/>
    <cellStyle name="40 % - Accent5 4 2" xfId="654"/>
    <cellStyle name="40 % - Accent5 4 2 2" xfId="655"/>
    <cellStyle name="40 % - Accent5 4 3" xfId="656"/>
    <cellStyle name="40 % - Accent5 4 3 2" xfId="657"/>
    <cellStyle name="40 % - Accent5 4 4" xfId="658"/>
    <cellStyle name="40 % - Accent5 4 4 2" xfId="659"/>
    <cellStyle name="40 % - Accent5 4 5" xfId="660"/>
    <cellStyle name="40 % - Accent5 5" xfId="661"/>
    <cellStyle name="40 % - Accent5 5 2" xfId="662"/>
    <cellStyle name="40 % - Accent5 5 2 2" xfId="663"/>
    <cellStyle name="40 % - Accent5 5 3" xfId="664"/>
    <cellStyle name="40 % - Accent5 6" xfId="665"/>
    <cellStyle name="40 % - Accent5 6 2" xfId="666"/>
    <cellStyle name="40 % - Accent5 6 2 2" xfId="667"/>
    <cellStyle name="40 % - Accent5 6 3" xfId="668"/>
    <cellStyle name="40 % - Accent5 7" xfId="669"/>
    <cellStyle name="40 % - Accent5 7 2" xfId="670"/>
    <cellStyle name="40 % - Accent5 8" xfId="671"/>
    <cellStyle name="40 % - Accent5 8 2" xfId="672"/>
    <cellStyle name="40 % - Accent5 9" xfId="673"/>
    <cellStyle name="40 % - Accent5 9 2" xfId="674"/>
    <cellStyle name="40 % - Accent6 10" xfId="675"/>
    <cellStyle name="40 % - Accent6 10 2" xfId="676"/>
    <cellStyle name="40 % - Accent6 11" xfId="677"/>
    <cellStyle name="40 % - Accent6 11 2" xfId="678"/>
    <cellStyle name="40 % - Accent6 11 2 2" xfId="679"/>
    <cellStyle name="40 % - Accent6 11 3" xfId="680"/>
    <cellStyle name="40 % - Accent6 11 3 2" xfId="681"/>
    <cellStyle name="40 % - Accent6 11 4" xfId="682"/>
    <cellStyle name="40 % - Accent6 11 4 2" xfId="683"/>
    <cellStyle name="40 % - Accent6 11 5" xfId="684"/>
    <cellStyle name="40 % - Accent6 12" xfId="685"/>
    <cellStyle name="40 % - Accent6 12 2" xfId="686"/>
    <cellStyle name="40 % - Accent6 12 2 2" xfId="687"/>
    <cellStyle name="40 % - Accent6 12 3" xfId="688"/>
    <cellStyle name="40 % - Accent6 12 3 2" xfId="689"/>
    <cellStyle name="40 % - Accent6 12 4" xfId="690"/>
    <cellStyle name="40 % - Accent6 13" xfId="691"/>
    <cellStyle name="40 % - Accent6 13 2" xfId="692"/>
    <cellStyle name="40 % - Accent6 13 3" xfId="693"/>
    <cellStyle name="40 % - Accent6 14" xfId="694"/>
    <cellStyle name="40 % - Accent6 14 2" xfId="695"/>
    <cellStyle name="40 % - Accent6 14 3" xfId="696"/>
    <cellStyle name="40 % - Accent6 15" xfId="697"/>
    <cellStyle name="40 % - Accent6 15 2" xfId="698"/>
    <cellStyle name="40 % - Accent6 15 3" xfId="699"/>
    <cellStyle name="40 % - Accent6 2" xfId="700"/>
    <cellStyle name="40 % - Accent6 2 2" xfId="701"/>
    <cellStyle name="40 % - Accent6 2 2 2" xfId="702"/>
    <cellStyle name="40 % - Accent6 2 3" xfId="703"/>
    <cellStyle name="40 % - Accent6 2 3 2" xfId="704"/>
    <cellStyle name="40 % - Accent6 2 4" xfId="705"/>
    <cellStyle name="40 % - Accent6 2 4 2" xfId="706"/>
    <cellStyle name="40 % - Accent6 2 5" xfId="707"/>
    <cellStyle name="40 % - Accent6 3" xfId="708"/>
    <cellStyle name="40 % - Accent6 3 2" xfId="709"/>
    <cellStyle name="40 % - Accent6 3 2 2" xfId="710"/>
    <cellStyle name="40 % - Accent6 3 3" xfId="711"/>
    <cellStyle name="40 % - Accent6 3 3 2" xfId="712"/>
    <cellStyle name="40 % - Accent6 3 4" xfId="713"/>
    <cellStyle name="40 % - Accent6 3 4 2" xfId="714"/>
    <cellStyle name="40 % - Accent6 3 5" xfId="715"/>
    <cellStyle name="40 % - Accent6 4" xfId="716"/>
    <cellStyle name="40 % - Accent6 4 2" xfId="717"/>
    <cellStyle name="40 % - Accent6 4 2 2" xfId="718"/>
    <cellStyle name="40 % - Accent6 4 3" xfId="719"/>
    <cellStyle name="40 % - Accent6 4 3 2" xfId="720"/>
    <cellStyle name="40 % - Accent6 4 4" xfId="721"/>
    <cellStyle name="40 % - Accent6 4 4 2" xfId="722"/>
    <cellStyle name="40 % - Accent6 4 5" xfId="723"/>
    <cellStyle name="40 % - Accent6 5" xfId="724"/>
    <cellStyle name="40 % - Accent6 5 2" xfId="725"/>
    <cellStyle name="40 % - Accent6 5 2 2" xfId="726"/>
    <cellStyle name="40 % - Accent6 5 3" xfId="727"/>
    <cellStyle name="40 % - Accent6 6" xfId="728"/>
    <cellStyle name="40 % - Accent6 6 2" xfId="729"/>
    <cellStyle name="40 % - Accent6 6 2 2" xfId="730"/>
    <cellStyle name="40 % - Accent6 6 3" xfId="731"/>
    <cellStyle name="40 % - Accent6 7" xfId="732"/>
    <cellStyle name="40 % - Accent6 7 2" xfId="733"/>
    <cellStyle name="40 % - Accent6 8" xfId="734"/>
    <cellStyle name="40 % - Accent6 8 2" xfId="735"/>
    <cellStyle name="40 % - Accent6 9" xfId="736"/>
    <cellStyle name="40 % - Accent6 9 2" xfId="737"/>
    <cellStyle name="5x indented GHG Textfiels" xfId="738"/>
    <cellStyle name="5x indented GHG Textfiels 2" xfId="739"/>
    <cellStyle name="60 % - Accent1 10" xfId="740"/>
    <cellStyle name="60 % - Accent1 10 2" xfId="741"/>
    <cellStyle name="60 % - Accent1 11" xfId="742"/>
    <cellStyle name="60 % - Accent1 11 2" xfId="743"/>
    <cellStyle name="60 % - Accent1 11 2 2" xfId="744"/>
    <cellStyle name="60 % - Accent1 11 3" xfId="745"/>
    <cellStyle name="60 % - Accent1 11 3 2" xfId="746"/>
    <cellStyle name="60 % - Accent1 11 4" xfId="747"/>
    <cellStyle name="60 % - Accent1 11 4 2" xfId="748"/>
    <cellStyle name="60 % - Accent1 11 5" xfId="749"/>
    <cellStyle name="60 % - Accent1 12" xfId="750"/>
    <cellStyle name="60 % - Accent1 12 2" xfId="751"/>
    <cellStyle name="60 % - Accent1 12 2 2" xfId="752"/>
    <cellStyle name="60 % - Accent1 12 3" xfId="753"/>
    <cellStyle name="60 % - Accent1 12 3 2" xfId="754"/>
    <cellStyle name="60 % - Accent1 12 4" xfId="755"/>
    <cellStyle name="60 % - Accent1 13" xfId="756"/>
    <cellStyle name="60 % - Accent1 13 2" xfId="757"/>
    <cellStyle name="60 % - Accent1 14" xfId="758"/>
    <cellStyle name="60 % - Accent1 14 2" xfId="759"/>
    <cellStyle name="60 % - Accent1 15" xfId="760"/>
    <cellStyle name="60 % - Accent1 15 2" xfId="761"/>
    <cellStyle name="60 % - Accent1 2" xfId="762"/>
    <cellStyle name="60 % - Accent1 2 2" xfId="763"/>
    <cellStyle name="60 % - Accent1 2 2 2" xfId="764"/>
    <cellStyle name="60 % - Accent1 2 3" xfId="765"/>
    <cellStyle name="60 % - Accent1 2 3 2" xfId="766"/>
    <cellStyle name="60 % - Accent1 2 4" xfId="767"/>
    <cellStyle name="60 % - Accent1 2 4 2" xfId="768"/>
    <cellStyle name="60 % - Accent1 2 5" xfId="769"/>
    <cellStyle name="60 % - Accent1 3" xfId="770"/>
    <cellStyle name="60 % - Accent1 3 2" xfId="771"/>
    <cellStyle name="60 % - Accent1 3 2 2" xfId="772"/>
    <cellStyle name="60 % - Accent1 3 3" xfId="773"/>
    <cellStyle name="60 % - Accent1 3 3 2" xfId="774"/>
    <cellStyle name="60 % - Accent1 3 4" xfId="775"/>
    <cellStyle name="60 % - Accent1 3 4 2" xfId="776"/>
    <cellStyle name="60 % - Accent1 3 5" xfId="777"/>
    <cellStyle name="60 % - Accent1 4" xfId="778"/>
    <cellStyle name="60 % - Accent1 4 2" xfId="779"/>
    <cellStyle name="60 % - Accent1 4 2 2" xfId="780"/>
    <cellStyle name="60 % - Accent1 4 3" xfId="781"/>
    <cellStyle name="60 % - Accent1 4 3 2" xfId="782"/>
    <cellStyle name="60 % - Accent1 4 4" xfId="783"/>
    <cellStyle name="60 % - Accent1 4 4 2" xfId="784"/>
    <cellStyle name="60 % - Accent1 4 5" xfId="785"/>
    <cellStyle name="60 % - Accent1 5" xfId="786"/>
    <cellStyle name="60 % - Accent1 5 2" xfId="787"/>
    <cellStyle name="60 % - Accent1 5 2 2" xfId="788"/>
    <cellStyle name="60 % - Accent1 5 3" xfId="789"/>
    <cellStyle name="60 % - Accent1 6" xfId="790"/>
    <cellStyle name="60 % - Accent1 6 2" xfId="791"/>
    <cellStyle name="60 % - Accent1 6 2 2" xfId="792"/>
    <cellStyle name="60 % - Accent1 6 3" xfId="793"/>
    <cellStyle name="60 % - Accent1 7" xfId="794"/>
    <cellStyle name="60 % - Accent1 7 2" xfId="795"/>
    <cellStyle name="60 % - Accent1 8" xfId="796"/>
    <cellStyle name="60 % - Accent1 8 2" xfId="797"/>
    <cellStyle name="60 % - Accent1 9" xfId="798"/>
    <cellStyle name="60 % - Accent1 9 2" xfId="799"/>
    <cellStyle name="60 % - Accent2 10" xfId="800"/>
    <cellStyle name="60 % - Accent2 10 2" xfId="801"/>
    <cellStyle name="60 % - Accent2 11" xfId="802"/>
    <cellStyle name="60 % - Accent2 11 2" xfId="803"/>
    <cellStyle name="60 % - Accent2 11 2 2" xfId="804"/>
    <cellStyle name="60 % - Accent2 11 3" xfId="805"/>
    <cellStyle name="60 % - Accent2 11 3 2" xfId="806"/>
    <cellStyle name="60 % - Accent2 11 4" xfId="807"/>
    <cellStyle name="60 % - Accent2 11 4 2" xfId="808"/>
    <cellStyle name="60 % - Accent2 11 5" xfId="809"/>
    <cellStyle name="60 % - Accent2 12" xfId="810"/>
    <cellStyle name="60 % - Accent2 12 2" xfId="811"/>
    <cellStyle name="60 % - Accent2 12 2 2" xfId="812"/>
    <cellStyle name="60 % - Accent2 12 3" xfId="813"/>
    <cellStyle name="60 % - Accent2 12 3 2" xfId="814"/>
    <cellStyle name="60 % - Accent2 12 4" xfId="815"/>
    <cellStyle name="60 % - Accent2 13" xfId="816"/>
    <cellStyle name="60 % - Accent2 13 2" xfId="817"/>
    <cellStyle name="60 % - Accent2 14" xfId="818"/>
    <cellStyle name="60 % - Accent2 14 2" xfId="819"/>
    <cellStyle name="60 % - Accent2 15" xfId="820"/>
    <cellStyle name="60 % - Accent2 15 2" xfId="821"/>
    <cellStyle name="60 % - Accent2 2" xfId="822"/>
    <cellStyle name="60 % - Accent2 2 2" xfId="823"/>
    <cellStyle name="60 % - Accent2 2 2 2" xfId="824"/>
    <cellStyle name="60 % - Accent2 2 3" xfId="825"/>
    <cellStyle name="60 % - Accent2 2 3 2" xfId="826"/>
    <cellStyle name="60 % - Accent2 2 4" xfId="827"/>
    <cellStyle name="60 % - Accent2 2 4 2" xfId="828"/>
    <cellStyle name="60 % - Accent2 2 5" xfId="829"/>
    <cellStyle name="60 % - Accent2 3" xfId="830"/>
    <cellStyle name="60 % - Accent2 3 2" xfId="831"/>
    <cellStyle name="60 % - Accent2 3 2 2" xfId="832"/>
    <cellStyle name="60 % - Accent2 3 3" xfId="833"/>
    <cellStyle name="60 % - Accent2 3 3 2" xfId="834"/>
    <cellStyle name="60 % - Accent2 3 4" xfId="835"/>
    <cellStyle name="60 % - Accent2 3 4 2" xfId="836"/>
    <cellStyle name="60 % - Accent2 3 5" xfId="837"/>
    <cellStyle name="60 % - Accent2 4" xfId="838"/>
    <cellStyle name="60 % - Accent2 4 2" xfId="839"/>
    <cellStyle name="60 % - Accent2 4 2 2" xfId="840"/>
    <cellStyle name="60 % - Accent2 4 3" xfId="841"/>
    <cellStyle name="60 % - Accent2 4 3 2" xfId="842"/>
    <cellStyle name="60 % - Accent2 4 4" xfId="843"/>
    <cellStyle name="60 % - Accent2 4 4 2" xfId="844"/>
    <cellStyle name="60 % - Accent2 4 5" xfId="845"/>
    <cellStyle name="60 % - Accent2 5" xfId="846"/>
    <cellStyle name="60 % - Accent2 5 2" xfId="847"/>
    <cellStyle name="60 % - Accent2 5 2 2" xfId="848"/>
    <cellStyle name="60 % - Accent2 5 3" xfId="849"/>
    <cellStyle name="60 % - Accent2 6" xfId="850"/>
    <cellStyle name="60 % - Accent2 6 2" xfId="851"/>
    <cellStyle name="60 % - Accent2 6 2 2" xfId="852"/>
    <cellStyle name="60 % - Accent2 6 3" xfId="853"/>
    <cellStyle name="60 % - Accent2 7" xfId="854"/>
    <cellStyle name="60 % - Accent2 7 2" xfId="855"/>
    <cellStyle name="60 % - Accent2 8" xfId="856"/>
    <cellStyle name="60 % - Accent2 8 2" xfId="857"/>
    <cellStyle name="60 % - Accent2 9" xfId="858"/>
    <cellStyle name="60 % - Accent2 9 2" xfId="859"/>
    <cellStyle name="60 % - Accent3 10" xfId="860"/>
    <cellStyle name="60 % - Accent3 10 2" xfId="861"/>
    <cellStyle name="60 % - Accent3 11" xfId="862"/>
    <cellStyle name="60 % - Accent3 11 2" xfId="863"/>
    <cellStyle name="60 % - Accent3 11 2 2" xfId="864"/>
    <cellStyle name="60 % - Accent3 11 3" xfId="865"/>
    <cellStyle name="60 % - Accent3 11 3 2" xfId="866"/>
    <cellStyle name="60 % - Accent3 11 4" xfId="867"/>
    <cellStyle name="60 % - Accent3 11 4 2" xfId="868"/>
    <cellStyle name="60 % - Accent3 11 5" xfId="869"/>
    <cellStyle name="60 % - Accent3 12" xfId="870"/>
    <cellStyle name="60 % - Accent3 12 2" xfId="871"/>
    <cellStyle name="60 % - Accent3 12 2 2" xfId="872"/>
    <cellStyle name="60 % - Accent3 12 3" xfId="873"/>
    <cellStyle name="60 % - Accent3 12 3 2" xfId="874"/>
    <cellStyle name="60 % - Accent3 12 4" xfId="875"/>
    <cellStyle name="60 % - Accent3 13" xfId="876"/>
    <cellStyle name="60 % - Accent3 13 2" xfId="877"/>
    <cellStyle name="60 % - Accent3 14" xfId="878"/>
    <cellStyle name="60 % - Accent3 14 2" xfId="879"/>
    <cellStyle name="60 % - Accent3 15" xfId="880"/>
    <cellStyle name="60 % - Accent3 15 2" xfId="881"/>
    <cellStyle name="60 % - Accent3 2" xfId="882"/>
    <cellStyle name="60 % - Accent3 2 2" xfId="883"/>
    <cellStyle name="60 % - Accent3 2 2 2" xfId="884"/>
    <cellStyle name="60 % - Accent3 2 3" xfId="885"/>
    <cellStyle name="60 % - Accent3 2 3 2" xfId="886"/>
    <cellStyle name="60 % - Accent3 2 4" xfId="887"/>
    <cellStyle name="60 % - Accent3 2 4 2" xfId="888"/>
    <cellStyle name="60 % - Accent3 2 5" xfId="889"/>
    <cellStyle name="60 % - Accent3 3" xfId="890"/>
    <cellStyle name="60 % - Accent3 3 2" xfId="891"/>
    <cellStyle name="60 % - Accent3 3 2 2" xfId="892"/>
    <cellStyle name="60 % - Accent3 3 3" xfId="893"/>
    <cellStyle name="60 % - Accent3 3 3 2" xfId="894"/>
    <cellStyle name="60 % - Accent3 3 4" xfId="895"/>
    <cellStyle name="60 % - Accent3 3 4 2" xfId="896"/>
    <cellStyle name="60 % - Accent3 3 5" xfId="897"/>
    <cellStyle name="60 % - Accent3 4" xfId="898"/>
    <cellStyle name="60 % - Accent3 4 2" xfId="899"/>
    <cellStyle name="60 % - Accent3 4 2 2" xfId="900"/>
    <cellStyle name="60 % - Accent3 4 3" xfId="901"/>
    <cellStyle name="60 % - Accent3 4 3 2" xfId="902"/>
    <cellStyle name="60 % - Accent3 4 4" xfId="903"/>
    <cellStyle name="60 % - Accent3 4 4 2" xfId="904"/>
    <cellStyle name="60 % - Accent3 4 5" xfId="905"/>
    <cellStyle name="60 % - Accent3 5" xfId="906"/>
    <cellStyle name="60 % - Accent3 5 2" xfId="907"/>
    <cellStyle name="60 % - Accent3 5 2 2" xfId="908"/>
    <cellStyle name="60 % - Accent3 5 3" xfId="909"/>
    <cellStyle name="60 % - Accent3 6" xfId="910"/>
    <cellStyle name="60 % - Accent3 6 2" xfId="911"/>
    <cellStyle name="60 % - Accent3 6 2 2" xfId="912"/>
    <cellStyle name="60 % - Accent3 6 3" xfId="913"/>
    <cellStyle name="60 % - Accent3 7" xfId="914"/>
    <cellStyle name="60 % - Accent3 7 2" xfId="915"/>
    <cellStyle name="60 % - Accent3 8" xfId="916"/>
    <cellStyle name="60 % - Accent3 8 2" xfId="917"/>
    <cellStyle name="60 % - Accent3 9" xfId="918"/>
    <cellStyle name="60 % - Accent3 9 2" xfId="919"/>
    <cellStyle name="60 % - Accent4 10" xfId="920"/>
    <cellStyle name="60 % - Accent4 10 2" xfId="921"/>
    <cellStyle name="60 % - Accent4 11" xfId="922"/>
    <cellStyle name="60 % - Accent4 11 2" xfId="923"/>
    <cellStyle name="60 % - Accent4 11 2 2" xfId="924"/>
    <cellStyle name="60 % - Accent4 11 3" xfId="925"/>
    <cellStyle name="60 % - Accent4 11 3 2" xfId="926"/>
    <cellStyle name="60 % - Accent4 11 4" xfId="927"/>
    <cellStyle name="60 % - Accent4 11 4 2" xfId="928"/>
    <cellStyle name="60 % - Accent4 11 5" xfId="929"/>
    <cellStyle name="60 % - Accent4 12" xfId="930"/>
    <cellStyle name="60 % - Accent4 12 2" xfId="931"/>
    <cellStyle name="60 % - Accent4 12 2 2" xfId="932"/>
    <cellStyle name="60 % - Accent4 12 3" xfId="933"/>
    <cellStyle name="60 % - Accent4 12 3 2" xfId="934"/>
    <cellStyle name="60 % - Accent4 12 4" xfId="935"/>
    <cellStyle name="60 % - Accent4 13" xfId="936"/>
    <cellStyle name="60 % - Accent4 13 2" xfId="937"/>
    <cellStyle name="60 % - Accent4 14" xfId="938"/>
    <cellStyle name="60 % - Accent4 14 2" xfId="939"/>
    <cellStyle name="60 % - Accent4 15" xfId="940"/>
    <cellStyle name="60 % - Accent4 15 2" xfId="941"/>
    <cellStyle name="60 % - Accent4 2" xfId="942"/>
    <cellStyle name="60 % - Accent4 2 2" xfId="943"/>
    <cellStyle name="60 % - Accent4 2 2 2" xfId="944"/>
    <cellStyle name="60 % - Accent4 2 3" xfId="945"/>
    <cellStyle name="60 % - Accent4 2 3 2" xfId="946"/>
    <cellStyle name="60 % - Accent4 2 4" xfId="947"/>
    <cellStyle name="60 % - Accent4 2 4 2" xfId="948"/>
    <cellStyle name="60 % - Accent4 2 5" xfId="949"/>
    <cellStyle name="60 % - Accent4 3" xfId="950"/>
    <cellStyle name="60 % - Accent4 3 2" xfId="951"/>
    <cellStyle name="60 % - Accent4 3 2 2" xfId="952"/>
    <cellStyle name="60 % - Accent4 3 3" xfId="953"/>
    <cellStyle name="60 % - Accent4 3 3 2" xfId="954"/>
    <cellStyle name="60 % - Accent4 3 4" xfId="955"/>
    <cellStyle name="60 % - Accent4 3 4 2" xfId="956"/>
    <cellStyle name="60 % - Accent4 3 5" xfId="957"/>
    <cellStyle name="60 % - Accent4 4" xfId="958"/>
    <cellStyle name="60 % - Accent4 4 2" xfId="959"/>
    <cellStyle name="60 % - Accent4 4 2 2" xfId="960"/>
    <cellStyle name="60 % - Accent4 4 3" xfId="961"/>
    <cellStyle name="60 % - Accent4 4 3 2" xfId="962"/>
    <cellStyle name="60 % - Accent4 4 4" xfId="963"/>
    <cellStyle name="60 % - Accent4 4 4 2" xfId="964"/>
    <cellStyle name="60 % - Accent4 4 5" xfId="965"/>
    <cellStyle name="60 % - Accent4 5" xfId="966"/>
    <cellStyle name="60 % - Accent4 5 2" xfId="967"/>
    <cellStyle name="60 % - Accent4 5 2 2" xfId="968"/>
    <cellStyle name="60 % - Accent4 5 3" xfId="969"/>
    <cellStyle name="60 % - Accent4 6" xfId="970"/>
    <cellStyle name="60 % - Accent4 6 2" xfId="971"/>
    <cellStyle name="60 % - Accent4 6 2 2" xfId="972"/>
    <cellStyle name="60 % - Accent4 6 3" xfId="973"/>
    <cellStyle name="60 % - Accent4 7" xfId="974"/>
    <cellStyle name="60 % - Accent4 7 2" xfId="975"/>
    <cellStyle name="60 % - Accent4 8" xfId="976"/>
    <cellStyle name="60 % - Accent4 8 2" xfId="977"/>
    <cellStyle name="60 % - Accent4 9" xfId="978"/>
    <cellStyle name="60 % - Accent4 9 2" xfId="979"/>
    <cellStyle name="60 % - Accent5 10" xfId="980"/>
    <cellStyle name="60 % - Accent5 10 2" xfId="981"/>
    <cellStyle name="60 % - Accent5 11" xfId="982"/>
    <cellStyle name="60 % - Accent5 11 2" xfId="983"/>
    <cellStyle name="60 % - Accent5 11 2 2" xfId="984"/>
    <cellStyle name="60 % - Accent5 11 3" xfId="985"/>
    <cellStyle name="60 % - Accent5 11 3 2" xfId="986"/>
    <cellStyle name="60 % - Accent5 11 4" xfId="987"/>
    <cellStyle name="60 % - Accent5 11 4 2" xfId="988"/>
    <cellStyle name="60 % - Accent5 11 5" xfId="989"/>
    <cellStyle name="60 % - Accent5 12" xfId="990"/>
    <cellStyle name="60 % - Accent5 12 2" xfId="991"/>
    <cellStyle name="60 % - Accent5 12 2 2" xfId="992"/>
    <cellStyle name="60 % - Accent5 12 3" xfId="993"/>
    <cellStyle name="60 % - Accent5 12 3 2" xfId="994"/>
    <cellStyle name="60 % - Accent5 12 4" xfId="995"/>
    <cellStyle name="60 % - Accent5 13" xfId="996"/>
    <cellStyle name="60 % - Accent5 13 2" xfId="997"/>
    <cellStyle name="60 % - Accent5 14" xfId="998"/>
    <cellStyle name="60 % - Accent5 14 2" xfId="999"/>
    <cellStyle name="60 % - Accent5 15" xfId="1000"/>
    <cellStyle name="60 % - Accent5 15 2" xfId="1001"/>
    <cellStyle name="60 % - Accent5 2" xfId="1002"/>
    <cellStyle name="60 % - Accent5 2 2" xfId="1003"/>
    <cellStyle name="60 % - Accent5 2 2 2" xfId="1004"/>
    <cellStyle name="60 % - Accent5 2 3" xfId="1005"/>
    <cellStyle name="60 % - Accent5 2 3 2" xfId="1006"/>
    <cellStyle name="60 % - Accent5 2 4" xfId="1007"/>
    <cellStyle name="60 % - Accent5 2 4 2" xfId="1008"/>
    <cellStyle name="60 % - Accent5 2 5" xfId="1009"/>
    <cellStyle name="60 % - Accent5 3" xfId="1010"/>
    <cellStyle name="60 % - Accent5 3 2" xfId="1011"/>
    <cellStyle name="60 % - Accent5 3 2 2" xfId="1012"/>
    <cellStyle name="60 % - Accent5 3 3" xfId="1013"/>
    <cellStyle name="60 % - Accent5 3 3 2" xfId="1014"/>
    <cellStyle name="60 % - Accent5 3 4" xfId="1015"/>
    <cellStyle name="60 % - Accent5 3 4 2" xfId="1016"/>
    <cellStyle name="60 % - Accent5 3 5" xfId="1017"/>
    <cellStyle name="60 % - Accent5 4" xfId="1018"/>
    <cellStyle name="60 % - Accent5 4 2" xfId="1019"/>
    <cellStyle name="60 % - Accent5 4 2 2" xfId="1020"/>
    <cellStyle name="60 % - Accent5 4 3" xfId="1021"/>
    <cellStyle name="60 % - Accent5 4 3 2" xfId="1022"/>
    <cellStyle name="60 % - Accent5 4 4" xfId="1023"/>
    <cellStyle name="60 % - Accent5 4 4 2" xfId="1024"/>
    <cellStyle name="60 % - Accent5 4 5" xfId="1025"/>
    <cellStyle name="60 % - Accent5 5" xfId="1026"/>
    <cellStyle name="60 % - Accent5 5 2" xfId="1027"/>
    <cellStyle name="60 % - Accent5 5 2 2" xfId="1028"/>
    <cellStyle name="60 % - Accent5 5 3" xfId="1029"/>
    <cellStyle name="60 % - Accent5 6" xfId="1030"/>
    <cellStyle name="60 % - Accent5 6 2" xfId="1031"/>
    <cellStyle name="60 % - Accent5 6 2 2" xfId="1032"/>
    <cellStyle name="60 % - Accent5 6 3" xfId="1033"/>
    <cellStyle name="60 % - Accent5 7" xfId="1034"/>
    <cellStyle name="60 % - Accent5 7 2" xfId="1035"/>
    <cellStyle name="60 % - Accent5 8" xfId="1036"/>
    <cellStyle name="60 % - Accent5 8 2" xfId="1037"/>
    <cellStyle name="60 % - Accent5 9" xfId="1038"/>
    <cellStyle name="60 % - Accent5 9 2" xfId="1039"/>
    <cellStyle name="60 % - Accent6 10" xfId="1040"/>
    <cellStyle name="60 % - Accent6 10 2" xfId="1041"/>
    <cellStyle name="60 % - Accent6 11" xfId="1042"/>
    <cellStyle name="60 % - Accent6 11 2" xfId="1043"/>
    <cellStyle name="60 % - Accent6 11 2 2" xfId="1044"/>
    <cellStyle name="60 % - Accent6 11 3" xfId="1045"/>
    <cellStyle name="60 % - Accent6 11 3 2" xfId="1046"/>
    <cellStyle name="60 % - Accent6 11 4" xfId="1047"/>
    <cellStyle name="60 % - Accent6 11 4 2" xfId="1048"/>
    <cellStyle name="60 % - Accent6 11 5" xfId="1049"/>
    <cellStyle name="60 % - Accent6 12" xfId="1050"/>
    <cellStyle name="60 % - Accent6 12 2" xfId="1051"/>
    <cellStyle name="60 % - Accent6 12 2 2" xfId="1052"/>
    <cellStyle name="60 % - Accent6 12 3" xfId="1053"/>
    <cellStyle name="60 % - Accent6 12 3 2" xfId="1054"/>
    <cellStyle name="60 % - Accent6 12 4" xfId="1055"/>
    <cellStyle name="60 % - Accent6 13" xfId="1056"/>
    <cellStyle name="60 % - Accent6 13 2" xfId="1057"/>
    <cellStyle name="60 % - Accent6 14" xfId="1058"/>
    <cellStyle name="60 % - Accent6 14 2" xfId="1059"/>
    <cellStyle name="60 % - Accent6 15" xfId="1060"/>
    <cellStyle name="60 % - Accent6 15 2" xfId="1061"/>
    <cellStyle name="60 % - Accent6 2" xfId="1062"/>
    <cellStyle name="60 % - Accent6 2 2" xfId="1063"/>
    <cellStyle name="60 % - Accent6 2 2 2" xfId="1064"/>
    <cellStyle name="60 % - Accent6 2 3" xfId="1065"/>
    <cellStyle name="60 % - Accent6 2 3 2" xfId="1066"/>
    <cellStyle name="60 % - Accent6 2 4" xfId="1067"/>
    <cellStyle name="60 % - Accent6 2 4 2" xfId="1068"/>
    <cellStyle name="60 % - Accent6 2 5" xfId="1069"/>
    <cellStyle name="60 % - Accent6 3" xfId="1070"/>
    <cellStyle name="60 % - Accent6 3 2" xfId="1071"/>
    <cellStyle name="60 % - Accent6 3 2 2" xfId="1072"/>
    <cellStyle name="60 % - Accent6 3 3" xfId="1073"/>
    <cellStyle name="60 % - Accent6 3 3 2" xfId="1074"/>
    <cellStyle name="60 % - Accent6 3 4" xfId="1075"/>
    <cellStyle name="60 % - Accent6 3 4 2" xfId="1076"/>
    <cellStyle name="60 % - Accent6 3 5" xfId="1077"/>
    <cellStyle name="60 % - Accent6 4" xfId="1078"/>
    <cellStyle name="60 % - Accent6 4 2" xfId="1079"/>
    <cellStyle name="60 % - Accent6 4 2 2" xfId="1080"/>
    <cellStyle name="60 % - Accent6 4 3" xfId="1081"/>
    <cellStyle name="60 % - Accent6 4 3 2" xfId="1082"/>
    <cellStyle name="60 % - Accent6 4 4" xfId="1083"/>
    <cellStyle name="60 % - Accent6 4 4 2" xfId="1084"/>
    <cellStyle name="60 % - Accent6 4 5" xfId="1085"/>
    <cellStyle name="60 % - Accent6 5" xfId="1086"/>
    <cellStyle name="60 % - Accent6 5 2" xfId="1087"/>
    <cellStyle name="60 % - Accent6 5 2 2" xfId="1088"/>
    <cellStyle name="60 % - Accent6 5 3" xfId="1089"/>
    <cellStyle name="60 % - Accent6 6" xfId="1090"/>
    <cellStyle name="60 % - Accent6 6 2" xfId="1091"/>
    <cellStyle name="60 % - Accent6 7" xfId="1092"/>
    <cellStyle name="60 % - Accent6 7 2" xfId="1093"/>
    <cellStyle name="60 % - Accent6 8" xfId="1094"/>
    <cellStyle name="60 % - Accent6 8 2" xfId="1095"/>
    <cellStyle name="60 % - Accent6 9" xfId="1096"/>
    <cellStyle name="60 % - Accent6 9 2" xfId="1097"/>
    <cellStyle name="AA" xfId="1100"/>
    <cellStyle name="AA 2" xfId="1101"/>
    <cellStyle name="Accent1 - 20 %" xfId="1102"/>
    <cellStyle name="Accent1 - 20 % 2" xfId="1103"/>
    <cellStyle name="Accent1 - 40 %" xfId="1104"/>
    <cellStyle name="Accent1 - 40 % 2" xfId="1105"/>
    <cellStyle name="Accent1 - 60 %" xfId="1106"/>
    <cellStyle name="Accent1 - 60 % 2" xfId="1107"/>
    <cellStyle name="Accent1 10" xfId="1108"/>
    <cellStyle name="Accent1 10 2" xfId="1109"/>
    <cellStyle name="Accent1 11" xfId="1110"/>
    <cellStyle name="Accent1 11 2" xfId="1111"/>
    <cellStyle name="Accent1 11 2 2" xfId="1112"/>
    <cellStyle name="Accent1 11 3" xfId="1113"/>
    <cellStyle name="Accent1 11 3 2" xfId="1114"/>
    <cellStyle name="Accent1 11 4" xfId="1115"/>
    <cellStyle name="Accent1 11 4 2" xfId="1116"/>
    <cellStyle name="Accent1 11 5" xfId="1117"/>
    <cellStyle name="Accent1 11 5 2" xfId="1118"/>
    <cellStyle name="Accent1 11 6" xfId="1119"/>
    <cellStyle name="Accent1 12" xfId="1120"/>
    <cellStyle name="Accent1 12 2" xfId="1121"/>
    <cellStyle name="Accent1 12 2 2" xfId="1122"/>
    <cellStyle name="Accent1 12 3" xfId="1123"/>
    <cellStyle name="Accent1 12 3 2" xfId="1124"/>
    <cellStyle name="Accent1 12 4" xfId="1125"/>
    <cellStyle name="Accent1 12 4 2" xfId="1126"/>
    <cellStyle name="Accent1 12 5" xfId="1127"/>
    <cellStyle name="Accent1 13" xfId="1128"/>
    <cellStyle name="Accent1 13 2" xfId="1129"/>
    <cellStyle name="Accent1 13 2 2" xfId="1130"/>
    <cellStyle name="Accent1 13 3" xfId="1131"/>
    <cellStyle name="Accent1 14" xfId="1132"/>
    <cellStyle name="Accent1 14 2" xfId="1133"/>
    <cellStyle name="Accent1 15" xfId="1134"/>
    <cellStyle name="Accent1 15 2" xfId="1135"/>
    <cellStyle name="Accent1 16" xfId="1136"/>
    <cellStyle name="Accent1 16 2" xfId="1137"/>
    <cellStyle name="Accent1 17" xfId="1138"/>
    <cellStyle name="Accent1 17 2" xfId="1139"/>
    <cellStyle name="Accent1 18" xfId="1140"/>
    <cellStyle name="Accent1 18 2" xfId="1141"/>
    <cellStyle name="Accent1 19" xfId="1142"/>
    <cellStyle name="Accent1 19 2" xfId="1143"/>
    <cellStyle name="Accent1 2" xfId="1144"/>
    <cellStyle name="Accent1 2 2" xfId="1145"/>
    <cellStyle name="Accent1 2 2 2" xfId="1146"/>
    <cellStyle name="Accent1 2 3" xfId="1147"/>
    <cellStyle name="Accent1 2 3 2" xfId="1148"/>
    <cellStyle name="Accent1 2 4" xfId="1149"/>
    <cellStyle name="Accent1 2 4 2" xfId="1150"/>
    <cellStyle name="Accent1 2 5" xfId="1151"/>
    <cellStyle name="Accent1 20" xfId="1152"/>
    <cellStyle name="Accent1 20 2" xfId="1153"/>
    <cellStyle name="Accent1 21" xfId="1154"/>
    <cellStyle name="Accent1 21 2" xfId="1155"/>
    <cellStyle name="Accent1 22" xfId="1156"/>
    <cellStyle name="Accent1 22 2" xfId="1157"/>
    <cellStyle name="Accent1 3" xfId="1158"/>
    <cellStyle name="Accent1 3 2" xfId="1159"/>
    <cellStyle name="Accent1 3 2 2" xfId="1160"/>
    <cellStyle name="Accent1 3 3" xfId="1161"/>
    <cellStyle name="Accent1 3 3 2" xfId="1162"/>
    <cellStyle name="Accent1 3 4" xfId="1163"/>
    <cellStyle name="Accent1 3 4 2" xfId="1164"/>
    <cellStyle name="Accent1 3 5" xfId="1165"/>
    <cellStyle name="Accent1 4" xfId="1166"/>
    <cellStyle name="Accent1 4 2" xfId="1167"/>
    <cellStyle name="Accent1 4 2 2" xfId="1168"/>
    <cellStyle name="Accent1 4 3" xfId="1169"/>
    <cellStyle name="Accent1 4 3 2" xfId="1170"/>
    <cellStyle name="Accent1 4 4" xfId="1171"/>
    <cellStyle name="Accent1 4 4 2" xfId="1172"/>
    <cellStyle name="Accent1 4 5" xfId="1173"/>
    <cellStyle name="Accent1 5" xfId="1174"/>
    <cellStyle name="Accent1 5 2" xfId="1175"/>
    <cellStyle name="Accent1 5 2 2" xfId="1176"/>
    <cellStyle name="Accent1 5 3" xfId="1177"/>
    <cellStyle name="Accent1 6" xfId="1178"/>
    <cellStyle name="Accent1 6 2" xfId="1179"/>
    <cellStyle name="Accent1 6 2 2" xfId="1180"/>
    <cellStyle name="Accent1 6 3" xfId="1181"/>
    <cellStyle name="Accent1 7" xfId="1182"/>
    <cellStyle name="Accent1 7 2" xfId="1183"/>
    <cellStyle name="Accent1 7 2 2" xfId="1184"/>
    <cellStyle name="Accent1 7 3" xfId="1185"/>
    <cellStyle name="Accent1 8" xfId="1186"/>
    <cellStyle name="Accent1 8 2" xfId="1187"/>
    <cellStyle name="Accent1 8 2 2" xfId="1188"/>
    <cellStyle name="Accent1 8 3" xfId="1189"/>
    <cellStyle name="Accent1 9" xfId="1190"/>
    <cellStyle name="Accent1 9 2" xfId="1191"/>
    <cellStyle name="Accent2 - 20 %" xfId="1192"/>
    <cellStyle name="Accent2 - 20 % 2" xfId="1193"/>
    <cellStyle name="Accent2 - 40 %" xfId="1194"/>
    <cellStyle name="Accent2 - 40 % 2" xfId="1195"/>
    <cellStyle name="Accent2 - 60 %" xfId="1196"/>
    <cellStyle name="Accent2 - 60 % 2" xfId="1197"/>
    <cellStyle name="Accent2 10" xfId="1198"/>
    <cellStyle name="Accent2 10 2" xfId="1199"/>
    <cellStyle name="Accent2 11" xfId="1200"/>
    <cellStyle name="Accent2 11 2" xfId="1201"/>
    <cellStyle name="Accent2 11 2 2" xfId="1202"/>
    <cellStyle name="Accent2 11 3" xfId="1203"/>
    <cellStyle name="Accent2 11 3 2" xfId="1204"/>
    <cellStyle name="Accent2 11 4" xfId="1205"/>
    <cellStyle name="Accent2 11 4 2" xfId="1206"/>
    <cellStyle name="Accent2 11 5" xfId="1207"/>
    <cellStyle name="Accent2 11 5 2" xfId="1208"/>
    <cellStyle name="Accent2 11 6" xfId="1209"/>
    <cellStyle name="Accent2 12" xfId="1210"/>
    <cellStyle name="Accent2 12 2" xfId="1211"/>
    <cellStyle name="Accent2 12 2 2" xfId="1212"/>
    <cellStyle name="Accent2 12 3" xfId="1213"/>
    <cellStyle name="Accent2 12 3 2" xfId="1214"/>
    <cellStyle name="Accent2 12 4" xfId="1215"/>
    <cellStyle name="Accent2 12 4 2" xfId="1216"/>
    <cellStyle name="Accent2 12 5" xfId="1217"/>
    <cellStyle name="Accent2 13" xfId="1218"/>
    <cellStyle name="Accent2 13 2" xfId="1219"/>
    <cellStyle name="Accent2 13 2 2" xfId="1220"/>
    <cellStyle name="Accent2 13 3" xfId="1221"/>
    <cellStyle name="Accent2 14" xfId="1222"/>
    <cellStyle name="Accent2 14 2" xfId="1223"/>
    <cellStyle name="Accent2 15" xfId="1224"/>
    <cellStyle name="Accent2 15 2" xfId="1225"/>
    <cellStyle name="Accent2 16" xfId="1226"/>
    <cellStyle name="Accent2 16 2" xfId="1227"/>
    <cellStyle name="Accent2 17" xfId="1228"/>
    <cellStyle name="Accent2 17 2" xfId="1229"/>
    <cellStyle name="Accent2 18" xfId="1230"/>
    <cellStyle name="Accent2 18 2" xfId="1231"/>
    <cellStyle name="Accent2 19" xfId="1232"/>
    <cellStyle name="Accent2 19 2" xfId="1233"/>
    <cellStyle name="Accent2 2" xfId="1234"/>
    <cellStyle name="Accent2 2 2" xfId="1235"/>
    <cellStyle name="Accent2 2 2 2" xfId="1236"/>
    <cellStyle name="Accent2 2 3" xfId="1237"/>
    <cellStyle name="Accent2 2 3 2" xfId="1238"/>
    <cellStyle name="Accent2 2 4" xfId="1239"/>
    <cellStyle name="Accent2 2 4 2" xfId="1240"/>
    <cellStyle name="Accent2 2 5" xfId="1241"/>
    <cellStyle name="Accent2 20" xfId="1242"/>
    <cellStyle name="Accent2 20 2" xfId="1243"/>
    <cellStyle name="Accent2 21" xfId="1244"/>
    <cellStyle name="Accent2 21 2" xfId="1245"/>
    <cellStyle name="Accent2 22" xfId="1246"/>
    <cellStyle name="Accent2 22 2" xfId="1247"/>
    <cellStyle name="Accent2 3" xfId="1248"/>
    <cellStyle name="Accent2 3 2" xfId="1249"/>
    <cellStyle name="Accent2 3 2 2" xfId="1250"/>
    <cellStyle name="Accent2 3 3" xfId="1251"/>
    <cellStyle name="Accent2 3 3 2" xfId="1252"/>
    <cellStyle name="Accent2 3 4" xfId="1253"/>
    <cellStyle name="Accent2 3 4 2" xfId="1254"/>
    <cellStyle name="Accent2 3 5" xfId="1255"/>
    <cellStyle name="Accent2 4" xfId="1256"/>
    <cellStyle name="Accent2 4 2" xfId="1257"/>
    <cellStyle name="Accent2 4 2 2" xfId="1258"/>
    <cellStyle name="Accent2 4 3" xfId="1259"/>
    <cellStyle name="Accent2 4 3 2" xfId="1260"/>
    <cellStyle name="Accent2 4 4" xfId="1261"/>
    <cellStyle name="Accent2 4 4 2" xfId="1262"/>
    <cellStyle name="Accent2 4 5" xfId="1263"/>
    <cellStyle name="Accent2 5" xfId="1264"/>
    <cellStyle name="Accent2 5 2" xfId="1265"/>
    <cellStyle name="Accent2 5 2 2" xfId="1266"/>
    <cellStyle name="Accent2 5 3" xfId="1267"/>
    <cellStyle name="Accent2 6" xfId="1268"/>
    <cellStyle name="Accent2 6 2" xfId="1269"/>
    <cellStyle name="Accent2 6 2 2" xfId="1270"/>
    <cellStyle name="Accent2 6 3" xfId="1271"/>
    <cellStyle name="Accent2 7" xfId="1272"/>
    <cellStyle name="Accent2 7 2" xfId="1273"/>
    <cellStyle name="Accent2 7 2 2" xfId="1274"/>
    <cellStyle name="Accent2 7 3" xfId="1275"/>
    <cellStyle name="Accent2 8" xfId="1276"/>
    <cellStyle name="Accent2 8 2" xfId="1277"/>
    <cellStyle name="Accent2 8 2 2" xfId="1278"/>
    <cellStyle name="Accent2 8 3" xfId="1279"/>
    <cellStyle name="Accent2 9" xfId="1280"/>
    <cellStyle name="Accent2 9 2" xfId="1281"/>
    <cellStyle name="Accent3 - 20 %" xfId="1282"/>
    <cellStyle name="Accent3 - 20 % 2" xfId="1283"/>
    <cellStyle name="Accent3 - 40 %" xfId="1284"/>
    <cellStyle name="Accent3 - 40 % 2" xfId="1285"/>
    <cellStyle name="Accent3 - 60 %" xfId="1286"/>
    <cellStyle name="Accent3 - 60 % 2" xfId="1287"/>
    <cellStyle name="Accent3 10" xfId="1288"/>
    <cellStyle name="Accent3 10 2" xfId="1289"/>
    <cellStyle name="Accent3 11" xfId="1290"/>
    <cellStyle name="Accent3 11 2" xfId="1291"/>
    <cellStyle name="Accent3 11 2 2" xfId="1292"/>
    <cellStyle name="Accent3 11 3" xfId="1293"/>
    <cellStyle name="Accent3 11 3 2" xfId="1294"/>
    <cellStyle name="Accent3 11 4" xfId="1295"/>
    <cellStyle name="Accent3 11 4 2" xfId="1296"/>
    <cellStyle name="Accent3 11 5" xfId="1297"/>
    <cellStyle name="Accent3 11 5 2" xfId="1298"/>
    <cellStyle name="Accent3 11 6" xfId="1299"/>
    <cellStyle name="Accent3 12" xfId="1300"/>
    <cellStyle name="Accent3 12 2" xfId="1301"/>
    <cellStyle name="Accent3 12 2 2" xfId="1302"/>
    <cellStyle name="Accent3 12 3" xfId="1303"/>
    <cellStyle name="Accent3 12 3 2" xfId="1304"/>
    <cellStyle name="Accent3 12 4" xfId="1305"/>
    <cellStyle name="Accent3 12 4 2" xfId="1306"/>
    <cellStyle name="Accent3 12 5" xfId="1307"/>
    <cellStyle name="Accent3 13" xfId="1308"/>
    <cellStyle name="Accent3 13 2" xfId="1309"/>
    <cellStyle name="Accent3 13 2 2" xfId="1310"/>
    <cellStyle name="Accent3 13 3" xfId="1311"/>
    <cellStyle name="Accent3 14" xfId="1312"/>
    <cellStyle name="Accent3 14 2" xfId="1313"/>
    <cellStyle name="Accent3 15" xfId="1314"/>
    <cellStyle name="Accent3 15 2" xfId="1315"/>
    <cellStyle name="Accent3 16" xfId="1316"/>
    <cellStyle name="Accent3 16 2" xfId="1317"/>
    <cellStyle name="Accent3 17" xfId="1318"/>
    <cellStyle name="Accent3 17 2" xfId="1319"/>
    <cellStyle name="Accent3 18" xfId="1320"/>
    <cellStyle name="Accent3 18 2" xfId="1321"/>
    <cellStyle name="Accent3 19" xfId="1322"/>
    <cellStyle name="Accent3 19 2" xfId="1323"/>
    <cellStyle name="Accent3 2" xfId="1324"/>
    <cellStyle name="Accent3 2 2" xfId="1325"/>
    <cellStyle name="Accent3 2 2 2" xfId="1326"/>
    <cellStyle name="Accent3 2 3" xfId="1327"/>
    <cellStyle name="Accent3 2 3 2" xfId="1328"/>
    <cellStyle name="Accent3 2 4" xfId="1329"/>
    <cellStyle name="Accent3 2 4 2" xfId="1330"/>
    <cellStyle name="Accent3 2 5" xfId="1331"/>
    <cellStyle name="Accent3 20" xfId="1332"/>
    <cellStyle name="Accent3 20 2" xfId="1333"/>
    <cellStyle name="Accent3 21" xfId="1334"/>
    <cellStyle name="Accent3 21 2" xfId="1335"/>
    <cellStyle name="Accent3 22" xfId="1336"/>
    <cellStyle name="Accent3 22 2" xfId="1337"/>
    <cellStyle name="Accent3 3" xfId="1338"/>
    <cellStyle name="Accent3 3 2" xfId="1339"/>
    <cellStyle name="Accent3 3 2 2" xfId="1340"/>
    <cellStyle name="Accent3 3 3" xfId="1341"/>
    <cellStyle name="Accent3 3 3 2" xfId="1342"/>
    <cellStyle name="Accent3 3 4" xfId="1343"/>
    <cellStyle name="Accent3 3 4 2" xfId="1344"/>
    <cellStyle name="Accent3 3 5" xfId="1345"/>
    <cellStyle name="Accent3 4" xfId="1346"/>
    <cellStyle name="Accent3 4 2" xfId="1347"/>
    <cellStyle name="Accent3 4 2 2" xfId="1348"/>
    <cellStyle name="Accent3 4 3" xfId="1349"/>
    <cellStyle name="Accent3 4 3 2" xfId="1350"/>
    <cellStyle name="Accent3 4 4" xfId="1351"/>
    <cellStyle name="Accent3 4 4 2" xfId="1352"/>
    <cellStyle name="Accent3 4 5" xfId="1353"/>
    <cellStyle name="Accent3 5" xfId="1354"/>
    <cellStyle name="Accent3 5 2" xfId="1355"/>
    <cellStyle name="Accent3 5 2 2" xfId="1356"/>
    <cellStyle name="Accent3 5 3" xfId="1357"/>
    <cellStyle name="Accent3 6" xfId="1358"/>
    <cellStyle name="Accent3 6 2" xfId="1359"/>
    <cellStyle name="Accent3 6 2 2" xfId="1360"/>
    <cellStyle name="Accent3 6 3" xfId="1361"/>
    <cellStyle name="Accent3 7" xfId="1362"/>
    <cellStyle name="Accent3 7 2" xfId="1363"/>
    <cellStyle name="Accent3 7 2 2" xfId="1364"/>
    <cellStyle name="Accent3 7 3" xfId="1365"/>
    <cellStyle name="Accent3 8" xfId="1366"/>
    <cellStyle name="Accent3 8 2" xfId="1367"/>
    <cellStyle name="Accent3 8 2 2" xfId="1368"/>
    <cellStyle name="Accent3 8 3" xfId="1369"/>
    <cellStyle name="Accent3 9" xfId="1370"/>
    <cellStyle name="Accent3 9 2" xfId="1371"/>
    <cellStyle name="Accent4 - 20 %" xfId="1372"/>
    <cellStyle name="Accent4 - 20 % 2" xfId="1373"/>
    <cellStyle name="Accent4 - 40 %" xfId="1374"/>
    <cellStyle name="Accent4 - 40 % 2" xfId="1375"/>
    <cellStyle name="Accent4 - 60 %" xfId="1376"/>
    <cellStyle name="Accent4 - 60 % 2" xfId="1377"/>
    <cellStyle name="Accent4 10" xfId="1378"/>
    <cellStyle name="Accent4 10 2" xfId="1379"/>
    <cellStyle name="Accent4 11" xfId="1380"/>
    <cellStyle name="Accent4 11 2" xfId="1381"/>
    <cellStyle name="Accent4 11 2 2" xfId="1382"/>
    <cellStyle name="Accent4 11 3" xfId="1383"/>
    <cellStyle name="Accent4 11 3 2" xfId="1384"/>
    <cellStyle name="Accent4 11 4" xfId="1385"/>
    <cellStyle name="Accent4 11 4 2" xfId="1386"/>
    <cellStyle name="Accent4 11 5" xfId="1387"/>
    <cellStyle name="Accent4 12" xfId="1388"/>
    <cellStyle name="Accent4 12 2" xfId="1389"/>
    <cellStyle name="Accent4 12 2 2" xfId="1390"/>
    <cellStyle name="Accent4 12 3" xfId="1391"/>
    <cellStyle name="Accent4 12 3 2" xfId="1392"/>
    <cellStyle name="Accent4 12 4" xfId="1393"/>
    <cellStyle name="Accent4 13" xfId="1394"/>
    <cellStyle name="Accent4 13 2" xfId="1395"/>
    <cellStyle name="Accent4 14" xfId="1396"/>
    <cellStyle name="Accent4 14 2" xfId="1397"/>
    <cellStyle name="Accent4 15" xfId="1398"/>
    <cellStyle name="Accent4 15 2" xfId="1399"/>
    <cellStyle name="Accent4 16" xfId="1400"/>
    <cellStyle name="Accent4 16 2" xfId="1401"/>
    <cellStyle name="Accent4 17" xfId="1402"/>
    <cellStyle name="Accent4 17 2" xfId="1403"/>
    <cellStyle name="Accent4 18" xfId="1404"/>
    <cellStyle name="Accent4 18 2" xfId="1405"/>
    <cellStyle name="Accent4 19" xfId="1406"/>
    <cellStyle name="Accent4 19 2" xfId="1407"/>
    <cellStyle name="Accent4 2" xfId="1408"/>
    <cellStyle name="Accent4 2 2" xfId="1409"/>
    <cellStyle name="Accent4 2 2 2" xfId="1410"/>
    <cellStyle name="Accent4 2 3" xfId="1411"/>
    <cellStyle name="Accent4 2 3 2" xfId="1412"/>
    <cellStyle name="Accent4 2 4" xfId="1413"/>
    <cellStyle name="Accent4 2 4 2" xfId="1414"/>
    <cellStyle name="Accent4 2 5" xfId="1415"/>
    <cellStyle name="Accent4 20" xfId="1416"/>
    <cellStyle name="Accent4 20 2" xfId="1417"/>
    <cellStyle name="Accent4 21" xfId="1418"/>
    <cellStyle name="Accent4 21 2" xfId="1419"/>
    <cellStyle name="Accent4 22" xfId="1420"/>
    <cellStyle name="Accent4 22 2" xfId="1421"/>
    <cellStyle name="Accent4 3" xfId="1422"/>
    <cellStyle name="Accent4 3 2" xfId="1423"/>
    <cellStyle name="Accent4 3 2 2" xfId="1424"/>
    <cellStyle name="Accent4 3 3" xfId="1425"/>
    <cellStyle name="Accent4 3 3 2" xfId="1426"/>
    <cellStyle name="Accent4 3 4" xfId="1427"/>
    <cellStyle name="Accent4 3 4 2" xfId="1428"/>
    <cellStyle name="Accent4 3 5" xfId="1429"/>
    <cellStyle name="Accent4 4" xfId="1430"/>
    <cellStyle name="Accent4 4 2" xfId="1431"/>
    <cellStyle name="Accent4 4 2 2" xfId="1432"/>
    <cellStyle name="Accent4 4 3" xfId="1433"/>
    <cellStyle name="Accent4 4 3 2" xfId="1434"/>
    <cellStyle name="Accent4 4 4" xfId="1435"/>
    <cellStyle name="Accent4 4 4 2" xfId="1436"/>
    <cellStyle name="Accent4 4 5" xfId="1437"/>
    <cellStyle name="Accent4 5" xfId="1438"/>
    <cellStyle name="Accent4 5 2" xfId="1439"/>
    <cellStyle name="Accent4 5 2 2" xfId="1440"/>
    <cellStyle name="Accent4 5 3" xfId="1441"/>
    <cellStyle name="Accent4 6" xfId="1442"/>
    <cellStyle name="Accent4 6 2" xfId="1443"/>
    <cellStyle name="Accent4 7" xfId="1444"/>
    <cellStyle name="Accent4 7 2" xfId="1445"/>
    <cellStyle name="Accent4 8" xfId="1446"/>
    <cellStyle name="Accent4 8 2" xfId="1447"/>
    <cellStyle name="Accent4 9" xfId="1448"/>
    <cellStyle name="Accent4 9 2" xfId="1449"/>
    <cellStyle name="Accent5 - 20 %" xfId="1450"/>
    <cellStyle name="Accent5 - 20 % 2" xfId="1451"/>
    <cellStyle name="Accent5 - 40 %" xfId="1452"/>
    <cellStyle name="Accent5 - 40 % 2" xfId="1453"/>
    <cellStyle name="Accent5 - 60 %" xfId="1454"/>
    <cellStyle name="Accent5 - 60 % 2" xfId="1455"/>
    <cellStyle name="Accent5 10" xfId="1456"/>
    <cellStyle name="Accent5 10 2" xfId="1457"/>
    <cellStyle name="Accent5 11" xfId="1458"/>
    <cellStyle name="Accent5 11 2" xfId="1459"/>
    <cellStyle name="Accent5 11 2 2" xfId="1460"/>
    <cellStyle name="Accent5 11 3" xfId="1461"/>
    <cellStyle name="Accent5 12" xfId="1462"/>
    <cellStyle name="Accent5 12 2" xfId="1463"/>
    <cellStyle name="Accent5 13" xfId="1464"/>
    <cellStyle name="Accent5 13 2" xfId="1465"/>
    <cellStyle name="Accent5 14" xfId="1466"/>
    <cellStyle name="Accent5 14 2" xfId="1467"/>
    <cellStyle name="Accent5 15" xfId="1468"/>
    <cellStyle name="Accent5 15 2" xfId="1469"/>
    <cellStyle name="Accent5 16" xfId="1470"/>
    <cellStyle name="Accent5 16 2" xfId="1471"/>
    <cellStyle name="Accent5 17" xfId="1472"/>
    <cellStyle name="Accent5 17 2" xfId="1473"/>
    <cellStyle name="Accent5 18" xfId="1474"/>
    <cellStyle name="Accent5 18 2" xfId="1475"/>
    <cellStyle name="Accent5 19" xfId="1476"/>
    <cellStyle name="Accent5 19 2" xfId="1477"/>
    <cellStyle name="Accent5 2" xfId="1478"/>
    <cellStyle name="Accent5 2 2" xfId="1479"/>
    <cellStyle name="Accent5 2 2 2" xfId="1480"/>
    <cellStyle name="Accent5 2 3" xfId="1481"/>
    <cellStyle name="Accent5 2 3 2" xfId="1482"/>
    <cellStyle name="Accent5 2 4" xfId="1483"/>
    <cellStyle name="Accent5 2 4 2" xfId="1484"/>
    <cellStyle name="Accent5 2 5" xfId="1485"/>
    <cellStyle name="Accent5 20" xfId="1486"/>
    <cellStyle name="Accent5 20 2" xfId="1487"/>
    <cellStyle name="Accent5 21" xfId="1488"/>
    <cellStyle name="Accent5 21 2" xfId="1489"/>
    <cellStyle name="Accent5 3" xfId="1490"/>
    <cellStyle name="Accent5 3 2" xfId="1491"/>
    <cellStyle name="Accent5 3 2 2" xfId="1492"/>
    <cellStyle name="Accent5 3 3" xfId="1493"/>
    <cellStyle name="Accent5 3 3 2" xfId="1494"/>
    <cellStyle name="Accent5 3 4" xfId="1495"/>
    <cellStyle name="Accent5 3 4 2" xfId="1496"/>
    <cellStyle name="Accent5 3 5" xfId="1497"/>
    <cellStyle name="Accent5 4" xfId="1498"/>
    <cellStyle name="Accent5 4 2" xfId="1499"/>
    <cellStyle name="Accent5 4 2 2" xfId="1500"/>
    <cellStyle name="Accent5 4 3" xfId="1501"/>
    <cellStyle name="Accent5 4 3 2" xfId="1502"/>
    <cellStyle name="Accent5 4 4" xfId="1503"/>
    <cellStyle name="Accent5 4 4 2" xfId="1504"/>
    <cellStyle name="Accent5 4 5" xfId="1505"/>
    <cellStyle name="Accent5 5" xfId="1506"/>
    <cellStyle name="Accent5 5 2" xfId="1507"/>
    <cellStyle name="Accent5 5 2 2" xfId="1508"/>
    <cellStyle name="Accent5 5 3" xfId="1509"/>
    <cellStyle name="Accent5 6" xfId="1510"/>
    <cellStyle name="Accent5 6 2" xfId="1511"/>
    <cellStyle name="Accent5 7" xfId="1512"/>
    <cellStyle name="Accent5 7 2" xfId="1513"/>
    <cellStyle name="Accent5 8" xfId="1514"/>
    <cellStyle name="Accent5 8 2" xfId="1515"/>
    <cellStyle name="Accent5 9" xfId="1516"/>
    <cellStyle name="Accent5 9 2" xfId="1517"/>
    <cellStyle name="Accent6 - 20 %" xfId="1518"/>
    <cellStyle name="Accent6 - 20 % 2" xfId="1519"/>
    <cellStyle name="Accent6 - 40 %" xfId="1520"/>
    <cellStyle name="Accent6 - 40 % 2" xfId="1521"/>
    <cellStyle name="Accent6 - 60 %" xfId="1522"/>
    <cellStyle name="Accent6 - 60 % 2" xfId="1523"/>
    <cellStyle name="Accent6 10" xfId="1524"/>
    <cellStyle name="Accent6 10 2" xfId="1525"/>
    <cellStyle name="Accent6 11" xfId="1526"/>
    <cellStyle name="Accent6 11 2" xfId="1527"/>
    <cellStyle name="Accent6 11 2 2" xfId="1528"/>
    <cellStyle name="Accent6 11 3" xfId="1529"/>
    <cellStyle name="Accent6 11 3 2" xfId="1530"/>
    <cellStyle name="Accent6 11 4" xfId="1531"/>
    <cellStyle name="Accent6 11 4 2" xfId="1532"/>
    <cellStyle name="Accent6 11 5" xfId="1533"/>
    <cellStyle name="Accent6 11 5 2" xfId="1534"/>
    <cellStyle name="Accent6 11 6" xfId="1535"/>
    <cellStyle name="Accent6 12" xfId="1536"/>
    <cellStyle name="Accent6 12 2" xfId="1537"/>
    <cellStyle name="Accent6 12 2 2" xfId="1538"/>
    <cellStyle name="Accent6 12 3" xfId="1539"/>
    <cellStyle name="Accent6 12 3 2" xfId="1540"/>
    <cellStyle name="Accent6 12 4" xfId="1541"/>
    <cellStyle name="Accent6 12 4 2" xfId="1542"/>
    <cellStyle name="Accent6 12 5" xfId="1543"/>
    <cellStyle name="Accent6 13" xfId="1544"/>
    <cellStyle name="Accent6 13 2" xfId="1545"/>
    <cellStyle name="Accent6 13 2 2" xfId="1546"/>
    <cellStyle name="Accent6 13 3" xfId="1547"/>
    <cellStyle name="Accent6 14" xfId="1548"/>
    <cellStyle name="Accent6 14 2" xfId="1549"/>
    <cellStyle name="Accent6 15" xfId="1550"/>
    <cellStyle name="Accent6 15 2" xfId="1551"/>
    <cellStyle name="Accent6 16" xfId="1552"/>
    <cellStyle name="Accent6 16 2" xfId="1553"/>
    <cellStyle name="Accent6 17" xfId="1554"/>
    <cellStyle name="Accent6 17 2" xfId="1555"/>
    <cellStyle name="Accent6 18" xfId="1556"/>
    <cellStyle name="Accent6 18 2" xfId="1557"/>
    <cellStyle name="Accent6 19" xfId="1558"/>
    <cellStyle name="Accent6 19 2" xfId="1559"/>
    <cellStyle name="Accent6 2" xfId="1560"/>
    <cellStyle name="Accent6 2 2" xfId="1561"/>
    <cellStyle name="Accent6 2 2 2" xfId="1562"/>
    <cellStyle name="Accent6 2 3" xfId="1563"/>
    <cellStyle name="Accent6 2 3 2" xfId="1564"/>
    <cellStyle name="Accent6 2 4" xfId="1565"/>
    <cellStyle name="Accent6 2 4 2" xfId="1566"/>
    <cellStyle name="Accent6 2 5" xfId="1567"/>
    <cellStyle name="Accent6 20" xfId="1568"/>
    <cellStyle name="Accent6 20 2" xfId="1569"/>
    <cellStyle name="Accent6 21" xfId="1570"/>
    <cellStyle name="Accent6 21 2" xfId="1571"/>
    <cellStyle name="Accent6 22" xfId="1572"/>
    <cellStyle name="Accent6 22 2" xfId="1573"/>
    <cellStyle name="Accent6 3" xfId="1574"/>
    <cellStyle name="Accent6 3 2" xfId="1575"/>
    <cellStyle name="Accent6 3 2 2" xfId="1576"/>
    <cellStyle name="Accent6 3 3" xfId="1577"/>
    <cellStyle name="Accent6 3 3 2" xfId="1578"/>
    <cellStyle name="Accent6 3 4" xfId="1579"/>
    <cellStyle name="Accent6 3 4 2" xfId="1580"/>
    <cellStyle name="Accent6 3 5" xfId="1581"/>
    <cellStyle name="Accent6 4" xfId="1582"/>
    <cellStyle name="Accent6 4 2" xfId="1583"/>
    <cellStyle name="Accent6 4 2 2" xfId="1584"/>
    <cellStyle name="Accent6 4 3" xfId="1585"/>
    <cellStyle name="Accent6 4 3 2" xfId="1586"/>
    <cellStyle name="Accent6 4 4" xfId="1587"/>
    <cellStyle name="Accent6 4 4 2" xfId="1588"/>
    <cellStyle name="Accent6 4 5" xfId="1589"/>
    <cellStyle name="Accent6 5" xfId="1590"/>
    <cellStyle name="Accent6 5 2" xfId="1591"/>
    <cellStyle name="Accent6 5 2 2" xfId="1592"/>
    <cellStyle name="Accent6 5 3" xfId="1593"/>
    <cellStyle name="Accent6 6" xfId="1594"/>
    <cellStyle name="Accent6 6 2" xfId="1595"/>
    <cellStyle name="Accent6 6 2 2" xfId="1596"/>
    <cellStyle name="Accent6 6 3" xfId="1597"/>
    <cellStyle name="Accent6 7" xfId="1598"/>
    <cellStyle name="Accent6 7 2" xfId="1599"/>
    <cellStyle name="Accent6 7 2 2" xfId="1600"/>
    <cellStyle name="Accent6 7 3" xfId="1601"/>
    <cellStyle name="Accent6 8" xfId="1602"/>
    <cellStyle name="Accent6 8 2" xfId="1603"/>
    <cellStyle name="Accent6 8 2 2" xfId="1604"/>
    <cellStyle name="Accent6 8 3" xfId="1605"/>
    <cellStyle name="Accent6 9" xfId="1606"/>
    <cellStyle name="Accent6 9 2" xfId="1607"/>
    <cellStyle name="AggblueBoldCels" xfId="1608"/>
    <cellStyle name="AggblueBoldCels 2" xfId="1609"/>
    <cellStyle name="AggblueCels" xfId="1610"/>
    <cellStyle name="AggblueCels 2" xfId="1611"/>
    <cellStyle name="AggBoldCells" xfId="1612"/>
    <cellStyle name="AggBoldCells 2" xfId="1613"/>
    <cellStyle name="AggCels" xfId="1614"/>
    <cellStyle name="AggCels 2" xfId="1615"/>
    <cellStyle name="AggGreen" xfId="1616"/>
    <cellStyle name="AggGreen 2" xfId="1617"/>
    <cellStyle name="AggGreen12" xfId="1618"/>
    <cellStyle name="AggGreen12 2" xfId="1619"/>
    <cellStyle name="AggOrange" xfId="1620"/>
    <cellStyle name="AggOrange 2" xfId="1621"/>
    <cellStyle name="AggOrange9" xfId="1622"/>
    <cellStyle name="AggOrange9 2" xfId="1623"/>
    <cellStyle name="AggOrangeLB_2x" xfId="1624"/>
    <cellStyle name="AggOrangeLBorder" xfId="1625"/>
    <cellStyle name="AggOrangeLBorder 2" xfId="1626"/>
    <cellStyle name="AggOrangeRBorder" xfId="1627"/>
    <cellStyle name="AggOrangeRBorder 2" xfId="1628"/>
    <cellStyle name="Avertissement 10" xfId="1629"/>
    <cellStyle name="Avertissement 10 2" xfId="1630"/>
    <cellStyle name="Avertissement 11" xfId="1631"/>
    <cellStyle name="Avertissement 11 2" xfId="1632"/>
    <cellStyle name="Avertissement 11 2 2" xfId="1633"/>
    <cellStyle name="Avertissement 11 3" xfId="1634"/>
    <cellStyle name="Avertissement 12" xfId="1635"/>
    <cellStyle name="Avertissement 12 2" xfId="1636"/>
    <cellStyle name="Avertissement 13" xfId="1637"/>
    <cellStyle name="Avertissement 13 2" xfId="1638"/>
    <cellStyle name="Avertissement 2" xfId="1639"/>
    <cellStyle name="Avertissement 2 2" xfId="1640"/>
    <cellStyle name="Avertissement 2 2 2" xfId="1641"/>
    <cellStyle name="Avertissement 2 3" xfId="1642"/>
    <cellStyle name="Avertissement 2 3 2" xfId="1643"/>
    <cellStyle name="Avertissement 2 4" xfId="1644"/>
    <cellStyle name="Avertissement 2 4 2" xfId="1645"/>
    <cellStyle name="Avertissement 2 5" xfId="1646"/>
    <cellStyle name="Avertissement 3" xfId="1647"/>
    <cellStyle name="Avertissement 3 2" xfId="1648"/>
    <cellStyle name="Avertissement 3 2 2" xfId="1649"/>
    <cellStyle name="Avertissement 3 3" xfId="1650"/>
    <cellStyle name="Avertissement 3 3 2" xfId="1651"/>
    <cellStyle name="Avertissement 3 4" xfId="1652"/>
    <cellStyle name="Avertissement 3 4 2" xfId="1653"/>
    <cellStyle name="Avertissement 3 5" xfId="1654"/>
    <cellStyle name="Avertissement 4" xfId="1655"/>
    <cellStyle name="Avertissement 4 2" xfId="1656"/>
    <cellStyle name="Avertissement 4 2 2" xfId="1657"/>
    <cellStyle name="Avertissement 4 3" xfId="1658"/>
    <cellStyle name="Avertissement 4 3 2" xfId="1659"/>
    <cellStyle name="Avertissement 4 4" xfId="1660"/>
    <cellStyle name="Avertissement 4 4 2" xfId="1661"/>
    <cellStyle name="Avertissement 4 5" xfId="1662"/>
    <cellStyle name="Avertissement 5" xfId="1663"/>
    <cellStyle name="Avertissement 5 2" xfId="1664"/>
    <cellStyle name="Avertissement 5 2 2" xfId="1665"/>
    <cellStyle name="Avertissement 5 3" xfId="1666"/>
    <cellStyle name="Avertissement 6" xfId="1667"/>
    <cellStyle name="Avertissement 6 2" xfId="1668"/>
    <cellStyle name="Avertissement 7" xfId="1669"/>
    <cellStyle name="Avertissement 7 2" xfId="1670"/>
    <cellStyle name="Avertissement 8" xfId="1671"/>
    <cellStyle name="Avertissement 8 2" xfId="1672"/>
    <cellStyle name="Avertissement 9" xfId="1673"/>
    <cellStyle name="Avertissement 9 2" xfId="1674"/>
    <cellStyle name="Bold GHG Numbers (0.00)" xfId="1675"/>
    <cellStyle name="Bold GHG Numbers (0.00) 2" xfId="1676"/>
    <cellStyle name="Bold GHG Numbers (0.00) 3" xfId="1677"/>
    <cellStyle name="Calcul 10" xfId="1678"/>
    <cellStyle name="Calcul 10 2" xfId="1679"/>
    <cellStyle name="Calcul 11" xfId="1680"/>
    <cellStyle name="Calcul 11 2" xfId="1681"/>
    <cellStyle name="Calcul 11 2 2" xfId="1682"/>
    <cellStyle name="Calcul 11 3" xfId="1683"/>
    <cellStyle name="Calcul 11 3 2" xfId="1684"/>
    <cellStyle name="Calcul 11 4" xfId="1685"/>
    <cellStyle name="Calcul 11 4 2" xfId="1686"/>
    <cellStyle name="Calcul 11 5" xfId="1687"/>
    <cellStyle name="Calcul 12" xfId="1688"/>
    <cellStyle name="Calcul 12 2" xfId="1689"/>
    <cellStyle name="Calcul 12 2 2" xfId="1690"/>
    <cellStyle name="Calcul 12 3" xfId="1691"/>
    <cellStyle name="Calcul 12 3 2" xfId="1692"/>
    <cellStyle name="Calcul 12 4" xfId="1693"/>
    <cellStyle name="Calcul 13" xfId="1694"/>
    <cellStyle name="Calcul 13 2" xfId="1695"/>
    <cellStyle name="Calcul 14" xfId="1696"/>
    <cellStyle name="Calcul 14 2" xfId="1697"/>
    <cellStyle name="Calcul 15" xfId="1698"/>
    <cellStyle name="Calcul 15 2" xfId="1699"/>
    <cellStyle name="Calcul 2" xfId="1700"/>
    <cellStyle name="Calcul 2 2" xfId="1701"/>
    <cellStyle name="Calcul 2 2 2" xfId="1702"/>
    <cellStyle name="Calcul 2 3" xfId="1703"/>
    <cellStyle name="Calcul 2 3 2" xfId="1704"/>
    <cellStyle name="Calcul 2 4" xfId="1705"/>
    <cellStyle name="Calcul 2 4 2" xfId="1706"/>
    <cellStyle name="Calcul 2 5" xfId="1707"/>
    <cellStyle name="Calcul 3" xfId="1708"/>
    <cellStyle name="Calcul 3 2" xfId="1709"/>
    <cellStyle name="Calcul 3 2 2" xfId="1710"/>
    <cellStyle name="Calcul 3 3" xfId="1711"/>
    <cellStyle name="Calcul 3 3 2" xfId="1712"/>
    <cellStyle name="Calcul 3 4" xfId="1713"/>
    <cellStyle name="Calcul 3 4 2" xfId="1714"/>
    <cellStyle name="Calcul 3 5" xfId="1715"/>
    <cellStyle name="Calcul 4" xfId="1716"/>
    <cellStyle name="Calcul 4 2" xfId="1717"/>
    <cellStyle name="Calcul 4 2 2" xfId="1718"/>
    <cellStyle name="Calcul 4 3" xfId="1719"/>
    <cellStyle name="Calcul 4 3 2" xfId="1720"/>
    <cellStyle name="Calcul 4 4" xfId="1721"/>
    <cellStyle name="Calcul 4 4 2" xfId="1722"/>
    <cellStyle name="Calcul 4 5" xfId="1723"/>
    <cellStyle name="Calcul 5" xfId="1724"/>
    <cellStyle name="Calcul 5 2" xfId="1725"/>
    <cellStyle name="Calcul 5 2 2" xfId="1726"/>
    <cellStyle name="Calcul 5 3" xfId="1727"/>
    <cellStyle name="Calcul 6" xfId="1728"/>
    <cellStyle name="Calcul 6 2" xfId="1729"/>
    <cellStyle name="Calcul 6 2 2" xfId="1730"/>
    <cellStyle name="Calcul 6 3" xfId="1731"/>
    <cellStyle name="Calcul 7" xfId="1732"/>
    <cellStyle name="Calcul 7 2" xfId="1733"/>
    <cellStyle name="Calcul 8" xfId="1734"/>
    <cellStyle name="Calcul 8 2" xfId="1735"/>
    <cellStyle name="Calcul 9" xfId="1736"/>
    <cellStyle name="Calcul 9 2" xfId="1737"/>
    <cellStyle name="Calculated" xfId="1738"/>
    <cellStyle name="Calculated 2" xfId="1739"/>
    <cellStyle name="Cellule liée 10" xfId="1740"/>
    <cellStyle name="Cellule liée 10 2" xfId="1741"/>
    <cellStyle name="Cellule liée 11" xfId="1742"/>
    <cellStyle name="Cellule liée 11 2" xfId="1743"/>
    <cellStyle name="Cellule liée 11 2 2" xfId="1744"/>
    <cellStyle name="Cellule liée 11 3" xfId="1745"/>
    <cellStyle name="Cellule liée 11 3 2" xfId="1746"/>
    <cellStyle name="Cellule liée 11 4" xfId="1747"/>
    <cellStyle name="Cellule liée 11 4 2" xfId="1748"/>
    <cellStyle name="Cellule liée 11 5" xfId="1749"/>
    <cellStyle name="Cellule liée 12" xfId="1750"/>
    <cellStyle name="Cellule liée 12 2" xfId="1751"/>
    <cellStyle name="Cellule liée 12 2 2" xfId="1752"/>
    <cellStyle name="Cellule liée 12 3" xfId="1753"/>
    <cellStyle name="Cellule liée 12 3 2" xfId="1754"/>
    <cellStyle name="Cellule liée 12 4" xfId="1755"/>
    <cellStyle name="Cellule liée 13" xfId="1756"/>
    <cellStyle name="Cellule liée 13 2" xfId="1757"/>
    <cellStyle name="Cellule liée 14" xfId="1758"/>
    <cellStyle name="Cellule liée 14 2" xfId="1759"/>
    <cellStyle name="Cellule liée 15" xfId="1760"/>
    <cellStyle name="Cellule liée 15 2" xfId="1761"/>
    <cellStyle name="Cellule liée 2" xfId="1762"/>
    <cellStyle name="Cellule liée 2 2" xfId="1763"/>
    <cellStyle name="Cellule liée 2 2 2" xfId="1764"/>
    <cellStyle name="Cellule liée 2 3" xfId="1765"/>
    <cellStyle name="Cellule liée 2 3 2" xfId="1766"/>
    <cellStyle name="Cellule liée 2 4" xfId="1767"/>
    <cellStyle name="Cellule liée 2 4 2" xfId="1768"/>
    <cellStyle name="Cellule liée 2 5" xfId="1769"/>
    <cellStyle name="Cellule liée 3" xfId="1770"/>
    <cellStyle name="Cellule liée 3 2" xfId="1771"/>
    <cellStyle name="Cellule liée 3 2 2" xfId="1772"/>
    <cellStyle name="Cellule liée 3 3" xfId="1773"/>
    <cellStyle name="Cellule liée 3 3 2" xfId="1774"/>
    <cellStyle name="Cellule liée 3 4" xfId="1775"/>
    <cellStyle name="Cellule liée 3 4 2" xfId="1776"/>
    <cellStyle name="Cellule liée 3 5" xfId="1777"/>
    <cellStyle name="Cellule liée 4" xfId="1778"/>
    <cellStyle name="Cellule liée 4 2" xfId="1779"/>
    <cellStyle name="Cellule liée 4 2 2" xfId="1780"/>
    <cellStyle name="Cellule liée 4 3" xfId="1781"/>
    <cellStyle name="Cellule liée 4 3 2" xfId="1782"/>
    <cellStyle name="Cellule liée 4 4" xfId="1783"/>
    <cellStyle name="Cellule liée 4 4 2" xfId="1784"/>
    <cellStyle name="Cellule liée 4 5" xfId="1785"/>
    <cellStyle name="Cellule liée 5" xfId="1786"/>
    <cellStyle name="Cellule liée 5 2" xfId="1787"/>
    <cellStyle name="Cellule liée 5 2 2" xfId="1788"/>
    <cellStyle name="Cellule liée 5 3" xfId="1789"/>
    <cellStyle name="Cellule liée 6" xfId="1790"/>
    <cellStyle name="Cellule liée 6 2" xfId="1791"/>
    <cellStyle name="Cellule liée 6 2 2" xfId="1792"/>
    <cellStyle name="Cellule liée 6 3" xfId="1793"/>
    <cellStyle name="Cellule liée 7" xfId="1794"/>
    <cellStyle name="Cellule liée 7 2" xfId="1795"/>
    <cellStyle name="Cellule liée 8" xfId="1796"/>
    <cellStyle name="Cellule liée 8 2" xfId="1797"/>
    <cellStyle name="Cellule liée 9" xfId="1798"/>
    <cellStyle name="Cellule liée 9 2" xfId="1799"/>
    <cellStyle name="Comma [0]" xfId="1800"/>
    <cellStyle name="Comma [0] 10" xfId="1801"/>
    <cellStyle name="Comma [0] 10 2" xfId="1802"/>
    <cellStyle name="Comma [0] 10 3" xfId="1803"/>
    <cellStyle name="Comma [0] 11" xfId="1804"/>
    <cellStyle name="Comma [0] 11 2" xfId="1805"/>
    <cellStyle name="Comma [0] 11 3" xfId="1806"/>
    <cellStyle name="Comma [0] 12" xfId="1807"/>
    <cellStyle name="Comma [0] 13" xfId="1808"/>
    <cellStyle name="Comma [0] 2" xfId="1809"/>
    <cellStyle name="Comma [0] 2 2" xfId="1810"/>
    <cellStyle name="Comma [0] 2 3" xfId="1811"/>
    <cellStyle name="Comma [0] 3" xfId="1812"/>
    <cellStyle name="Comma [0] 3 2" xfId="1813"/>
    <cellStyle name="Comma [0] 3 3" xfId="1814"/>
    <cellStyle name="Comma [0] 4" xfId="1815"/>
    <cellStyle name="Comma [0] 4 2" xfId="1816"/>
    <cellStyle name="Comma [0] 4 3" xfId="1817"/>
    <cellStyle name="Comma [0] 5" xfId="1818"/>
    <cellStyle name="Comma [0] 5 2" xfId="1819"/>
    <cellStyle name="Comma [0] 5 3" xfId="1820"/>
    <cellStyle name="Comma [0] 6" xfId="1821"/>
    <cellStyle name="Comma [0] 6 2" xfId="1822"/>
    <cellStyle name="Comma [0] 6 3" xfId="1823"/>
    <cellStyle name="Comma [0] 7" xfId="1824"/>
    <cellStyle name="Comma [0] 7 2" xfId="1825"/>
    <cellStyle name="Comma [0] 7 3" xfId="1826"/>
    <cellStyle name="Comma [0] 8" xfId="1827"/>
    <cellStyle name="Comma [0] 8 2" xfId="1828"/>
    <cellStyle name="Comma [0] 8 3" xfId="1829"/>
    <cellStyle name="Comma [0] 9" xfId="1830"/>
    <cellStyle name="Comma [0] 9 2" xfId="1831"/>
    <cellStyle name="Comma [0] 9 3" xfId="1832"/>
    <cellStyle name="Comment" xfId="1833"/>
    <cellStyle name="Comment 2" xfId="1834"/>
    <cellStyle name="Commentaire 10" xfId="1835"/>
    <cellStyle name="Commentaire 10 2" xfId="1836"/>
    <cellStyle name="Commentaire 2" xfId="1837"/>
    <cellStyle name="Commentaire 2 2" xfId="1838"/>
    <cellStyle name="Commentaire 2 2 2" xfId="1839"/>
    <cellStyle name="Commentaire 2 2 2 2" xfId="1840"/>
    <cellStyle name="Commentaire 2 2 2 2 2" xfId="1841"/>
    <cellStyle name="Commentaire 2 2 2 3" xfId="1842"/>
    <cellStyle name="Commentaire 2 2 3" xfId="1843"/>
    <cellStyle name="Commentaire 2 3" xfId="1844"/>
    <cellStyle name="Commentaire 2 3 2" xfId="1845"/>
    <cellStyle name="Commentaire 2 3 2 2" xfId="1846"/>
    <cellStyle name="Commentaire 2 3 3" xfId="1847"/>
    <cellStyle name="Commentaire 2 4" xfId="1848"/>
    <cellStyle name="Commentaire 2 4 2" xfId="1849"/>
    <cellStyle name="Commentaire 2 5" xfId="1850"/>
    <cellStyle name="Commentaire 2 5 2" xfId="1851"/>
    <cellStyle name="Commentaire 2 6" xfId="1852"/>
    <cellStyle name="Commentaire 2 6 2" xfId="1853"/>
    <cellStyle name="Commentaire 2 7" xfId="1854"/>
    <cellStyle name="Commentaire 2 7 2" xfId="1855"/>
    <cellStyle name="Commentaire 2 8" xfId="1856"/>
    <cellStyle name="Commentaire 2 8 2" xfId="1857"/>
    <cellStyle name="Commentaire 2 9" xfId="1858"/>
    <cellStyle name="Commentaire 3" xfId="1859"/>
    <cellStyle name="Commentaire 3 2" xfId="1860"/>
    <cellStyle name="Commentaire 3 2 2" xfId="1861"/>
    <cellStyle name="Commentaire 3 2 2 2" xfId="1862"/>
    <cellStyle name="Commentaire 3 2 2 2 2" xfId="1863"/>
    <cellStyle name="Commentaire 3 2 2 3" xfId="1864"/>
    <cellStyle name="Commentaire 3 2 3" xfId="1865"/>
    <cellStyle name="Commentaire 3 3" xfId="1866"/>
    <cellStyle name="Commentaire 3 3 2" xfId="1867"/>
    <cellStyle name="Commentaire 3 3 2 2" xfId="1868"/>
    <cellStyle name="Commentaire 3 3 3" xfId="1869"/>
    <cellStyle name="Commentaire 3 3 3 2" xfId="1870"/>
    <cellStyle name="Commentaire 3 3 4" xfId="1871"/>
    <cellStyle name="Commentaire 3 4" xfId="1872"/>
    <cellStyle name="Commentaire 3 4 2" xfId="1873"/>
    <cellStyle name="Commentaire 3 4 2 2" xfId="1874"/>
    <cellStyle name="Commentaire 3 4 3" xfId="1875"/>
    <cellStyle name="Commentaire 3 5" xfId="1876"/>
    <cellStyle name="Commentaire 3 5 2" xfId="1877"/>
    <cellStyle name="Commentaire 3 6" xfId="1878"/>
    <cellStyle name="Commentaire 3 6 2" xfId="1879"/>
    <cellStyle name="Commentaire 3 7" xfId="1880"/>
    <cellStyle name="Commentaire 3 7 2" xfId="1881"/>
    <cellStyle name="Commentaire 3 8" xfId="1882"/>
    <cellStyle name="Commentaire 4" xfId="1883"/>
    <cellStyle name="Commentaire 4 2" xfId="1884"/>
    <cellStyle name="Commentaire 4 2 2" xfId="1885"/>
    <cellStyle name="Commentaire 4 2 2 2" xfId="1886"/>
    <cellStyle name="Commentaire 4 2 3" xfId="1887"/>
    <cellStyle name="Commentaire 4 3" xfId="1888"/>
    <cellStyle name="Commentaire 4 3 2" xfId="1889"/>
    <cellStyle name="Commentaire 4 3 2 2" xfId="1890"/>
    <cellStyle name="Commentaire 4 3 3" xfId="1891"/>
    <cellStyle name="Commentaire 4 4" xfId="1892"/>
    <cellStyle name="Commentaire 4 4 2" xfId="1893"/>
    <cellStyle name="Commentaire 4 5" xfId="1894"/>
    <cellStyle name="Commentaire 4 5 2" xfId="1895"/>
    <cellStyle name="Commentaire 4 6" xfId="1896"/>
    <cellStyle name="Commentaire 4 6 2" xfId="1897"/>
    <cellStyle name="Commentaire 4 7" xfId="1898"/>
    <cellStyle name="Commentaire 5" xfId="1899"/>
    <cellStyle name="Commentaire 5 2" xfId="1900"/>
    <cellStyle name="Commentaire 5 2 2" xfId="1901"/>
    <cellStyle name="Commentaire 5 2 2 2" xfId="1902"/>
    <cellStyle name="Commentaire 5 2 3" xfId="1903"/>
    <cellStyle name="Commentaire 5 3" xfId="1904"/>
    <cellStyle name="Commentaire 5 3 2" xfId="1905"/>
    <cellStyle name="Commentaire 5 3 2 2" xfId="1906"/>
    <cellStyle name="Commentaire 5 3 3" xfId="1907"/>
    <cellStyle name="Commentaire 5 4" xfId="1908"/>
    <cellStyle name="Commentaire 5 4 2" xfId="1909"/>
    <cellStyle name="Commentaire 5 5" xfId="1910"/>
    <cellStyle name="Commentaire 5 5 2" xfId="1911"/>
    <cellStyle name="Commentaire 5 6" xfId="1912"/>
    <cellStyle name="Commentaire 5 6 2" xfId="1913"/>
    <cellStyle name="Commentaire 5 7" xfId="1914"/>
    <cellStyle name="Commentaire 6" xfId="1915"/>
    <cellStyle name="Commentaire 6 2" xfId="1916"/>
    <cellStyle name="Commentaire 6 2 2" xfId="1917"/>
    <cellStyle name="Commentaire 6 3" xfId="1918"/>
    <cellStyle name="Commentaire 6 3 2" xfId="1919"/>
    <cellStyle name="Commentaire 6 4" xfId="1920"/>
    <cellStyle name="Commentaire 6 4 2" xfId="1921"/>
    <cellStyle name="Commentaire 6 5" xfId="1922"/>
    <cellStyle name="Commentaire 6 5 2" xfId="1923"/>
    <cellStyle name="Commentaire 6 6" xfId="1924"/>
    <cellStyle name="Commentaire 6 6 2" xfId="1925"/>
    <cellStyle name="Commentaire 6 7" xfId="1926"/>
    <cellStyle name="Commentaire 7" xfId="1927"/>
    <cellStyle name="Commentaire 7 2" xfId="1928"/>
    <cellStyle name="Commentaire 7 2 2" xfId="1929"/>
    <cellStyle name="Commentaire 7 3" xfId="1930"/>
    <cellStyle name="Commentaire 8" xfId="1931"/>
    <cellStyle name="Commentaire 8 2" xfId="1932"/>
    <cellStyle name="Commentaire 9" xfId="1933"/>
    <cellStyle name="Commentaire 9 2" xfId="1934"/>
    <cellStyle name="Constants" xfId="1935"/>
    <cellStyle name="Constants 2" xfId="1936"/>
    <cellStyle name="Currency [0]" xfId="1937"/>
    <cellStyle name="Currency [0] 10" xfId="1938"/>
    <cellStyle name="Currency [0] 10 2" xfId="1939"/>
    <cellStyle name="Currency [0] 11" xfId="1940"/>
    <cellStyle name="Currency [0] 11 2" xfId="1941"/>
    <cellStyle name="Currency [0] 12" xfId="1942"/>
    <cellStyle name="Currency [0] 2" xfId="1943"/>
    <cellStyle name="Currency [0] 2 2" xfId="1944"/>
    <cellStyle name="Currency [0] 3" xfId="1945"/>
    <cellStyle name="Currency [0] 3 2" xfId="1946"/>
    <cellStyle name="Currency [0] 4" xfId="1947"/>
    <cellStyle name="Currency [0] 4 2" xfId="1948"/>
    <cellStyle name="Currency [0] 5" xfId="1949"/>
    <cellStyle name="Currency [0] 5 2" xfId="1950"/>
    <cellStyle name="Currency [0] 6" xfId="1951"/>
    <cellStyle name="Currency [0] 6 2" xfId="1952"/>
    <cellStyle name="Currency [0] 7" xfId="1953"/>
    <cellStyle name="Currency [0] 7 2" xfId="1954"/>
    <cellStyle name="Currency [0] 8" xfId="1955"/>
    <cellStyle name="Currency [0] 8 2" xfId="1956"/>
    <cellStyle name="Currency [0] 9" xfId="1957"/>
    <cellStyle name="Currency [0] 9 2" xfId="1958"/>
    <cellStyle name="CustomCellsOrange" xfId="1959"/>
    <cellStyle name="CustomCellsOrange 2" xfId="1960"/>
    <cellStyle name="CustomizationCells" xfId="1961"/>
    <cellStyle name="CustomizationCells 2" xfId="1962"/>
    <cellStyle name="CustomizationGreenCells" xfId="1963"/>
    <cellStyle name="CustomizationGreenCells 2" xfId="1964"/>
    <cellStyle name="Date" xfId="1965"/>
    <cellStyle name="Date 10" xfId="1966"/>
    <cellStyle name="Date 10 2" xfId="1967"/>
    <cellStyle name="Date 11" xfId="1968"/>
    <cellStyle name="Date 11 2" xfId="1969"/>
    <cellStyle name="Date 12" xfId="1970"/>
    <cellStyle name="Date 12 2" xfId="1971"/>
    <cellStyle name="Date 13" xfId="1972"/>
    <cellStyle name="Date 13 2" xfId="1973"/>
    <cellStyle name="Date 14" xfId="1974"/>
    <cellStyle name="Date 14 2" xfId="1975"/>
    <cellStyle name="Date 15" xfId="1976"/>
    <cellStyle name="Date 15 2" xfId="1977"/>
    <cellStyle name="Date 16" xfId="1978"/>
    <cellStyle name="Date 16 2" xfId="1979"/>
    <cellStyle name="Date 17" xfId="1980"/>
    <cellStyle name="Date 17 2" xfId="1981"/>
    <cellStyle name="Date 18" xfId="1982"/>
    <cellStyle name="Date 18 2" xfId="1983"/>
    <cellStyle name="Date 19" xfId="1984"/>
    <cellStyle name="Date 19 2" xfId="1985"/>
    <cellStyle name="Date 2" xfId="1986"/>
    <cellStyle name="Date 2 2" xfId="1987"/>
    <cellStyle name="Date 2 2 2" xfId="1988"/>
    <cellStyle name="Date 2 3" xfId="1989"/>
    <cellStyle name="Date 2 3 2" xfId="1990"/>
    <cellStyle name="Date 2 3 2 2" xfId="1991"/>
    <cellStyle name="Date 2 3 3" xfId="1992"/>
    <cellStyle name="Date 2 4" xfId="1993"/>
    <cellStyle name="Date 2 4 2" xfId="1994"/>
    <cellStyle name="Date 2 5" xfId="1995"/>
    <cellStyle name="Date 20" xfId="1996"/>
    <cellStyle name="Date 20 2" xfId="1997"/>
    <cellStyle name="Date 21" xfId="1998"/>
    <cellStyle name="Date 21 2" xfId="1999"/>
    <cellStyle name="Date 22" xfId="2000"/>
    <cellStyle name="Date 22 2" xfId="2001"/>
    <cellStyle name="Date 23" xfId="2002"/>
    <cellStyle name="Date 23 2" xfId="2003"/>
    <cellStyle name="Date 24" xfId="2004"/>
    <cellStyle name="Date 24 2" xfId="2005"/>
    <cellStyle name="Date 25" xfId="2006"/>
    <cellStyle name="Date 25 2" xfId="2007"/>
    <cellStyle name="Date 26" xfId="2008"/>
    <cellStyle name="Date 26 2" xfId="2009"/>
    <cellStyle name="Date 27" xfId="2010"/>
    <cellStyle name="Date 27 2" xfId="2011"/>
    <cellStyle name="Date 28" xfId="2012"/>
    <cellStyle name="Date 28 2" xfId="2013"/>
    <cellStyle name="Date 29" xfId="2014"/>
    <cellStyle name="Date 29 2" xfId="2015"/>
    <cellStyle name="Date 3" xfId="2016"/>
    <cellStyle name="Date 3 2" xfId="2017"/>
    <cellStyle name="Date 3 2 2" xfId="2018"/>
    <cellStyle name="Date 3 3" xfId="2019"/>
    <cellStyle name="Date 3 3 2" xfId="2020"/>
    <cellStyle name="Date 3 4" xfId="2021"/>
    <cellStyle name="Date 30" xfId="2022"/>
    <cellStyle name="Date 30 2" xfId="2023"/>
    <cellStyle name="Date 31" xfId="2024"/>
    <cellStyle name="Date 31 2" xfId="2025"/>
    <cellStyle name="Date 32" xfId="2026"/>
    <cellStyle name="Date 32 2" xfId="2027"/>
    <cellStyle name="Date 33" xfId="2028"/>
    <cellStyle name="Date 33 2" xfId="2029"/>
    <cellStyle name="Date 34" xfId="2030"/>
    <cellStyle name="Date 34 2" xfId="2031"/>
    <cellStyle name="Date 35" xfId="2032"/>
    <cellStyle name="Date 35 2" xfId="2033"/>
    <cellStyle name="Date 36" xfId="2034"/>
    <cellStyle name="Date 36 2" xfId="2035"/>
    <cellStyle name="Date 37" xfId="2036"/>
    <cellStyle name="Date 37 2" xfId="2037"/>
    <cellStyle name="Date 38" xfId="2038"/>
    <cellStyle name="Date 38 2" xfId="2039"/>
    <cellStyle name="Date 39" xfId="2040"/>
    <cellStyle name="Date 39 2" xfId="2041"/>
    <cellStyle name="Date 4" xfId="2042"/>
    <cellStyle name="Date 4 2" xfId="2043"/>
    <cellStyle name="Date 40" xfId="2044"/>
    <cellStyle name="Date 40 2" xfId="2045"/>
    <cellStyle name="Date 41" xfId="2046"/>
    <cellStyle name="Date 41 2" xfId="2047"/>
    <cellStyle name="Date 42" xfId="2048"/>
    <cellStyle name="Date 5" xfId="2049"/>
    <cellStyle name="Date 5 2" xfId="2050"/>
    <cellStyle name="Date 6" xfId="2051"/>
    <cellStyle name="Date 6 2" xfId="2052"/>
    <cellStyle name="Date 7" xfId="2053"/>
    <cellStyle name="Date 7 2" xfId="2054"/>
    <cellStyle name="Date 8" xfId="2055"/>
    <cellStyle name="Date 8 2" xfId="2056"/>
    <cellStyle name="Date 9" xfId="2057"/>
    <cellStyle name="Date 9 2" xfId="2058"/>
    <cellStyle name="Dezimal_Abweichung WCR__" xfId="2059"/>
    <cellStyle name="DocBox_EmptyRow" xfId="2060"/>
    <cellStyle name="Duizend" xfId="2061"/>
    <cellStyle name="Duizend 2" xfId="2062"/>
    <cellStyle name="Duizend met sterren" xfId="2063"/>
    <cellStyle name="Duizend met sterren 2" xfId="2064"/>
    <cellStyle name="Duizend zonder sterren" xfId="2065"/>
    <cellStyle name="Duizend zonder sterren 2" xfId="2066"/>
    <cellStyle name="Duizend,0" xfId="2067"/>
    <cellStyle name="Duizend,0 2" xfId="2068"/>
    <cellStyle name="Duizend_full4" xfId="2069"/>
    <cellStyle name="Emphase 1" xfId="2070"/>
    <cellStyle name="Emphase 1 2" xfId="2071"/>
    <cellStyle name="Emphase 2" xfId="2072"/>
    <cellStyle name="Emphase 2 2" xfId="2073"/>
    <cellStyle name="Emphase 3" xfId="2074"/>
    <cellStyle name="Emphase 3 2" xfId="2075"/>
    <cellStyle name="Empty_B_border" xfId="2076"/>
    <cellStyle name="En-tête 1" xfId="2101"/>
    <cellStyle name="En-tête 1 10" xfId="2102"/>
    <cellStyle name="En-tête 1 10 2" xfId="2103"/>
    <cellStyle name="En-tête 1 11" xfId="2104"/>
    <cellStyle name="En-tête 1 11 2" xfId="2105"/>
    <cellStyle name="En-tête 1 12" xfId="2106"/>
    <cellStyle name="En-tête 1 12 2" xfId="2107"/>
    <cellStyle name="En-tête 1 13" xfId="2108"/>
    <cellStyle name="En-tête 1 13 2" xfId="2109"/>
    <cellStyle name="En-tête 1 14" xfId="2110"/>
    <cellStyle name="En-tête 1 14 2" xfId="2111"/>
    <cellStyle name="En-tête 1 15" xfId="2112"/>
    <cellStyle name="En-tête 1 15 2" xfId="2113"/>
    <cellStyle name="En-tête 1 16" xfId="2114"/>
    <cellStyle name="En-tête 1 16 2" xfId="2115"/>
    <cellStyle name="En-tête 1 17" xfId="2116"/>
    <cellStyle name="En-tête 1 17 2" xfId="2117"/>
    <cellStyle name="En-tête 1 18" xfId="2118"/>
    <cellStyle name="En-tête 1 18 2" xfId="2119"/>
    <cellStyle name="En-tête 1 19" xfId="2120"/>
    <cellStyle name="En-tête 1 19 2" xfId="2121"/>
    <cellStyle name="En-tête 1 2" xfId="2122"/>
    <cellStyle name="En-tête 1 2 2" xfId="2123"/>
    <cellStyle name="En-tête 1 2 2 2" xfId="2124"/>
    <cellStyle name="En-tête 1 2 3" xfId="2125"/>
    <cellStyle name="En-tête 1 20" xfId="2126"/>
    <cellStyle name="En-tête 1 20 2" xfId="2127"/>
    <cellStyle name="En-tête 1 21" xfId="2128"/>
    <cellStyle name="En-tête 1 21 2" xfId="2129"/>
    <cellStyle name="En-tête 1 22" xfId="2130"/>
    <cellStyle name="En-tête 1 22 2" xfId="2131"/>
    <cellStyle name="En-tête 1 23" xfId="2132"/>
    <cellStyle name="En-tête 1 23 2" xfId="2133"/>
    <cellStyle name="En-tête 1 24" xfId="2134"/>
    <cellStyle name="En-tête 1 24 2" xfId="2135"/>
    <cellStyle name="En-tête 1 25" xfId="2136"/>
    <cellStyle name="En-tête 1 25 2" xfId="2137"/>
    <cellStyle name="En-tête 1 26" xfId="2138"/>
    <cellStyle name="En-tête 1 26 2" xfId="2139"/>
    <cellStyle name="En-tête 1 27" xfId="2140"/>
    <cellStyle name="En-tête 1 27 2" xfId="2141"/>
    <cellStyle name="En-tête 1 28" xfId="2142"/>
    <cellStyle name="En-tête 1 28 2" xfId="2143"/>
    <cellStyle name="En-tête 1 29" xfId="2144"/>
    <cellStyle name="En-tête 1 29 2" xfId="2145"/>
    <cellStyle name="En-tête 1 3" xfId="2146"/>
    <cellStyle name="En-tête 1 3 2" xfId="2147"/>
    <cellStyle name="En-tête 1 30" xfId="2148"/>
    <cellStyle name="En-tête 1 30 2" xfId="2149"/>
    <cellStyle name="En-tête 1 31" xfId="2150"/>
    <cellStyle name="En-tête 1 31 2" xfId="2151"/>
    <cellStyle name="En-tête 1 32" xfId="2152"/>
    <cellStyle name="En-tête 1 32 2" xfId="2153"/>
    <cellStyle name="En-tête 1 33" xfId="2154"/>
    <cellStyle name="En-tête 1 33 2" xfId="2155"/>
    <cellStyle name="En-tête 1 34" xfId="2156"/>
    <cellStyle name="En-tête 1 34 2" xfId="2157"/>
    <cellStyle name="En-tête 1 35" xfId="2158"/>
    <cellStyle name="En-tête 1 35 2" xfId="2159"/>
    <cellStyle name="En-tête 1 36" xfId="2160"/>
    <cellStyle name="En-tête 1 36 2" xfId="2161"/>
    <cellStyle name="En-tête 1 37" xfId="2162"/>
    <cellStyle name="En-tête 1 37 2" xfId="2163"/>
    <cellStyle name="En-tête 1 38" xfId="2164"/>
    <cellStyle name="En-tête 1 38 2" xfId="2165"/>
    <cellStyle name="En-tête 1 39" xfId="2166"/>
    <cellStyle name="En-tête 1 39 2" xfId="2167"/>
    <cellStyle name="En-tête 1 4" xfId="2168"/>
    <cellStyle name="En-tête 1 4 2" xfId="2169"/>
    <cellStyle name="En-tête 1 40" xfId="2170"/>
    <cellStyle name="En-tête 1 40 2" xfId="2171"/>
    <cellStyle name="En-tête 1 41" xfId="2172"/>
    <cellStyle name="En-tête 1 41 2" xfId="2173"/>
    <cellStyle name="En-tête 1 42" xfId="2174"/>
    <cellStyle name="En-tête 1 5" xfId="2175"/>
    <cellStyle name="En-tête 1 5 2" xfId="2176"/>
    <cellStyle name="En-tête 1 6" xfId="2177"/>
    <cellStyle name="En-tête 1 6 2" xfId="2178"/>
    <cellStyle name="En-tête 1 7" xfId="2179"/>
    <cellStyle name="En-tête 1 7 2" xfId="2180"/>
    <cellStyle name="En-tête 1 8" xfId="2181"/>
    <cellStyle name="En-tête 1 8 2" xfId="2182"/>
    <cellStyle name="En-tête 1 9" xfId="2183"/>
    <cellStyle name="En-tête 1 9 2" xfId="2184"/>
    <cellStyle name="En-tête 2" xfId="2185"/>
    <cellStyle name="En-tête 2 10" xfId="2186"/>
    <cellStyle name="En-tête 2 10 2" xfId="2187"/>
    <cellStyle name="En-tête 2 11" xfId="2188"/>
    <cellStyle name="En-tête 2 11 2" xfId="2189"/>
    <cellStyle name="En-tête 2 12" xfId="2190"/>
    <cellStyle name="En-tête 2 12 2" xfId="2191"/>
    <cellStyle name="En-tête 2 13" xfId="2192"/>
    <cellStyle name="En-tête 2 13 2" xfId="2193"/>
    <cellStyle name="En-tête 2 14" xfId="2194"/>
    <cellStyle name="En-tête 2 14 2" xfId="2195"/>
    <cellStyle name="En-tête 2 15" xfId="2196"/>
    <cellStyle name="En-tête 2 15 2" xfId="2197"/>
    <cellStyle name="En-tête 2 16" xfId="2198"/>
    <cellStyle name="En-tête 2 16 2" xfId="2199"/>
    <cellStyle name="En-tête 2 17" xfId="2200"/>
    <cellStyle name="En-tête 2 17 2" xfId="2201"/>
    <cellStyle name="En-tête 2 18" xfId="2202"/>
    <cellStyle name="En-tête 2 18 2" xfId="2203"/>
    <cellStyle name="En-tête 2 19" xfId="2204"/>
    <cellStyle name="En-tête 2 19 2" xfId="2205"/>
    <cellStyle name="En-tête 2 2" xfId="2206"/>
    <cellStyle name="En-tête 2 2 2" xfId="2207"/>
    <cellStyle name="En-tête 2 2 2 2" xfId="2208"/>
    <cellStyle name="En-tête 2 2 3" xfId="2209"/>
    <cellStyle name="En-tête 2 20" xfId="2210"/>
    <cellStyle name="En-tête 2 20 2" xfId="2211"/>
    <cellStyle name="En-tête 2 21" xfId="2212"/>
    <cellStyle name="En-tête 2 21 2" xfId="2213"/>
    <cellStyle name="En-tête 2 22" xfId="2214"/>
    <cellStyle name="En-tête 2 22 2" xfId="2215"/>
    <cellStyle name="En-tête 2 23" xfId="2216"/>
    <cellStyle name="En-tête 2 23 2" xfId="2217"/>
    <cellStyle name="En-tête 2 24" xfId="2218"/>
    <cellStyle name="En-tête 2 24 2" xfId="2219"/>
    <cellStyle name="En-tête 2 25" xfId="2220"/>
    <cellStyle name="En-tête 2 25 2" xfId="2221"/>
    <cellStyle name="En-tête 2 26" xfId="2222"/>
    <cellStyle name="En-tête 2 26 2" xfId="2223"/>
    <cellStyle name="En-tête 2 27" xfId="2224"/>
    <cellStyle name="En-tête 2 27 2" xfId="2225"/>
    <cellStyle name="En-tête 2 28" xfId="2226"/>
    <cellStyle name="En-tête 2 28 2" xfId="2227"/>
    <cellStyle name="En-tête 2 29" xfId="2228"/>
    <cellStyle name="En-tête 2 29 2" xfId="2229"/>
    <cellStyle name="En-tête 2 3" xfId="2230"/>
    <cellStyle name="En-tête 2 3 2" xfId="2231"/>
    <cellStyle name="En-tête 2 30" xfId="2232"/>
    <cellStyle name="En-tête 2 30 2" xfId="2233"/>
    <cellStyle name="En-tête 2 31" xfId="2234"/>
    <cellStyle name="En-tête 2 31 2" xfId="2235"/>
    <cellStyle name="En-tête 2 32" xfId="2236"/>
    <cellStyle name="En-tête 2 32 2" xfId="2237"/>
    <cellStyle name="En-tête 2 33" xfId="2238"/>
    <cellStyle name="En-tête 2 33 2" xfId="2239"/>
    <cellStyle name="En-tête 2 34" xfId="2240"/>
    <cellStyle name="En-tête 2 34 2" xfId="2241"/>
    <cellStyle name="En-tête 2 35" xfId="2242"/>
    <cellStyle name="En-tête 2 35 2" xfId="2243"/>
    <cellStyle name="En-tête 2 36" xfId="2244"/>
    <cellStyle name="En-tête 2 36 2" xfId="2245"/>
    <cellStyle name="En-tête 2 37" xfId="2246"/>
    <cellStyle name="En-tête 2 37 2" xfId="2247"/>
    <cellStyle name="En-tête 2 38" xfId="2248"/>
    <cellStyle name="En-tête 2 38 2" xfId="2249"/>
    <cellStyle name="En-tête 2 39" xfId="2250"/>
    <cellStyle name="En-tête 2 39 2" xfId="2251"/>
    <cellStyle name="En-tête 2 4" xfId="2252"/>
    <cellStyle name="En-tête 2 4 2" xfId="2253"/>
    <cellStyle name="En-tête 2 40" xfId="2254"/>
    <cellStyle name="En-tête 2 40 2" xfId="2255"/>
    <cellStyle name="En-tête 2 41" xfId="2256"/>
    <cellStyle name="En-tête 2 41 2" xfId="2257"/>
    <cellStyle name="En-tête 2 42" xfId="2258"/>
    <cellStyle name="En-tête 2 5" xfId="2259"/>
    <cellStyle name="En-tête 2 5 2" xfId="2260"/>
    <cellStyle name="En-tête 2 6" xfId="2261"/>
    <cellStyle name="En-tête 2 6 2" xfId="2262"/>
    <cellStyle name="En-tête 2 7" xfId="2263"/>
    <cellStyle name="En-tête 2 7 2" xfId="2264"/>
    <cellStyle name="En-tête 2 8" xfId="2265"/>
    <cellStyle name="En-tête 2 8 2" xfId="2266"/>
    <cellStyle name="En-tête 2 9" xfId="2267"/>
    <cellStyle name="En-tête 2 9 2" xfId="2268"/>
    <cellStyle name="EN-TETE1" xfId="2077"/>
    <cellStyle name="EN-TETE1 2" xfId="2078"/>
    <cellStyle name="EN-TETE1 2 2" xfId="2079"/>
    <cellStyle name="EN-TETE1 2 2 2" xfId="2080"/>
    <cellStyle name="EN-TETE1 2 3" xfId="2081"/>
    <cellStyle name="EN-TETE1 3" xfId="2082"/>
    <cellStyle name="EN-TETE1 3 2" xfId="2083"/>
    <cellStyle name="EN-TETE1 3 2 2" xfId="2084"/>
    <cellStyle name="EN-TETE1 3 3" xfId="2085"/>
    <cellStyle name="EN-TETE1 4" xfId="2086"/>
    <cellStyle name="EN-TETE1 4 2" xfId="2087"/>
    <cellStyle name="EN-TETE1 5" xfId="2088"/>
    <cellStyle name="EN-TETE2" xfId="2089"/>
    <cellStyle name="EN-TETE2 2" xfId="2090"/>
    <cellStyle name="EN-TETE2 2 2" xfId="2091"/>
    <cellStyle name="EN-TETE2 2 2 2" xfId="2092"/>
    <cellStyle name="EN-TETE2 2 3" xfId="2093"/>
    <cellStyle name="EN-TETE2 3" xfId="2094"/>
    <cellStyle name="EN-TETE2 3 2" xfId="2095"/>
    <cellStyle name="EN-TETE2 3 2 2" xfId="2096"/>
    <cellStyle name="EN-TETE2 3 3" xfId="2097"/>
    <cellStyle name="EN-TETE2 4" xfId="2098"/>
    <cellStyle name="EN-TETE2 4 2" xfId="2099"/>
    <cellStyle name="EN-TETE2 5" xfId="2100"/>
    <cellStyle name="entetecolonne" xfId="2269"/>
    <cellStyle name="entetecolonne 2" xfId="2270"/>
    <cellStyle name="Entrée 10" xfId="2271"/>
    <cellStyle name="Entrée 10 2" xfId="2272"/>
    <cellStyle name="Entrée 11" xfId="2273"/>
    <cellStyle name="Entrée 11 2" xfId="2274"/>
    <cellStyle name="Entrée 11 2 2" xfId="2275"/>
    <cellStyle name="Entrée 11 3" xfId="2276"/>
    <cellStyle name="Entrée 11 3 2" xfId="2277"/>
    <cellStyle name="Entrée 11 4" xfId="2278"/>
    <cellStyle name="Entrée 11 4 2" xfId="2279"/>
    <cellStyle name="Entrée 11 5" xfId="2280"/>
    <cellStyle name="Entrée 12" xfId="2281"/>
    <cellStyle name="Entrée 12 2" xfId="2282"/>
    <cellStyle name="Entrée 12 2 2" xfId="2283"/>
    <cellStyle name="Entrée 12 3" xfId="2284"/>
    <cellStyle name="Entrée 12 3 2" xfId="2285"/>
    <cellStyle name="Entrée 12 4" xfId="2286"/>
    <cellStyle name="Entrée 13" xfId="2287"/>
    <cellStyle name="Entrée 13 2" xfId="2288"/>
    <cellStyle name="Entrée 14" xfId="2289"/>
    <cellStyle name="Entrée 14 2" xfId="2290"/>
    <cellStyle name="Entrée 15" xfId="2291"/>
    <cellStyle name="Entrée 15 2" xfId="2292"/>
    <cellStyle name="Entrée 2" xfId="2293"/>
    <cellStyle name="Entrée 2 2" xfId="2294"/>
    <cellStyle name="Entrée 2 2 2" xfId="2295"/>
    <cellStyle name="Entrée 2 3" xfId="2296"/>
    <cellStyle name="Entrée 2 3 2" xfId="2297"/>
    <cellStyle name="Entrée 2 3 2 2" xfId="2298"/>
    <cellStyle name="Entrée 2 3 3" xfId="2299"/>
    <cellStyle name="Entrée 2 4" xfId="2300"/>
    <cellStyle name="Entrée 2 4 2" xfId="2301"/>
    <cellStyle name="Entrée 2 5" xfId="2302"/>
    <cellStyle name="Entrée 3" xfId="2303"/>
    <cellStyle name="Entrée 3 2" xfId="2304"/>
    <cellStyle name="Entrée 3 2 2" xfId="2305"/>
    <cellStyle name="Entrée 3 3" xfId="2306"/>
    <cellStyle name="Entrée 3 3 2" xfId="2307"/>
    <cellStyle name="Entrée 3 4" xfId="2308"/>
    <cellStyle name="Entrée 3 4 2" xfId="2309"/>
    <cellStyle name="Entrée 3 5" xfId="2310"/>
    <cellStyle name="Entrée 4" xfId="2311"/>
    <cellStyle name="Entrée 4 2" xfId="2312"/>
    <cellStyle name="Entrée 4 2 2" xfId="2313"/>
    <cellStyle name="Entrée 4 3" xfId="2314"/>
    <cellStyle name="Entrée 4 3 2" xfId="2315"/>
    <cellStyle name="Entrée 4 4" xfId="2316"/>
    <cellStyle name="Entrée 4 4 2" xfId="2317"/>
    <cellStyle name="Entrée 4 5" xfId="2318"/>
    <cellStyle name="Entrée 5" xfId="2319"/>
    <cellStyle name="Entrée 5 2" xfId="2320"/>
    <cellStyle name="Entrée 5 2 2" xfId="2321"/>
    <cellStyle name="Entrée 5 3" xfId="2322"/>
    <cellStyle name="Entrée 6" xfId="2323"/>
    <cellStyle name="Entrée 6 2" xfId="2324"/>
    <cellStyle name="Entrée 6 2 2" xfId="2325"/>
    <cellStyle name="Entrée 6 3" xfId="2326"/>
    <cellStyle name="Entrée 7" xfId="2327"/>
    <cellStyle name="Entrée 7 2" xfId="2328"/>
    <cellStyle name="Entrée 8" xfId="2329"/>
    <cellStyle name="Entrée 8 2" xfId="2330"/>
    <cellStyle name="Entrée 9" xfId="2331"/>
    <cellStyle name="Entrée 9 2" xfId="2332"/>
    <cellStyle name="Euro" xfId="2333"/>
    <cellStyle name="Euro 2" xfId="2334"/>
    <cellStyle name="Euro 2 2" xfId="2335"/>
    <cellStyle name="Euro 2 3" xfId="2336"/>
    <cellStyle name="Euro 3" xfId="2337"/>
    <cellStyle name="Euro 3 2" xfId="2338"/>
    <cellStyle name="Euro 4" xfId="2339"/>
    <cellStyle name="Euro 4 2" xfId="2340"/>
    <cellStyle name="Euro 5" xfId="2341"/>
    <cellStyle name="f_tep" xfId="2902"/>
    <cellStyle name="f_tep 2" xfId="2903"/>
    <cellStyle name="F2" xfId="2342"/>
    <cellStyle name="F2 10" xfId="2343"/>
    <cellStyle name="F2 10 2" xfId="2344"/>
    <cellStyle name="F2 11" xfId="2345"/>
    <cellStyle name="F2 11 2" xfId="2346"/>
    <cellStyle name="F2 12" xfId="2347"/>
    <cellStyle name="F2 12 2" xfId="2348"/>
    <cellStyle name="F2 13" xfId="2349"/>
    <cellStyle name="F2 13 2" xfId="2350"/>
    <cellStyle name="F2 14" xfId="2351"/>
    <cellStyle name="F2 14 2" xfId="2352"/>
    <cellStyle name="F2 15" xfId="2353"/>
    <cellStyle name="F2 15 2" xfId="2354"/>
    <cellStyle name="F2 16" xfId="2355"/>
    <cellStyle name="F2 16 2" xfId="2356"/>
    <cellStyle name="F2 17" xfId="2357"/>
    <cellStyle name="F2 17 2" xfId="2358"/>
    <cellStyle name="F2 18" xfId="2359"/>
    <cellStyle name="F2 18 2" xfId="2360"/>
    <cellStyle name="F2 19" xfId="2361"/>
    <cellStyle name="F2 19 2" xfId="2362"/>
    <cellStyle name="F2 2" xfId="2363"/>
    <cellStyle name="F2 2 2" xfId="2364"/>
    <cellStyle name="F2 2 2 2" xfId="2365"/>
    <cellStyle name="F2 2 3" xfId="2366"/>
    <cellStyle name="F2 20" xfId="2367"/>
    <cellStyle name="F2 20 2" xfId="2368"/>
    <cellStyle name="F2 21" xfId="2369"/>
    <cellStyle name="F2 21 2" xfId="2370"/>
    <cellStyle name="F2 22" xfId="2371"/>
    <cellStyle name="F2 22 2" xfId="2372"/>
    <cellStyle name="F2 23" xfId="2373"/>
    <cellStyle name="F2 23 2" xfId="2374"/>
    <cellStyle name="F2 24" xfId="2375"/>
    <cellStyle name="F2 24 2" xfId="2376"/>
    <cellStyle name="F2 25" xfId="2377"/>
    <cellStyle name="F2 25 2" xfId="2378"/>
    <cellStyle name="F2 26" xfId="2379"/>
    <cellStyle name="F2 26 2" xfId="2380"/>
    <cellStyle name="F2 27" xfId="2381"/>
    <cellStyle name="F2 27 2" xfId="2382"/>
    <cellStyle name="F2 28" xfId="2383"/>
    <cellStyle name="F2 28 2" xfId="2384"/>
    <cellStyle name="F2 29" xfId="2385"/>
    <cellStyle name="F2 29 2" xfId="2386"/>
    <cellStyle name="F2 3" xfId="2387"/>
    <cellStyle name="F2 3 2" xfId="2388"/>
    <cellStyle name="F2 3 2 2" xfId="2389"/>
    <cellStyle name="F2 3 3" xfId="2390"/>
    <cellStyle name="F2 30" xfId="2391"/>
    <cellStyle name="F2 30 2" xfId="2392"/>
    <cellStyle name="F2 31" xfId="2393"/>
    <cellStyle name="F2 31 2" xfId="2394"/>
    <cellStyle name="F2 32" xfId="2395"/>
    <cellStyle name="F2 32 2" xfId="2396"/>
    <cellStyle name="F2 33" xfId="2397"/>
    <cellStyle name="F2 33 2" xfId="2398"/>
    <cellStyle name="F2 34" xfId="2399"/>
    <cellStyle name="F2 34 2" xfId="2400"/>
    <cellStyle name="F2 35" xfId="2401"/>
    <cellStyle name="F2 35 2" xfId="2402"/>
    <cellStyle name="F2 36" xfId="2403"/>
    <cellStyle name="F2 36 2" xfId="2404"/>
    <cellStyle name="F2 37" xfId="2405"/>
    <cellStyle name="F2 37 2" xfId="2406"/>
    <cellStyle name="F2 38" xfId="2407"/>
    <cellStyle name="F2 38 2" xfId="2408"/>
    <cellStyle name="F2 39" xfId="2409"/>
    <cellStyle name="F2 4" xfId="2410"/>
    <cellStyle name="F2 4 2" xfId="2411"/>
    <cellStyle name="F2 5" xfId="2412"/>
    <cellStyle name="F2 5 2" xfId="2413"/>
    <cellStyle name="F2 6" xfId="2414"/>
    <cellStyle name="F2 6 2" xfId="2415"/>
    <cellStyle name="F2 7" xfId="2416"/>
    <cellStyle name="F2 7 2" xfId="2417"/>
    <cellStyle name="F2 8" xfId="2418"/>
    <cellStyle name="F2 8 2" xfId="2419"/>
    <cellStyle name="F2 9" xfId="2420"/>
    <cellStyle name="F2 9 2" xfId="2421"/>
    <cellStyle name="F3" xfId="2422"/>
    <cellStyle name="F3 10" xfId="2423"/>
    <cellStyle name="F3 10 2" xfId="2424"/>
    <cellStyle name="F3 11" xfId="2425"/>
    <cellStyle name="F3 11 2" xfId="2426"/>
    <cellStyle name="F3 12" xfId="2427"/>
    <cellStyle name="F3 12 2" xfId="2428"/>
    <cellStyle name="F3 13" xfId="2429"/>
    <cellStyle name="F3 13 2" xfId="2430"/>
    <cellStyle name="F3 14" xfId="2431"/>
    <cellStyle name="F3 14 2" xfId="2432"/>
    <cellStyle name="F3 15" xfId="2433"/>
    <cellStyle name="F3 15 2" xfId="2434"/>
    <cellStyle name="F3 16" xfId="2435"/>
    <cellStyle name="F3 16 2" xfId="2436"/>
    <cellStyle name="F3 17" xfId="2437"/>
    <cellStyle name="F3 17 2" xfId="2438"/>
    <cellStyle name="F3 18" xfId="2439"/>
    <cellStyle name="F3 18 2" xfId="2440"/>
    <cellStyle name="F3 19" xfId="2441"/>
    <cellStyle name="F3 19 2" xfId="2442"/>
    <cellStyle name="F3 2" xfId="2443"/>
    <cellStyle name="F3 2 2" xfId="2444"/>
    <cellStyle name="F3 2 2 2" xfId="2445"/>
    <cellStyle name="F3 2 3" xfId="2446"/>
    <cellStyle name="F3 20" xfId="2447"/>
    <cellStyle name="F3 20 2" xfId="2448"/>
    <cellStyle name="F3 21" xfId="2449"/>
    <cellStyle name="F3 21 2" xfId="2450"/>
    <cellStyle name="F3 22" xfId="2451"/>
    <cellStyle name="F3 22 2" xfId="2452"/>
    <cellStyle name="F3 23" xfId="2453"/>
    <cellStyle name="F3 23 2" xfId="2454"/>
    <cellStyle name="F3 24" xfId="2455"/>
    <cellStyle name="F3 24 2" xfId="2456"/>
    <cellStyle name="F3 25" xfId="2457"/>
    <cellStyle name="F3 25 2" xfId="2458"/>
    <cellStyle name="F3 26" xfId="2459"/>
    <cellStyle name="F3 26 2" xfId="2460"/>
    <cellStyle name="F3 27" xfId="2461"/>
    <cellStyle name="F3 27 2" xfId="2462"/>
    <cellStyle name="F3 28" xfId="2463"/>
    <cellStyle name="F3 28 2" xfId="2464"/>
    <cellStyle name="F3 29" xfId="2465"/>
    <cellStyle name="F3 29 2" xfId="2466"/>
    <cellStyle name="F3 3" xfId="2467"/>
    <cellStyle name="F3 3 2" xfId="2468"/>
    <cellStyle name="F3 3 2 2" xfId="2469"/>
    <cellStyle name="F3 3 3" xfId="2470"/>
    <cellStyle name="F3 30" xfId="2471"/>
    <cellStyle name="F3 30 2" xfId="2472"/>
    <cellStyle name="F3 31" xfId="2473"/>
    <cellStyle name="F3 31 2" xfId="2474"/>
    <cellStyle name="F3 32" xfId="2475"/>
    <cellStyle name="F3 32 2" xfId="2476"/>
    <cellStyle name="F3 33" xfId="2477"/>
    <cellStyle name="F3 33 2" xfId="2478"/>
    <cellStyle name="F3 34" xfId="2479"/>
    <cellStyle name="F3 34 2" xfId="2480"/>
    <cellStyle name="F3 35" xfId="2481"/>
    <cellStyle name="F3 35 2" xfId="2482"/>
    <cellStyle name="F3 36" xfId="2483"/>
    <cellStyle name="F3 36 2" xfId="2484"/>
    <cellStyle name="F3 37" xfId="2485"/>
    <cellStyle name="F3 37 2" xfId="2486"/>
    <cellStyle name="F3 38" xfId="2487"/>
    <cellStyle name="F3 38 2" xfId="2488"/>
    <cellStyle name="F3 39" xfId="2489"/>
    <cellStyle name="F3 4" xfId="2490"/>
    <cellStyle name="F3 4 2" xfId="2491"/>
    <cellStyle name="F3 5" xfId="2492"/>
    <cellStyle name="F3 5 2" xfId="2493"/>
    <cellStyle name="F3 6" xfId="2494"/>
    <cellStyle name="F3 6 2" xfId="2495"/>
    <cellStyle name="F3 7" xfId="2496"/>
    <cellStyle name="F3 7 2" xfId="2497"/>
    <cellStyle name="F3 8" xfId="2498"/>
    <cellStyle name="F3 8 2" xfId="2499"/>
    <cellStyle name="F3 9" xfId="2500"/>
    <cellStyle name="F3 9 2" xfId="2501"/>
    <cellStyle name="F4" xfId="2502"/>
    <cellStyle name="F4 10" xfId="2503"/>
    <cellStyle name="F4 10 2" xfId="2504"/>
    <cellStyle name="F4 11" xfId="2505"/>
    <cellStyle name="F4 11 2" xfId="2506"/>
    <cellStyle name="F4 12" xfId="2507"/>
    <cellStyle name="F4 12 2" xfId="2508"/>
    <cellStyle name="F4 13" xfId="2509"/>
    <cellStyle name="F4 13 2" xfId="2510"/>
    <cellStyle name="F4 14" xfId="2511"/>
    <cellStyle name="F4 14 2" xfId="2512"/>
    <cellStyle name="F4 15" xfId="2513"/>
    <cellStyle name="F4 15 2" xfId="2514"/>
    <cellStyle name="F4 16" xfId="2515"/>
    <cellStyle name="F4 16 2" xfId="2516"/>
    <cellStyle name="F4 17" xfId="2517"/>
    <cellStyle name="F4 17 2" xfId="2518"/>
    <cellStyle name="F4 18" xfId="2519"/>
    <cellStyle name="F4 18 2" xfId="2520"/>
    <cellStyle name="F4 19" xfId="2521"/>
    <cellStyle name="F4 19 2" xfId="2522"/>
    <cellStyle name="F4 2" xfId="2523"/>
    <cellStyle name="F4 2 2" xfId="2524"/>
    <cellStyle name="F4 2 2 2" xfId="2525"/>
    <cellStyle name="F4 2 3" xfId="2526"/>
    <cellStyle name="F4 20" xfId="2527"/>
    <cellStyle name="F4 20 2" xfId="2528"/>
    <cellStyle name="F4 21" xfId="2529"/>
    <cellStyle name="F4 21 2" xfId="2530"/>
    <cellStyle name="F4 22" xfId="2531"/>
    <cellStyle name="F4 22 2" xfId="2532"/>
    <cellStyle name="F4 23" xfId="2533"/>
    <cellStyle name="F4 23 2" xfId="2534"/>
    <cellStyle name="F4 24" xfId="2535"/>
    <cellStyle name="F4 24 2" xfId="2536"/>
    <cellStyle name="F4 25" xfId="2537"/>
    <cellStyle name="F4 25 2" xfId="2538"/>
    <cellStyle name="F4 26" xfId="2539"/>
    <cellStyle name="F4 26 2" xfId="2540"/>
    <cellStyle name="F4 27" xfId="2541"/>
    <cellStyle name="F4 27 2" xfId="2542"/>
    <cellStyle name="F4 28" xfId="2543"/>
    <cellStyle name="F4 28 2" xfId="2544"/>
    <cellStyle name="F4 29" xfId="2545"/>
    <cellStyle name="F4 29 2" xfId="2546"/>
    <cellStyle name="F4 3" xfId="2547"/>
    <cellStyle name="F4 3 2" xfId="2548"/>
    <cellStyle name="F4 3 2 2" xfId="2549"/>
    <cellStyle name="F4 3 3" xfId="2550"/>
    <cellStyle name="F4 30" xfId="2551"/>
    <cellStyle name="F4 30 2" xfId="2552"/>
    <cellStyle name="F4 31" xfId="2553"/>
    <cellStyle name="F4 31 2" xfId="2554"/>
    <cellStyle name="F4 32" xfId="2555"/>
    <cellStyle name="F4 32 2" xfId="2556"/>
    <cellStyle name="F4 33" xfId="2557"/>
    <cellStyle name="F4 33 2" xfId="2558"/>
    <cellStyle name="F4 34" xfId="2559"/>
    <cellStyle name="F4 34 2" xfId="2560"/>
    <cellStyle name="F4 35" xfId="2561"/>
    <cellStyle name="F4 35 2" xfId="2562"/>
    <cellStyle name="F4 36" xfId="2563"/>
    <cellStyle name="F4 36 2" xfId="2564"/>
    <cellStyle name="F4 37" xfId="2565"/>
    <cellStyle name="F4 37 2" xfId="2566"/>
    <cellStyle name="F4 38" xfId="2567"/>
    <cellStyle name="F4 38 2" xfId="2568"/>
    <cellStyle name="F4 39" xfId="2569"/>
    <cellStyle name="F4 4" xfId="2570"/>
    <cellStyle name="F4 4 2" xfId="2571"/>
    <cellStyle name="F4 5" xfId="2572"/>
    <cellStyle name="F4 5 2" xfId="2573"/>
    <cellStyle name="F4 6" xfId="2574"/>
    <cellStyle name="F4 6 2" xfId="2575"/>
    <cellStyle name="F4 7" xfId="2576"/>
    <cellStyle name="F4 7 2" xfId="2577"/>
    <cellStyle name="F4 8" xfId="2578"/>
    <cellStyle name="F4 8 2" xfId="2579"/>
    <cellStyle name="F4 9" xfId="2580"/>
    <cellStyle name="F4 9 2" xfId="2581"/>
    <cellStyle name="F5" xfId="2582"/>
    <cellStyle name="F5 10" xfId="2583"/>
    <cellStyle name="F5 10 2" xfId="2584"/>
    <cellStyle name="F5 11" xfId="2585"/>
    <cellStyle name="F5 11 2" xfId="2586"/>
    <cellStyle name="F5 12" xfId="2587"/>
    <cellStyle name="F5 12 2" xfId="2588"/>
    <cellStyle name="F5 13" xfId="2589"/>
    <cellStyle name="F5 13 2" xfId="2590"/>
    <cellStyle name="F5 14" xfId="2591"/>
    <cellStyle name="F5 14 2" xfId="2592"/>
    <cellStyle name="F5 15" xfId="2593"/>
    <cellStyle name="F5 15 2" xfId="2594"/>
    <cellStyle name="F5 16" xfId="2595"/>
    <cellStyle name="F5 16 2" xfId="2596"/>
    <cellStyle name="F5 17" xfId="2597"/>
    <cellStyle name="F5 17 2" xfId="2598"/>
    <cellStyle name="F5 18" xfId="2599"/>
    <cellStyle name="F5 18 2" xfId="2600"/>
    <cellStyle name="F5 19" xfId="2601"/>
    <cellStyle name="F5 19 2" xfId="2602"/>
    <cellStyle name="F5 2" xfId="2603"/>
    <cellStyle name="F5 2 2" xfId="2604"/>
    <cellStyle name="F5 2 2 2" xfId="2605"/>
    <cellStyle name="F5 2 3" xfId="2606"/>
    <cellStyle name="F5 20" xfId="2607"/>
    <cellStyle name="F5 20 2" xfId="2608"/>
    <cellStyle name="F5 21" xfId="2609"/>
    <cellStyle name="F5 21 2" xfId="2610"/>
    <cellStyle name="F5 22" xfId="2611"/>
    <cellStyle name="F5 22 2" xfId="2612"/>
    <cellStyle name="F5 23" xfId="2613"/>
    <cellStyle name="F5 23 2" xfId="2614"/>
    <cellStyle name="F5 24" xfId="2615"/>
    <cellStyle name="F5 24 2" xfId="2616"/>
    <cellStyle name="F5 25" xfId="2617"/>
    <cellStyle name="F5 25 2" xfId="2618"/>
    <cellStyle name="F5 26" xfId="2619"/>
    <cellStyle name="F5 26 2" xfId="2620"/>
    <cellStyle name="F5 27" xfId="2621"/>
    <cellStyle name="F5 27 2" xfId="2622"/>
    <cellStyle name="F5 28" xfId="2623"/>
    <cellStyle name="F5 28 2" xfId="2624"/>
    <cellStyle name="F5 29" xfId="2625"/>
    <cellStyle name="F5 29 2" xfId="2626"/>
    <cellStyle name="F5 3" xfId="2627"/>
    <cellStyle name="F5 3 2" xfId="2628"/>
    <cellStyle name="F5 3 2 2" xfId="2629"/>
    <cellStyle name="F5 3 3" xfId="2630"/>
    <cellStyle name="F5 30" xfId="2631"/>
    <cellStyle name="F5 30 2" xfId="2632"/>
    <cellStyle name="F5 31" xfId="2633"/>
    <cellStyle name="F5 31 2" xfId="2634"/>
    <cellStyle name="F5 32" xfId="2635"/>
    <cellStyle name="F5 32 2" xfId="2636"/>
    <cellStyle name="F5 33" xfId="2637"/>
    <cellStyle name="F5 33 2" xfId="2638"/>
    <cellStyle name="F5 34" xfId="2639"/>
    <cellStyle name="F5 34 2" xfId="2640"/>
    <cellStyle name="F5 35" xfId="2641"/>
    <cellStyle name="F5 35 2" xfId="2642"/>
    <cellStyle name="F5 36" xfId="2643"/>
    <cellStyle name="F5 36 2" xfId="2644"/>
    <cellStyle name="F5 37" xfId="2645"/>
    <cellStyle name="F5 37 2" xfId="2646"/>
    <cellStyle name="F5 38" xfId="2647"/>
    <cellStyle name="F5 38 2" xfId="2648"/>
    <cellStyle name="F5 39" xfId="2649"/>
    <cellStyle name="F5 4" xfId="2650"/>
    <cellStyle name="F5 4 2" xfId="2651"/>
    <cellStyle name="F5 5" xfId="2652"/>
    <cellStyle name="F5 5 2" xfId="2653"/>
    <cellStyle name="F5 6" xfId="2654"/>
    <cellStyle name="F5 6 2" xfId="2655"/>
    <cellStyle name="F5 7" xfId="2656"/>
    <cellStyle name="F5 7 2" xfId="2657"/>
    <cellStyle name="F5 8" xfId="2658"/>
    <cellStyle name="F5 8 2" xfId="2659"/>
    <cellStyle name="F5 9" xfId="2660"/>
    <cellStyle name="F5 9 2" xfId="2661"/>
    <cellStyle name="F6" xfId="2662"/>
    <cellStyle name="F6 10" xfId="2663"/>
    <cellStyle name="F6 10 2" xfId="2664"/>
    <cellStyle name="F6 11" xfId="2665"/>
    <cellStyle name="F6 11 2" xfId="2666"/>
    <cellStyle name="F6 12" xfId="2667"/>
    <cellStyle name="F6 12 2" xfId="2668"/>
    <cellStyle name="F6 13" xfId="2669"/>
    <cellStyle name="F6 13 2" xfId="2670"/>
    <cellStyle name="F6 14" xfId="2671"/>
    <cellStyle name="F6 14 2" xfId="2672"/>
    <cellStyle name="F6 15" xfId="2673"/>
    <cellStyle name="F6 15 2" xfId="2674"/>
    <cellStyle name="F6 16" xfId="2675"/>
    <cellStyle name="F6 16 2" xfId="2676"/>
    <cellStyle name="F6 17" xfId="2677"/>
    <cellStyle name="F6 17 2" xfId="2678"/>
    <cellStyle name="F6 18" xfId="2679"/>
    <cellStyle name="F6 18 2" xfId="2680"/>
    <cellStyle name="F6 19" xfId="2681"/>
    <cellStyle name="F6 19 2" xfId="2682"/>
    <cellStyle name="F6 2" xfId="2683"/>
    <cellStyle name="F6 2 2" xfId="2684"/>
    <cellStyle name="F6 2 2 2" xfId="2685"/>
    <cellStyle name="F6 2 3" xfId="2686"/>
    <cellStyle name="F6 20" xfId="2687"/>
    <cellStyle name="F6 20 2" xfId="2688"/>
    <cellStyle name="F6 21" xfId="2689"/>
    <cellStyle name="F6 21 2" xfId="2690"/>
    <cellStyle name="F6 22" xfId="2691"/>
    <cellStyle name="F6 22 2" xfId="2692"/>
    <cellStyle name="F6 23" xfId="2693"/>
    <cellStyle name="F6 23 2" xfId="2694"/>
    <cellStyle name="F6 24" xfId="2695"/>
    <cellStyle name="F6 24 2" xfId="2696"/>
    <cellStyle name="F6 25" xfId="2697"/>
    <cellStyle name="F6 25 2" xfId="2698"/>
    <cellStyle name="F6 26" xfId="2699"/>
    <cellStyle name="F6 26 2" xfId="2700"/>
    <cellStyle name="F6 27" xfId="2701"/>
    <cellStyle name="F6 27 2" xfId="2702"/>
    <cellStyle name="F6 28" xfId="2703"/>
    <cellStyle name="F6 28 2" xfId="2704"/>
    <cellStyle name="F6 29" xfId="2705"/>
    <cellStyle name="F6 29 2" xfId="2706"/>
    <cellStyle name="F6 3" xfId="2707"/>
    <cellStyle name="F6 3 2" xfId="2708"/>
    <cellStyle name="F6 3 2 2" xfId="2709"/>
    <cellStyle name="F6 3 3" xfId="2710"/>
    <cellStyle name="F6 30" xfId="2711"/>
    <cellStyle name="F6 30 2" xfId="2712"/>
    <cellStyle name="F6 31" xfId="2713"/>
    <cellStyle name="F6 31 2" xfId="2714"/>
    <cellStyle name="F6 32" xfId="2715"/>
    <cellStyle name="F6 32 2" xfId="2716"/>
    <cellStyle name="F6 33" xfId="2717"/>
    <cellStyle name="F6 33 2" xfId="2718"/>
    <cellStyle name="F6 34" xfId="2719"/>
    <cellStyle name="F6 34 2" xfId="2720"/>
    <cellStyle name="F6 35" xfId="2721"/>
    <cellStyle name="F6 35 2" xfId="2722"/>
    <cellStyle name="F6 36" xfId="2723"/>
    <cellStyle name="F6 36 2" xfId="2724"/>
    <cellStyle name="F6 37" xfId="2725"/>
    <cellStyle name="F6 37 2" xfId="2726"/>
    <cellStyle name="F6 38" xfId="2727"/>
    <cellStyle name="F6 38 2" xfId="2728"/>
    <cellStyle name="F6 39" xfId="2729"/>
    <cellStyle name="F6 4" xfId="2730"/>
    <cellStyle name="F6 4 2" xfId="2731"/>
    <cellStyle name="F6 5" xfId="2732"/>
    <cellStyle name="F6 5 2" xfId="2733"/>
    <cellStyle name="F6 6" xfId="2734"/>
    <cellStyle name="F6 6 2" xfId="2735"/>
    <cellStyle name="F6 7" xfId="2736"/>
    <cellStyle name="F6 7 2" xfId="2737"/>
    <cellStyle name="F6 8" xfId="2738"/>
    <cellStyle name="F6 8 2" xfId="2739"/>
    <cellStyle name="F6 9" xfId="2740"/>
    <cellStyle name="F6 9 2" xfId="2741"/>
    <cellStyle name="F7" xfId="2742"/>
    <cellStyle name="F7 10" xfId="2743"/>
    <cellStyle name="F7 10 2" xfId="2744"/>
    <cellStyle name="F7 11" xfId="2745"/>
    <cellStyle name="F7 11 2" xfId="2746"/>
    <cellStyle name="F7 12" xfId="2747"/>
    <cellStyle name="F7 12 2" xfId="2748"/>
    <cellStyle name="F7 13" xfId="2749"/>
    <cellStyle name="F7 13 2" xfId="2750"/>
    <cellStyle name="F7 14" xfId="2751"/>
    <cellStyle name="F7 14 2" xfId="2752"/>
    <cellStyle name="F7 15" xfId="2753"/>
    <cellStyle name="F7 15 2" xfId="2754"/>
    <cellStyle name="F7 16" xfId="2755"/>
    <cellStyle name="F7 16 2" xfId="2756"/>
    <cellStyle name="F7 17" xfId="2757"/>
    <cellStyle name="F7 17 2" xfId="2758"/>
    <cellStyle name="F7 18" xfId="2759"/>
    <cellStyle name="F7 18 2" xfId="2760"/>
    <cellStyle name="F7 19" xfId="2761"/>
    <cellStyle name="F7 19 2" xfId="2762"/>
    <cellStyle name="F7 2" xfId="2763"/>
    <cellStyle name="F7 2 2" xfId="2764"/>
    <cellStyle name="F7 2 2 2" xfId="2765"/>
    <cellStyle name="F7 2 3" xfId="2766"/>
    <cellStyle name="F7 20" xfId="2767"/>
    <cellStyle name="F7 20 2" xfId="2768"/>
    <cellStyle name="F7 21" xfId="2769"/>
    <cellStyle name="F7 21 2" xfId="2770"/>
    <cellStyle name="F7 22" xfId="2771"/>
    <cellStyle name="F7 22 2" xfId="2772"/>
    <cellStyle name="F7 23" xfId="2773"/>
    <cellStyle name="F7 23 2" xfId="2774"/>
    <cellStyle name="F7 24" xfId="2775"/>
    <cellStyle name="F7 24 2" xfId="2776"/>
    <cellStyle name="F7 25" xfId="2777"/>
    <cellStyle name="F7 25 2" xfId="2778"/>
    <cellStyle name="F7 26" xfId="2779"/>
    <cellStyle name="F7 26 2" xfId="2780"/>
    <cellStyle name="F7 27" xfId="2781"/>
    <cellStyle name="F7 27 2" xfId="2782"/>
    <cellStyle name="F7 28" xfId="2783"/>
    <cellStyle name="F7 28 2" xfId="2784"/>
    <cellStyle name="F7 29" xfId="2785"/>
    <cellStyle name="F7 29 2" xfId="2786"/>
    <cellStyle name="F7 3" xfId="2787"/>
    <cellStyle name="F7 3 2" xfId="2788"/>
    <cellStyle name="F7 3 2 2" xfId="2789"/>
    <cellStyle name="F7 3 3" xfId="2790"/>
    <cellStyle name="F7 30" xfId="2791"/>
    <cellStyle name="F7 30 2" xfId="2792"/>
    <cellStyle name="F7 31" xfId="2793"/>
    <cellStyle name="F7 31 2" xfId="2794"/>
    <cellStyle name="F7 32" xfId="2795"/>
    <cellStyle name="F7 32 2" xfId="2796"/>
    <cellStyle name="F7 33" xfId="2797"/>
    <cellStyle name="F7 33 2" xfId="2798"/>
    <cellStyle name="F7 34" xfId="2799"/>
    <cellStyle name="F7 34 2" xfId="2800"/>
    <cellStyle name="F7 35" xfId="2801"/>
    <cellStyle name="F7 35 2" xfId="2802"/>
    <cellStyle name="F7 36" xfId="2803"/>
    <cellStyle name="F7 36 2" xfId="2804"/>
    <cellStyle name="F7 37" xfId="2805"/>
    <cellStyle name="F7 37 2" xfId="2806"/>
    <cellStyle name="F7 38" xfId="2807"/>
    <cellStyle name="F7 38 2" xfId="2808"/>
    <cellStyle name="F7 39" xfId="2809"/>
    <cellStyle name="F7 4" xfId="2810"/>
    <cellStyle name="F7 4 2" xfId="2811"/>
    <cellStyle name="F7 5" xfId="2812"/>
    <cellStyle name="F7 5 2" xfId="2813"/>
    <cellStyle name="F7 6" xfId="2814"/>
    <cellStyle name="F7 6 2" xfId="2815"/>
    <cellStyle name="F7 7" xfId="2816"/>
    <cellStyle name="F7 7 2" xfId="2817"/>
    <cellStyle name="F7 8" xfId="2818"/>
    <cellStyle name="F7 8 2" xfId="2819"/>
    <cellStyle name="F7 9" xfId="2820"/>
    <cellStyle name="F7 9 2" xfId="2821"/>
    <cellStyle name="F8" xfId="2822"/>
    <cellStyle name="F8 10" xfId="2823"/>
    <cellStyle name="F8 10 2" xfId="2824"/>
    <cellStyle name="F8 11" xfId="2825"/>
    <cellStyle name="F8 11 2" xfId="2826"/>
    <cellStyle name="F8 12" xfId="2827"/>
    <cellStyle name="F8 12 2" xfId="2828"/>
    <cellStyle name="F8 13" xfId="2829"/>
    <cellStyle name="F8 13 2" xfId="2830"/>
    <cellStyle name="F8 14" xfId="2831"/>
    <cellStyle name="F8 14 2" xfId="2832"/>
    <cellStyle name="F8 15" xfId="2833"/>
    <cellStyle name="F8 15 2" xfId="2834"/>
    <cellStyle name="F8 16" xfId="2835"/>
    <cellStyle name="F8 16 2" xfId="2836"/>
    <cellStyle name="F8 17" xfId="2837"/>
    <cellStyle name="F8 17 2" xfId="2838"/>
    <cellStyle name="F8 18" xfId="2839"/>
    <cellStyle name="F8 18 2" xfId="2840"/>
    <cellStyle name="F8 19" xfId="2841"/>
    <cellStyle name="F8 19 2" xfId="2842"/>
    <cellStyle name="F8 2" xfId="2843"/>
    <cellStyle name="F8 2 2" xfId="2844"/>
    <cellStyle name="F8 2 2 2" xfId="2845"/>
    <cellStyle name="F8 2 3" xfId="2846"/>
    <cellStyle name="F8 20" xfId="2847"/>
    <cellStyle name="F8 20 2" xfId="2848"/>
    <cellStyle name="F8 21" xfId="2849"/>
    <cellStyle name="F8 21 2" xfId="2850"/>
    <cellStyle name="F8 22" xfId="2851"/>
    <cellStyle name="F8 22 2" xfId="2852"/>
    <cellStyle name="F8 23" xfId="2853"/>
    <cellStyle name="F8 23 2" xfId="2854"/>
    <cellStyle name="F8 24" xfId="2855"/>
    <cellStyle name="F8 24 2" xfId="2856"/>
    <cellStyle name="F8 25" xfId="2857"/>
    <cellStyle name="F8 25 2" xfId="2858"/>
    <cellStyle name="F8 26" xfId="2859"/>
    <cellStyle name="F8 26 2" xfId="2860"/>
    <cellStyle name="F8 27" xfId="2861"/>
    <cellStyle name="F8 27 2" xfId="2862"/>
    <cellStyle name="F8 28" xfId="2863"/>
    <cellStyle name="F8 28 2" xfId="2864"/>
    <cellStyle name="F8 29" xfId="2865"/>
    <cellStyle name="F8 29 2" xfId="2866"/>
    <cellStyle name="F8 3" xfId="2867"/>
    <cellStyle name="F8 3 2" xfId="2868"/>
    <cellStyle name="F8 3 2 2" xfId="2869"/>
    <cellStyle name="F8 3 3" xfId="2870"/>
    <cellStyle name="F8 30" xfId="2871"/>
    <cellStyle name="F8 30 2" xfId="2872"/>
    <cellStyle name="F8 31" xfId="2873"/>
    <cellStyle name="F8 31 2" xfId="2874"/>
    <cellStyle name="F8 32" xfId="2875"/>
    <cellStyle name="F8 32 2" xfId="2876"/>
    <cellStyle name="F8 33" xfId="2877"/>
    <cellStyle name="F8 33 2" xfId="2878"/>
    <cellStyle name="F8 34" xfId="2879"/>
    <cellStyle name="F8 34 2" xfId="2880"/>
    <cellStyle name="F8 35" xfId="2881"/>
    <cellStyle name="F8 35 2" xfId="2882"/>
    <cellStyle name="F8 36" xfId="2883"/>
    <cellStyle name="F8 36 2" xfId="2884"/>
    <cellStyle name="F8 37" xfId="2885"/>
    <cellStyle name="F8 37 2" xfId="2886"/>
    <cellStyle name="F8 38" xfId="2887"/>
    <cellStyle name="F8 38 2" xfId="2888"/>
    <cellStyle name="F8 39" xfId="2889"/>
    <cellStyle name="F8 4" xfId="2890"/>
    <cellStyle name="F8 4 2" xfId="2891"/>
    <cellStyle name="F8 5" xfId="2892"/>
    <cellStyle name="F8 5 2" xfId="2893"/>
    <cellStyle name="F8 6" xfId="2894"/>
    <cellStyle name="F8 6 2" xfId="2895"/>
    <cellStyle name="F8 7" xfId="2896"/>
    <cellStyle name="F8 7 2" xfId="2897"/>
    <cellStyle name="F8 8" xfId="2898"/>
    <cellStyle name="F8 8 2" xfId="2899"/>
    <cellStyle name="F8 9" xfId="2900"/>
    <cellStyle name="F8 9 2" xfId="2901"/>
    <cellStyle name="Financier0" xfId="2904"/>
    <cellStyle name="Financier0 10" xfId="2905"/>
    <cellStyle name="Financier0 10 2" xfId="2906"/>
    <cellStyle name="Financier0 11" xfId="2907"/>
    <cellStyle name="Financier0 11 2" xfId="2908"/>
    <cellStyle name="Financier0 12" xfId="2909"/>
    <cellStyle name="Financier0 12 2" xfId="2910"/>
    <cellStyle name="Financier0 13" xfId="2911"/>
    <cellStyle name="Financier0 13 2" xfId="2912"/>
    <cellStyle name="Financier0 14" xfId="2913"/>
    <cellStyle name="Financier0 14 2" xfId="2914"/>
    <cellStyle name="Financier0 15" xfId="2915"/>
    <cellStyle name="Financier0 15 2" xfId="2916"/>
    <cellStyle name="Financier0 16" xfId="2917"/>
    <cellStyle name="Financier0 16 2" xfId="2918"/>
    <cellStyle name="Financier0 17" xfId="2919"/>
    <cellStyle name="Financier0 17 2" xfId="2920"/>
    <cellStyle name="Financier0 18" xfId="2921"/>
    <cellStyle name="Financier0 18 2" xfId="2922"/>
    <cellStyle name="Financier0 19" xfId="2923"/>
    <cellStyle name="Financier0 19 2" xfId="2924"/>
    <cellStyle name="Financier0 2" xfId="2925"/>
    <cellStyle name="Financier0 2 2" xfId="2926"/>
    <cellStyle name="Financier0 2 2 2" xfId="2927"/>
    <cellStyle name="Financier0 2 3" xfId="2928"/>
    <cellStyle name="Financier0 20" xfId="2929"/>
    <cellStyle name="Financier0 20 2" xfId="2930"/>
    <cellStyle name="Financier0 21" xfId="2931"/>
    <cellStyle name="Financier0 21 2" xfId="2932"/>
    <cellStyle name="Financier0 22" xfId="2933"/>
    <cellStyle name="Financier0 22 2" xfId="2934"/>
    <cellStyle name="Financier0 23" xfId="2935"/>
    <cellStyle name="Financier0 23 2" xfId="2936"/>
    <cellStyle name="Financier0 24" xfId="2937"/>
    <cellStyle name="Financier0 24 2" xfId="2938"/>
    <cellStyle name="Financier0 25" xfId="2939"/>
    <cellStyle name="Financier0 25 2" xfId="2940"/>
    <cellStyle name="Financier0 26" xfId="2941"/>
    <cellStyle name="Financier0 26 2" xfId="2942"/>
    <cellStyle name="Financier0 27" xfId="2943"/>
    <cellStyle name="Financier0 27 2" xfId="2944"/>
    <cellStyle name="Financier0 28" xfId="2945"/>
    <cellStyle name="Financier0 28 2" xfId="2946"/>
    <cellStyle name="Financier0 29" xfId="2947"/>
    <cellStyle name="Financier0 29 2" xfId="2948"/>
    <cellStyle name="Financier0 3" xfId="2949"/>
    <cellStyle name="Financier0 3 2" xfId="2950"/>
    <cellStyle name="Financier0 30" xfId="2951"/>
    <cellStyle name="Financier0 30 2" xfId="2952"/>
    <cellStyle name="Financier0 31" xfId="2953"/>
    <cellStyle name="Financier0 31 2" xfId="2954"/>
    <cellStyle name="Financier0 32" xfId="2955"/>
    <cellStyle name="Financier0 32 2" xfId="2956"/>
    <cellStyle name="Financier0 33" xfId="2957"/>
    <cellStyle name="Financier0 33 2" xfId="2958"/>
    <cellStyle name="Financier0 34" xfId="2959"/>
    <cellStyle name="Financier0 34 2" xfId="2960"/>
    <cellStyle name="Financier0 35" xfId="2961"/>
    <cellStyle name="Financier0 35 2" xfId="2962"/>
    <cellStyle name="Financier0 36" xfId="2963"/>
    <cellStyle name="Financier0 36 2" xfId="2964"/>
    <cellStyle name="Financier0 37" xfId="2965"/>
    <cellStyle name="Financier0 37 2" xfId="2966"/>
    <cellStyle name="Financier0 38" xfId="2967"/>
    <cellStyle name="Financier0 38 2" xfId="2968"/>
    <cellStyle name="Financier0 39" xfId="2969"/>
    <cellStyle name="Financier0 4" xfId="2970"/>
    <cellStyle name="Financier0 4 2" xfId="2971"/>
    <cellStyle name="Financier0 5" xfId="2972"/>
    <cellStyle name="Financier0 5 2" xfId="2973"/>
    <cellStyle name="Financier0 6" xfId="2974"/>
    <cellStyle name="Financier0 6 2" xfId="2975"/>
    <cellStyle name="Financier0 7" xfId="2976"/>
    <cellStyle name="Financier0 7 2" xfId="2977"/>
    <cellStyle name="Financier0 8" xfId="2978"/>
    <cellStyle name="Financier0 8 2" xfId="2979"/>
    <cellStyle name="Financier0 9" xfId="2980"/>
    <cellStyle name="Financier0 9 2" xfId="2981"/>
    <cellStyle name="FIXE" xfId="2982"/>
    <cellStyle name="FIXE 2" xfId="2983"/>
    <cellStyle name="FIXE 2 2" xfId="2984"/>
    <cellStyle name="FIXE 2 2 2" xfId="2985"/>
    <cellStyle name="FIXE 2 3" xfId="2986"/>
    <cellStyle name="FIXE 3" xfId="2987"/>
    <cellStyle name="FIXE 3 2" xfId="2988"/>
    <cellStyle name="FIXE 3 2 2" xfId="2989"/>
    <cellStyle name="FIXE 3 3" xfId="2990"/>
    <cellStyle name="FIXE 4" xfId="2991"/>
    <cellStyle name="FIXE 4 2" xfId="2992"/>
    <cellStyle name="FIXE 5" xfId="2993"/>
    <cellStyle name="Headline" xfId="2994"/>
    <cellStyle name="Headline 2" xfId="2995"/>
    <cellStyle name="Input" xfId="2996"/>
    <cellStyle name="Input 2" xfId="2997"/>
    <cellStyle name="Input INT" xfId="2998"/>
    <cellStyle name="Input INT 2" xfId="2999"/>
    <cellStyle name="Input_Budget_Guidelines" xfId="3000"/>
    <cellStyle name="InputCells" xfId="3001"/>
    <cellStyle name="InputCells 2" xfId="3002"/>
    <cellStyle name="InputCells12" xfId="3003"/>
    <cellStyle name="InputCells12 2" xfId="3004"/>
    <cellStyle name="Insatisfaisant 10" xfId="3005"/>
    <cellStyle name="Insatisfaisant 10 2" xfId="3006"/>
    <cellStyle name="Insatisfaisant 11" xfId="3007"/>
    <cellStyle name="Insatisfaisant 11 2" xfId="3008"/>
    <cellStyle name="Insatisfaisant 11 2 2" xfId="3009"/>
    <cellStyle name="Insatisfaisant 11 3" xfId="3010"/>
    <cellStyle name="Insatisfaisant 11 3 2" xfId="3011"/>
    <cellStyle name="Insatisfaisant 11 4" xfId="3012"/>
    <cellStyle name="Insatisfaisant 11 4 2" xfId="3013"/>
    <cellStyle name="Insatisfaisant 11 5" xfId="3014"/>
    <cellStyle name="Insatisfaisant 12" xfId="3015"/>
    <cellStyle name="Insatisfaisant 12 2" xfId="3016"/>
    <cellStyle name="Insatisfaisant 12 2 2" xfId="3017"/>
    <cellStyle name="Insatisfaisant 12 3" xfId="3018"/>
    <cellStyle name="Insatisfaisant 12 3 2" xfId="3019"/>
    <cellStyle name="Insatisfaisant 12 4" xfId="3020"/>
    <cellStyle name="Insatisfaisant 13" xfId="3021"/>
    <cellStyle name="Insatisfaisant 13 2" xfId="3022"/>
    <cellStyle name="Insatisfaisant 14" xfId="3023"/>
    <cellStyle name="Insatisfaisant 14 2" xfId="3024"/>
    <cellStyle name="Insatisfaisant 15" xfId="3025"/>
    <cellStyle name="Insatisfaisant 15 2" xfId="3026"/>
    <cellStyle name="Insatisfaisant 2" xfId="3027"/>
    <cellStyle name="Insatisfaisant 2 2" xfId="3028"/>
    <cellStyle name="Insatisfaisant 2 2 2" xfId="3029"/>
    <cellStyle name="Insatisfaisant 2 3" xfId="3030"/>
    <cellStyle name="Insatisfaisant 2 3 2" xfId="3031"/>
    <cellStyle name="Insatisfaisant 2 4" xfId="3032"/>
    <cellStyle name="Insatisfaisant 2 4 2" xfId="3033"/>
    <cellStyle name="Insatisfaisant 2 5" xfId="3034"/>
    <cellStyle name="Insatisfaisant 3" xfId="3035"/>
    <cellStyle name="Insatisfaisant 3 2" xfId="3036"/>
    <cellStyle name="Insatisfaisant 3 2 2" xfId="3037"/>
    <cellStyle name="Insatisfaisant 3 3" xfId="3038"/>
    <cellStyle name="Insatisfaisant 3 3 2" xfId="3039"/>
    <cellStyle name="Insatisfaisant 3 4" xfId="3040"/>
    <cellStyle name="Insatisfaisant 3 4 2" xfId="3041"/>
    <cellStyle name="Insatisfaisant 3 5" xfId="3042"/>
    <cellStyle name="Insatisfaisant 4" xfId="3043"/>
    <cellStyle name="Insatisfaisant 4 2" xfId="3044"/>
    <cellStyle name="Insatisfaisant 4 2 2" xfId="3045"/>
    <cellStyle name="Insatisfaisant 4 3" xfId="3046"/>
    <cellStyle name="Insatisfaisant 4 3 2" xfId="3047"/>
    <cellStyle name="Insatisfaisant 4 4" xfId="3048"/>
    <cellStyle name="Insatisfaisant 4 4 2" xfId="3049"/>
    <cellStyle name="Insatisfaisant 4 5" xfId="3050"/>
    <cellStyle name="Insatisfaisant 5" xfId="3051"/>
    <cellStyle name="Insatisfaisant 5 2" xfId="3052"/>
    <cellStyle name="Insatisfaisant 5 2 2" xfId="3053"/>
    <cellStyle name="Insatisfaisant 5 3" xfId="3054"/>
    <cellStyle name="Insatisfaisant 6" xfId="3055"/>
    <cellStyle name="Insatisfaisant 6 2" xfId="3056"/>
    <cellStyle name="Insatisfaisant 6 2 2" xfId="3057"/>
    <cellStyle name="Insatisfaisant 6 3" xfId="3058"/>
    <cellStyle name="Insatisfaisant 7" xfId="3059"/>
    <cellStyle name="Insatisfaisant 7 2" xfId="3060"/>
    <cellStyle name="Insatisfaisant 8" xfId="3061"/>
    <cellStyle name="Insatisfaisant 8 2" xfId="3062"/>
    <cellStyle name="Insatisfaisant 9" xfId="3063"/>
    <cellStyle name="Insatisfaisant 9 2" xfId="3064"/>
    <cellStyle name="IntCells" xfId="3065"/>
    <cellStyle name="IntCells 2" xfId="3066"/>
    <cellStyle name="KASS01" xfId="3067"/>
    <cellStyle name="KASS01 2" xfId="3068"/>
    <cellStyle name="KP_thin_border_dark_grey" xfId="3069"/>
    <cellStyle name="Lien hypertexte" xfId="3" builtinId="8"/>
    <cellStyle name="Lien hypertexte 10" xfId="3070"/>
    <cellStyle name="Lien hypertexte 10 2" xfId="3071"/>
    <cellStyle name="Lien hypertexte 11" xfId="3072"/>
    <cellStyle name="Lien hypertexte 11 2" xfId="3073"/>
    <cellStyle name="Lien hypertexte 12" xfId="3074"/>
    <cellStyle name="Lien hypertexte 12 2" xfId="3075"/>
    <cellStyle name="Lien hypertexte 13" xfId="3076"/>
    <cellStyle name="Lien hypertexte 13 2" xfId="3077"/>
    <cellStyle name="Lien hypertexte 14" xfId="3078"/>
    <cellStyle name="Lien hypertexte 2" xfId="3079"/>
    <cellStyle name="Lien hypertexte 2 10" xfId="3080"/>
    <cellStyle name="Lien hypertexte 2 10 2" xfId="3081"/>
    <cellStyle name="Lien hypertexte 2 11" xfId="3082"/>
    <cellStyle name="Lien hypertexte 2 11 2" xfId="3083"/>
    <cellStyle name="Lien hypertexte 2 12" xfId="3084"/>
    <cellStyle name="Lien hypertexte 2 12 2" xfId="3085"/>
    <cellStyle name="Lien hypertexte 2 13" xfId="3086"/>
    <cellStyle name="Lien hypertexte 2 13 2" xfId="3087"/>
    <cellStyle name="Lien hypertexte 2 14" xfId="3088"/>
    <cellStyle name="Lien hypertexte 2 2" xfId="3089"/>
    <cellStyle name="Lien hypertexte 2 2 2" xfId="3090"/>
    <cellStyle name="Lien hypertexte 2 2 2 2" xfId="3091"/>
    <cellStyle name="Lien hypertexte 2 2 3" xfId="3092"/>
    <cellStyle name="Lien hypertexte 2 3" xfId="3093"/>
    <cellStyle name="Lien hypertexte 2 3 2" xfId="3094"/>
    <cellStyle name="Lien hypertexte 2 3 2 2" xfId="3095"/>
    <cellStyle name="Lien hypertexte 2 3 3" xfId="3096"/>
    <cellStyle name="Lien hypertexte 2 4" xfId="3097"/>
    <cellStyle name="Lien hypertexte 2 4 2" xfId="3098"/>
    <cellStyle name="Lien hypertexte 2 4 2 2" xfId="3099"/>
    <cellStyle name="Lien hypertexte 2 4 3" xfId="3100"/>
    <cellStyle name="Lien hypertexte 2 5" xfId="3101"/>
    <cellStyle name="Lien hypertexte 2 5 2" xfId="3102"/>
    <cellStyle name="Lien hypertexte 2 6" xfId="3103"/>
    <cellStyle name="Lien hypertexte 2 6 2" xfId="3104"/>
    <cellStyle name="Lien hypertexte 2 7" xfId="3105"/>
    <cellStyle name="Lien hypertexte 2 7 2" xfId="3106"/>
    <cellStyle name="Lien hypertexte 2 8" xfId="3107"/>
    <cellStyle name="Lien hypertexte 2 8 2" xfId="3108"/>
    <cellStyle name="Lien hypertexte 2 9" xfId="3109"/>
    <cellStyle name="Lien hypertexte 2 9 2" xfId="3110"/>
    <cellStyle name="Lien hypertexte 2_inv-en-1.5.0-02 trame_fiche-emissions" xfId="3111"/>
    <cellStyle name="Lien hypertexte 3" xfId="3112"/>
    <cellStyle name="Lien hypertexte 3 10" xfId="3113"/>
    <cellStyle name="Lien hypertexte 3 10 2" xfId="3114"/>
    <cellStyle name="Lien hypertexte 3 11" xfId="3115"/>
    <cellStyle name="Lien hypertexte 3 11 2" xfId="3116"/>
    <cellStyle name="Lien hypertexte 3 12" xfId="3117"/>
    <cellStyle name="Lien hypertexte 3 12 2" xfId="3118"/>
    <cellStyle name="Lien hypertexte 3 13" xfId="3119"/>
    <cellStyle name="Lien hypertexte 3 2" xfId="3120"/>
    <cellStyle name="Lien hypertexte 3 2 2" xfId="3121"/>
    <cellStyle name="Lien hypertexte 3 3" xfId="3122"/>
    <cellStyle name="Lien hypertexte 3 3 2" xfId="3123"/>
    <cellStyle name="Lien hypertexte 3 4" xfId="3124"/>
    <cellStyle name="Lien hypertexte 3 4 2" xfId="3125"/>
    <cellStyle name="Lien hypertexte 3 5" xfId="3126"/>
    <cellStyle name="Lien hypertexte 3 5 2" xfId="3127"/>
    <cellStyle name="Lien hypertexte 3 6" xfId="3128"/>
    <cellStyle name="Lien hypertexte 3 6 2" xfId="3129"/>
    <cellStyle name="Lien hypertexte 3 7" xfId="3130"/>
    <cellStyle name="Lien hypertexte 3 7 2" xfId="3131"/>
    <cellStyle name="Lien hypertexte 3 8" xfId="3132"/>
    <cellStyle name="Lien hypertexte 3 8 2" xfId="3133"/>
    <cellStyle name="Lien hypertexte 3 9" xfId="3134"/>
    <cellStyle name="Lien hypertexte 3 9 2" xfId="3135"/>
    <cellStyle name="Lien hypertexte 3_inv-en-1.5.0-02 trame_fiche-emissions" xfId="3136"/>
    <cellStyle name="Lien hypertexte 4" xfId="3137"/>
    <cellStyle name="Lien hypertexte 4 10" xfId="3138"/>
    <cellStyle name="Lien hypertexte 4 10 2" xfId="3139"/>
    <cellStyle name="Lien hypertexte 4 11" xfId="3140"/>
    <cellStyle name="Lien hypertexte 4 11 2" xfId="3141"/>
    <cellStyle name="Lien hypertexte 4 12" xfId="3142"/>
    <cellStyle name="Lien hypertexte 4 12 2" xfId="3143"/>
    <cellStyle name="Lien hypertexte 4 13" xfId="3144"/>
    <cellStyle name="Lien hypertexte 4 2" xfId="3145"/>
    <cellStyle name="Lien hypertexte 4 2 2" xfId="3146"/>
    <cellStyle name="Lien hypertexte 4 3" xfId="3147"/>
    <cellStyle name="Lien hypertexte 4 3 2" xfId="3148"/>
    <cellStyle name="Lien hypertexte 4 4" xfId="3149"/>
    <cellStyle name="Lien hypertexte 4 4 2" xfId="3150"/>
    <cellStyle name="Lien hypertexte 4 5" xfId="3151"/>
    <cellStyle name="Lien hypertexte 4 5 2" xfId="3152"/>
    <cellStyle name="Lien hypertexte 4 6" xfId="3153"/>
    <cellStyle name="Lien hypertexte 4 6 2" xfId="3154"/>
    <cellStyle name="Lien hypertexte 4 7" xfId="3155"/>
    <cellStyle name="Lien hypertexte 4 7 2" xfId="3156"/>
    <cellStyle name="Lien hypertexte 4 8" xfId="3157"/>
    <cellStyle name="Lien hypertexte 4 8 2" xfId="3158"/>
    <cellStyle name="Lien hypertexte 4 9" xfId="3159"/>
    <cellStyle name="Lien hypertexte 4 9 2" xfId="3160"/>
    <cellStyle name="Lien hypertexte 4_inv-en-1.5.0-02 trame_fiche-emissions" xfId="3161"/>
    <cellStyle name="Lien hypertexte 5" xfId="3162"/>
    <cellStyle name="Lien hypertexte 5 10" xfId="3163"/>
    <cellStyle name="Lien hypertexte 5 10 2" xfId="3164"/>
    <cellStyle name="Lien hypertexte 5 11" xfId="3165"/>
    <cellStyle name="Lien hypertexte 5 11 2" xfId="3166"/>
    <cellStyle name="Lien hypertexte 5 12" xfId="3167"/>
    <cellStyle name="Lien hypertexte 5 12 2" xfId="3168"/>
    <cellStyle name="Lien hypertexte 5 13" xfId="3169"/>
    <cellStyle name="Lien hypertexte 5 2" xfId="3170"/>
    <cellStyle name="Lien hypertexte 5 2 2" xfId="3171"/>
    <cellStyle name="Lien hypertexte 5 3" xfId="3172"/>
    <cellStyle name="Lien hypertexte 5 3 2" xfId="3173"/>
    <cellStyle name="Lien hypertexte 5 4" xfId="3174"/>
    <cellStyle name="Lien hypertexte 5 4 2" xfId="3175"/>
    <cellStyle name="Lien hypertexte 5 5" xfId="3176"/>
    <cellStyle name="Lien hypertexte 5 5 2" xfId="3177"/>
    <cellStyle name="Lien hypertexte 5 6" xfId="3178"/>
    <cellStyle name="Lien hypertexte 5 6 2" xfId="3179"/>
    <cellStyle name="Lien hypertexte 5 7" xfId="3180"/>
    <cellStyle name="Lien hypertexte 5 7 2" xfId="3181"/>
    <cellStyle name="Lien hypertexte 5 8" xfId="3182"/>
    <cellStyle name="Lien hypertexte 5 8 2" xfId="3183"/>
    <cellStyle name="Lien hypertexte 5 9" xfId="3184"/>
    <cellStyle name="Lien hypertexte 5 9 2" xfId="3185"/>
    <cellStyle name="Lien hypertexte 5_inv-en-1.5.0-02 trame_fiche-emissions" xfId="3186"/>
    <cellStyle name="Lien hypertexte 6" xfId="3187"/>
    <cellStyle name="Lien hypertexte 6 10" xfId="3188"/>
    <cellStyle name="Lien hypertexte 6 10 2" xfId="3189"/>
    <cellStyle name="Lien hypertexte 6 11" xfId="3190"/>
    <cellStyle name="Lien hypertexte 6 11 2" xfId="3191"/>
    <cellStyle name="Lien hypertexte 6 12" xfId="3192"/>
    <cellStyle name="Lien hypertexte 6 12 2" xfId="3193"/>
    <cellStyle name="Lien hypertexte 6 13" xfId="3194"/>
    <cellStyle name="Lien hypertexte 6 2" xfId="3195"/>
    <cellStyle name="Lien hypertexte 6 2 2" xfId="3196"/>
    <cellStyle name="Lien hypertexte 6 3" xfId="3197"/>
    <cellStyle name="Lien hypertexte 6 3 2" xfId="3198"/>
    <cellStyle name="Lien hypertexte 6 4" xfId="3199"/>
    <cellStyle name="Lien hypertexte 6 4 2" xfId="3200"/>
    <cellStyle name="Lien hypertexte 6 5" xfId="3201"/>
    <cellStyle name="Lien hypertexte 6 5 2" xfId="3202"/>
    <cellStyle name="Lien hypertexte 6 6" xfId="3203"/>
    <cellStyle name="Lien hypertexte 6 6 2" xfId="3204"/>
    <cellStyle name="Lien hypertexte 6 7" xfId="3205"/>
    <cellStyle name="Lien hypertexte 6 7 2" xfId="3206"/>
    <cellStyle name="Lien hypertexte 6 8" xfId="3207"/>
    <cellStyle name="Lien hypertexte 6 8 2" xfId="3208"/>
    <cellStyle name="Lien hypertexte 6 9" xfId="3209"/>
    <cellStyle name="Lien hypertexte 6 9 2" xfId="3210"/>
    <cellStyle name="Lien hypertexte 6_inv-en-1.5.0-02 trame_fiche-emissions" xfId="3211"/>
    <cellStyle name="Lien hypertexte 7" xfId="3212"/>
    <cellStyle name="Lien hypertexte 7 2" xfId="3213"/>
    <cellStyle name="Lien hypertexte 7 2 2" xfId="3214"/>
    <cellStyle name="Lien hypertexte 7 2 2 2" xfId="3215"/>
    <cellStyle name="Lien hypertexte 7 2 3" xfId="3216"/>
    <cellStyle name="Lien hypertexte 7 3" xfId="3217"/>
    <cellStyle name="Lien hypertexte 7 3 2" xfId="3218"/>
    <cellStyle name="Lien hypertexte 7 3 2 2" xfId="3219"/>
    <cellStyle name="Lien hypertexte 7 3 3" xfId="3220"/>
    <cellStyle name="Lien hypertexte 7 4" xfId="3221"/>
    <cellStyle name="Lien hypertexte 7 4 2" xfId="3222"/>
    <cellStyle name="Lien hypertexte 7 5" xfId="3223"/>
    <cellStyle name="Lien hypertexte 8" xfId="3224"/>
    <cellStyle name="Lien hypertexte 8 2" xfId="3225"/>
    <cellStyle name="Lien hypertexte 8 2 2" xfId="3226"/>
    <cellStyle name="Lien hypertexte 8 3" xfId="3227"/>
    <cellStyle name="Lien hypertexte 9" xfId="3228"/>
    <cellStyle name="Lien hypertexte 9 2" xfId="3229"/>
    <cellStyle name="Lien hypertexte 9 2 2" xfId="3230"/>
    <cellStyle name="Lien hypertexte 9 3" xfId="3231"/>
    <cellStyle name="Lien hypertexte 9 3 2" xfId="3232"/>
    <cellStyle name="Lien hypertexte 9 4" xfId="3233"/>
    <cellStyle name="mill" xfId="3234"/>
    <cellStyle name="mill 2" xfId="3235"/>
    <cellStyle name="Milliers" xfId="1" builtinId="3"/>
    <cellStyle name="Milliers 10" xfId="3236"/>
    <cellStyle name="Milliers 10 2" xfId="3237"/>
    <cellStyle name="Milliers 10 2 2" xfId="3238"/>
    <cellStyle name="Milliers 10 2 2 2" xfId="3239"/>
    <cellStyle name="Milliers 10 2 3" xfId="3240"/>
    <cellStyle name="Milliers 10 3" xfId="3241"/>
    <cellStyle name="Milliers 10 3 2" xfId="3242"/>
    <cellStyle name="Milliers 10 4" xfId="3243"/>
    <cellStyle name="Milliers 10 4 2" xfId="3244"/>
    <cellStyle name="Milliers 10 5" xfId="3245"/>
    <cellStyle name="Milliers 11" xfId="3246"/>
    <cellStyle name="Milliers 11 2" xfId="3247"/>
    <cellStyle name="Milliers 11 2 2" xfId="3248"/>
    <cellStyle name="Milliers 11 3" xfId="3249"/>
    <cellStyle name="Milliers 12" xfId="3250"/>
    <cellStyle name="Milliers 12 2" xfId="3251"/>
    <cellStyle name="Milliers 12 2 2" xfId="3252"/>
    <cellStyle name="Milliers 12 3" xfId="3253"/>
    <cellStyle name="Milliers 13" xfId="3254"/>
    <cellStyle name="Milliers 13 2" xfId="3255"/>
    <cellStyle name="Milliers 13 2 2" xfId="3256"/>
    <cellStyle name="Milliers 13 3" xfId="3257"/>
    <cellStyle name="Milliers 13 4" xfId="3258"/>
    <cellStyle name="Milliers 14" xfId="3259"/>
    <cellStyle name="Milliers 14 2" xfId="3260"/>
    <cellStyle name="Milliers 15" xfId="3261"/>
    <cellStyle name="Milliers 15 2" xfId="3262"/>
    <cellStyle name="Milliers 16" xfId="3263"/>
    <cellStyle name="Milliers 16 2" xfId="3264"/>
    <cellStyle name="Milliers 16 3" xfId="3265"/>
    <cellStyle name="Milliers 17" xfId="3266"/>
    <cellStyle name="Milliers 17 2" xfId="3267"/>
    <cellStyle name="Milliers 2" xfId="3268"/>
    <cellStyle name="Milliers 2 10" xfId="3269"/>
    <cellStyle name="Milliers 2 10 2" xfId="3270"/>
    <cellStyle name="Milliers 2 11" xfId="3271"/>
    <cellStyle name="Milliers 2 11 2" xfId="3272"/>
    <cellStyle name="Milliers 2 12" xfId="3273"/>
    <cellStyle name="Milliers 2 12 2" xfId="3274"/>
    <cellStyle name="Milliers 2 13" xfId="3275"/>
    <cellStyle name="Milliers 2 13 2" xfId="3276"/>
    <cellStyle name="Milliers 2 14" xfId="3277"/>
    <cellStyle name="Milliers 2 14 2" xfId="3278"/>
    <cellStyle name="Milliers 2 15" xfId="3279"/>
    <cellStyle name="Milliers 2 15 2" xfId="3280"/>
    <cellStyle name="Milliers 2 16" xfId="3281"/>
    <cellStyle name="Milliers 2 17" xfId="3282"/>
    <cellStyle name="Milliers 2 2" xfId="3283"/>
    <cellStyle name="Milliers 2 2 2" xfId="3284"/>
    <cellStyle name="Milliers 2 2 2 2" xfId="3285"/>
    <cellStyle name="Milliers 2 2 2 2 2" xfId="3286"/>
    <cellStyle name="Milliers 2 2 2 3" xfId="3287"/>
    <cellStyle name="Milliers 2 2 3" xfId="3288"/>
    <cellStyle name="Milliers 2 2 3 2" xfId="3289"/>
    <cellStyle name="Milliers 2 2 3 2 2" xfId="3290"/>
    <cellStyle name="Milliers 2 2 3 3" xfId="3291"/>
    <cellStyle name="Milliers 2 2 3 3 2" xfId="3292"/>
    <cellStyle name="Milliers 2 2 3 4" xfId="3293"/>
    <cellStyle name="Milliers 2 2 4" xfId="3294"/>
    <cellStyle name="Milliers 2 2 4 2" xfId="3295"/>
    <cellStyle name="Milliers 2 2 4 2 2" xfId="3296"/>
    <cellStyle name="Milliers 2 2 4 3" xfId="3297"/>
    <cellStyle name="Milliers 2 2 5" xfId="3298"/>
    <cellStyle name="Milliers 2 2 5 2" xfId="3299"/>
    <cellStyle name="Milliers 2 2 6" xfId="3300"/>
    <cellStyle name="Milliers 2 2 6 2" xfId="3301"/>
    <cellStyle name="Milliers 2 2 7" xfId="3302"/>
    <cellStyle name="Milliers 2 2 7 2" xfId="3303"/>
    <cellStyle name="Milliers 2 2 8" xfId="3304"/>
    <cellStyle name="Milliers 2 3" xfId="3305"/>
    <cellStyle name="Milliers 2 3 2" xfId="3306"/>
    <cellStyle name="Milliers 2 3 2 2" xfId="3307"/>
    <cellStyle name="Milliers 2 3 2 2 2" xfId="3308"/>
    <cellStyle name="Milliers 2 3 2 3" xfId="3309"/>
    <cellStyle name="Milliers 2 3 2 3 2" xfId="3310"/>
    <cellStyle name="Milliers 2 3 2 4" xfId="3311"/>
    <cellStyle name="Milliers 2 3 3" xfId="3312"/>
    <cellStyle name="Milliers 2 3 3 2" xfId="3313"/>
    <cellStyle name="Milliers 2 3 4" xfId="3314"/>
    <cellStyle name="Milliers 2 3 4 2" xfId="3315"/>
    <cellStyle name="Milliers 2 3 5" xfId="3316"/>
    <cellStyle name="Milliers 2 4" xfId="3317"/>
    <cellStyle name="Milliers 2 4 2" xfId="3318"/>
    <cellStyle name="Milliers 2 4 2 2" xfId="3319"/>
    <cellStyle name="Milliers 2 4 3" xfId="3320"/>
    <cellStyle name="Milliers 2 4 3 2" xfId="3321"/>
    <cellStyle name="Milliers 2 4 4" xfId="3322"/>
    <cellStyle name="Milliers 2 4 4 2" xfId="3323"/>
    <cellStyle name="Milliers 2 4 5" xfId="3324"/>
    <cellStyle name="Milliers 2 5" xfId="3325"/>
    <cellStyle name="Milliers 2 5 2" xfId="3326"/>
    <cellStyle name="Milliers 2 5 2 2" xfId="3327"/>
    <cellStyle name="Milliers 2 5 3" xfId="3328"/>
    <cellStyle name="Milliers 2 5 3 2" xfId="3329"/>
    <cellStyle name="Milliers 2 5 4" xfId="3330"/>
    <cellStyle name="Milliers 2 6" xfId="3331"/>
    <cellStyle name="Milliers 2 6 2" xfId="3332"/>
    <cellStyle name="Milliers 2 6 2 2" xfId="3333"/>
    <cellStyle name="Milliers 2 6 3" xfId="3334"/>
    <cellStyle name="Milliers 2 6 3 2" xfId="3335"/>
    <cellStyle name="Milliers 2 6 4" xfId="3336"/>
    <cellStyle name="Milliers 2 7" xfId="3337"/>
    <cellStyle name="Milliers 2 7 2" xfId="3338"/>
    <cellStyle name="Milliers 2 7 2 2" xfId="3339"/>
    <cellStyle name="Milliers 2 7 3" xfId="3340"/>
    <cellStyle name="Milliers 2 8" xfId="3341"/>
    <cellStyle name="Milliers 2 8 2" xfId="3342"/>
    <cellStyle name="Milliers 2 8 2 2" xfId="3343"/>
    <cellStyle name="Milliers 2 8 3" xfId="3344"/>
    <cellStyle name="Milliers 2 9" xfId="3345"/>
    <cellStyle name="Milliers 2 9 2" xfId="3346"/>
    <cellStyle name="Milliers 2 9 2 2" xfId="3347"/>
    <cellStyle name="Milliers 2 9 3" xfId="3348"/>
    <cellStyle name="Milliers 3" xfId="3349"/>
    <cellStyle name="Milliers 3 10" xfId="3350"/>
    <cellStyle name="Milliers 3 10 2" xfId="3351"/>
    <cellStyle name="Milliers 3 11" xfId="3352"/>
    <cellStyle name="Milliers 3 11 2" xfId="3353"/>
    <cellStyle name="Milliers 3 12" xfId="3354"/>
    <cellStyle name="Milliers 3 12 2" xfId="3355"/>
    <cellStyle name="Milliers 3 13" xfId="3356"/>
    <cellStyle name="Milliers 3 13 2" xfId="3357"/>
    <cellStyle name="Milliers 3 14" xfId="3358"/>
    <cellStyle name="Milliers 3 2" xfId="3359"/>
    <cellStyle name="Milliers 3 2 2" xfId="3360"/>
    <cellStyle name="Milliers 3 2 2 2" xfId="3361"/>
    <cellStyle name="Milliers 3 2 2 2 2" xfId="3362"/>
    <cellStyle name="Milliers 3 2 2 3" xfId="3363"/>
    <cellStyle name="Milliers 3 2 3" xfId="3364"/>
    <cellStyle name="Milliers 3 2 3 2" xfId="3365"/>
    <cellStyle name="Milliers 3 2 3 2 2" xfId="3366"/>
    <cellStyle name="Milliers 3 2 3 3" xfId="3367"/>
    <cellStyle name="Milliers 3 2 4" xfId="3368"/>
    <cellStyle name="Milliers 3 2 4 2" xfId="3369"/>
    <cellStyle name="Milliers 3 2 4 2 2" xfId="3370"/>
    <cellStyle name="Milliers 3 2 4 3" xfId="3371"/>
    <cellStyle name="Milliers 3 2 5" xfId="3372"/>
    <cellStyle name="Milliers 3 2 5 2" xfId="3373"/>
    <cellStyle name="Milliers 3 2 6" xfId="3374"/>
    <cellStyle name="Milliers 3 2 6 2" xfId="3375"/>
    <cellStyle name="Milliers 3 2 7" xfId="3376"/>
    <cellStyle name="Milliers 3 2 7 2" xfId="3377"/>
    <cellStyle name="Milliers 3 2 8" xfId="3378"/>
    <cellStyle name="Milliers 3 3" xfId="3379"/>
    <cellStyle name="Milliers 3 3 2" xfId="3380"/>
    <cellStyle name="Milliers 3 3 2 2" xfId="3381"/>
    <cellStyle name="Milliers 3 3 3" xfId="3382"/>
    <cellStyle name="Milliers 3 4" xfId="3383"/>
    <cellStyle name="Milliers 3 4 2" xfId="3384"/>
    <cellStyle name="Milliers 3 4 2 2" xfId="3385"/>
    <cellStyle name="Milliers 3 4 3" xfId="3386"/>
    <cellStyle name="Milliers 3 5" xfId="3387"/>
    <cellStyle name="Milliers 3 5 2" xfId="3388"/>
    <cellStyle name="Milliers 3 5 2 2" xfId="3389"/>
    <cellStyle name="Milliers 3 5 3" xfId="3390"/>
    <cellStyle name="Milliers 3 6" xfId="3391"/>
    <cellStyle name="Milliers 3 6 2" xfId="3392"/>
    <cellStyle name="Milliers 3 6 2 2" xfId="3393"/>
    <cellStyle name="Milliers 3 6 3" xfId="3394"/>
    <cellStyle name="Milliers 3 7" xfId="3395"/>
    <cellStyle name="Milliers 3 7 2" xfId="3396"/>
    <cellStyle name="Milliers 3 7 2 2" xfId="3397"/>
    <cellStyle name="Milliers 3 7 3" xfId="3398"/>
    <cellStyle name="Milliers 3 8" xfId="3399"/>
    <cellStyle name="Milliers 3 8 2" xfId="3400"/>
    <cellStyle name="Milliers 3 8 2 2" xfId="3401"/>
    <cellStyle name="Milliers 3 8 3" xfId="3402"/>
    <cellStyle name="Milliers 3 9" xfId="3403"/>
    <cellStyle name="Milliers 3 9 2" xfId="3404"/>
    <cellStyle name="Milliers 3 9 2 2" xfId="3405"/>
    <cellStyle name="Milliers 3 9 3" xfId="3406"/>
    <cellStyle name="Milliers 4" xfId="3407"/>
    <cellStyle name="Milliers 4 10" xfId="3408"/>
    <cellStyle name="Milliers 4 10 2" xfId="3409"/>
    <cellStyle name="Milliers 4 11" xfId="3410"/>
    <cellStyle name="Milliers 4 11 2" xfId="3411"/>
    <cellStyle name="Milliers 4 12" xfId="3412"/>
    <cellStyle name="Milliers 4 12 2" xfId="3413"/>
    <cellStyle name="Milliers 4 13" xfId="3414"/>
    <cellStyle name="Milliers 4 13 2" xfId="3415"/>
    <cellStyle name="Milliers 4 14" xfId="3416"/>
    <cellStyle name="Milliers 4 2" xfId="3417"/>
    <cellStyle name="Milliers 4 2 2" xfId="3418"/>
    <cellStyle name="Milliers 4 2 2 2" xfId="3419"/>
    <cellStyle name="Milliers 4 2 3" xfId="3420"/>
    <cellStyle name="Milliers 4 3" xfId="3421"/>
    <cellStyle name="Milliers 4 3 2" xfId="3422"/>
    <cellStyle name="Milliers 4 3 2 2" xfId="3423"/>
    <cellStyle name="Milliers 4 3 3" xfId="3424"/>
    <cellStyle name="Milliers 4 4" xfId="3425"/>
    <cellStyle name="Milliers 4 4 2" xfId="3426"/>
    <cellStyle name="Milliers 4 4 2 2" xfId="3427"/>
    <cellStyle name="Milliers 4 4 3" xfId="3428"/>
    <cellStyle name="Milliers 4 5" xfId="3429"/>
    <cellStyle name="Milliers 4 5 2" xfId="3430"/>
    <cellStyle name="Milliers 4 6" xfId="3431"/>
    <cellStyle name="Milliers 4 6 2" xfId="3432"/>
    <cellStyle name="Milliers 4 7" xfId="3433"/>
    <cellStyle name="Milliers 4 7 2" xfId="3434"/>
    <cellStyle name="Milliers 4 8" xfId="3435"/>
    <cellStyle name="Milliers 4 8 2" xfId="3436"/>
    <cellStyle name="Milliers 4 9" xfId="3437"/>
    <cellStyle name="Milliers 4 9 2" xfId="3438"/>
    <cellStyle name="Milliers 42" xfId="3439"/>
    <cellStyle name="Milliers 42 2" xfId="3440"/>
    <cellStyle name="Milliers 43" xfId="3441"/>
    <cellStyle name="Milliers 43 2" xfId="3442"/>
    <cellStyle name="Milliers 44" xfId="3443"/>
    <cellStyle name="Milliers 44 2" xfId="3444"/>
    <cellStyle name="Milliers 44 2 2" xfId="3445"/>
    <cellStyle name="Milliers 44 3" xfId="3446"/>
    <cellStyle name="Milliers 45" xfId="3447"/>
    <cellStyle name="Milliers 45 2" xfId="3448"/>
    <cellStyle name="Milliers 46" xfId="3449"/>
    <cellStyle name="Milliers 46 2" xfId="3450"/>
    <cellStyle name="Milliers 5" xfId="3451"/>
    <cellStyle name="Milliers 5 10" xfId="3452"/>
    <cellStyle name="Milliers 5 10 2" xfId="3453"/>
    <cellStyle name="Milliers 5 11" xfId="3454"/>
    <cellStyle name="Milliers 5 11 2" xfId="3455"/>
    <cellStyle name="Milliers 5 12" xfId="3456"/>
    <cellStyle name="Milliers 5 12 2" xfId="3457"/>
    <cellStyle name="Milliers 5 13" xfId="3458"/>
    <cellStyle name="Milliers 5 13 2" xfId="3459"/>
    <cellStyle name="Milliers 5 14" xfId="3460"/>
    <cellStyle name="Milliers 5 2" xfId="3461"/>
    <cellStyle name="Milliers 5 2 2" xfId="3462"/>
    <cellStyle name="Milliers 5 2 2 2" xfId="3463"/>
    <cellStyle name="Milliers 5 2 3" xfId="3464"/>
    <cellStyle name="Milliers 5 3" xfId="3465"/>
    <cellStyle name="Milliers 5 3 2" xfId="3466"/>
    <cellStyle name="Milliers 5 3 2 2" xfId="3467"/>
    <cellStyle name="Milliers 5 3 3" xfId="3468"/>
    <cellStyle name="Milliers 5 4" xfId="3469"/>
    <cellStyle name="Milliers 5 4 2" xfId="3470"/>
    <cellStyle name="Milliers 5 4 2 2" xfId="3471"/>
    <cellStyle name="Milliers 5 4 3" xfId="3472"/>
    <cellStyle name="Milliers 5 5" xfId="3473"/>
    <cellStyle name="Milliers 5 5 2" xfId="3474"/>
    <cellStyle name="Milliers 5 6" xfId="3475"/>
    <cellStyle name="Milliers 5 6 2" xfId="3476"/>
    <cellStyle name="Milliers 5 7" xfId="3477"/>
    <cellStyle name="Milliers 5 7 2" xfId="3478"/>
    <cellStyle name="Milliers 5 8" xfId="3479"/>
    <cellStyle name="Milliers 5 8 2" xfId="3480"/>
    <cellStyle name="Milliers 5 9" xfId="3481"/>
    <cellStyle name="Milliers 5 9 2" xfId="3482"/>
    <cellStyle name="Milliers 6" xfId="3483"/>
    <cellStyle name="Milliers 6 10" xfId="3484"/>
    <cellStyle name="Milliers 6 10 2" xfId="3485"/>
    <cellStyle name="Milliers 6 11" xfId="3486"/>
    <cellStyle name="Milliers 6 11 2" xfId="3487"/>
    <cellStyle name="Milliers 6 12" xfId="3488"/>
    <cellStyle name="Milliers 6 12 2" xfId="3489"/>
    <cellStyle name="Milliers 6 13" xfId="3490"/>
    <cellStyle name="Milliers 6 13 2" xfId="3491"/>
    <cellStyle name="Milliers 6 14" xfId="3492"/>
    <cellStyle name="Milliers 6 2" xfId="3493"/>
    <cellStyle name="Milliers 6 2 2" xfId="3494"/>
    <cellStyle name="Milliers 6 2 2 2" xfId="3495"/>
    <cellStyle name="Milliers 6 2 3" xfId="3496"/>
    <cellStyle name="Milliers 6 3" xfId="3497"/>
    <cellStyle name="Milliers 6 3 2" xfId="3498"/>
    <cellStyle name="Milliers 6 4" xfId="3499"/>
    <cellStyle name="Milliers 6 4 2" xfId="3500"/>
    <cellStyle name="Milliers 6 5" xfId="3501"/>
    <cellStyle name="Milliers 6 5 2" xfId="3502"/>
    <cellStyle name="Milliers 6 6" xfId="3503"/>
    <cellStyle name="Milliers 6 6 2" xfId="3504"/>
    <cellStyle name="Milliers 6 7" xfId="3505"/>
    <cellStyle name="Milliers 6 7 2" xfId="3506"/>
    <cellStyle name="Milliers 6 8" xfId="3507"/>
    <cellStyle name="Milliers 6 8 2" xfId="3508"/>
    <cellStyle name="Milliers 6 9" xfId="3509"/>
    <cellStyle name="Milliers 6 9 2" xfId="3510"/>
    <cellStyle name="Milliers 7" xfId="3511"/>
    <cellStyle name="Milliers 7 2" xfId="3512"/>
    <cellStyle name="Milliers 7 2 2" xfId="3513"/>
    <cellStyle name="Milliers 7 2 2 2" xfId="3514"/>
    <cellStyle name="Milliers 7 2 2 2 2" xfId="3515"/>
    <cellStyle name="Milliers 7 2 2 3" xfId="3516"/>
    <cellStyle name="Milliers 7 2 3" xfId="3517"/>
    <cellStyle name="Milliers 7 2 3 2" xfId="3518"/>
    <cellStyle name="Milliers 7 2 4" xfId="3519"/>
    <cellStyle name="Milliers 7 2 4 2" xfId="3520"/>
    <cellStyle name="Milliers 7 2 5" xfId="3521"/>
    <cellStyle name="Milliers 7 3" xfId="3522"/>
    <cellStyle name="Milliers 7 3 2" xfId="3523"/>
    <cellStyle name="Milliers 7 3 2 2" xfId="3524"/>
    <cellStyle name="Milliers 7 3 3" xfId="3525"/>
    <cellStyle name="Milliers 7 4" xfId="3526"/>
    <cellStyle name="Milliers 7 4 2" xfId="3527"/>
    <cellStyle name="Milliers 7 4 2 2" xfId="3528"/>
    <cellStyle name="Milliers 7 4 3" xfId="3529"/>
    <cellStyle name="Milliers 7 4 3 2" xfId="3530"/>
    <cellStyle name="Milliers 7 4 4" xfId="3531"/>
    <cellStyle name="Milliers 7 5" xfId="3532"/>
    <cellStyle name="Milliers 7 5 2" xfId="3533"/>
    <cellStyle name="Milliers 7 5 2 2" xfId="3534"/>
    <cellStyle name="Milliers 7 5 3" xfId="3535"/>
    <cellStyle name="Milliers 7 6" xfId="3536"/>
    <cellStyle name="Milliers 7 6 2" xfId="3537"/>
    <cellStyle name="Milliers 7 7" xfId="3538"/>
    <cellStyle name="Milliers 7 7 2" xfId="3539"/>
    <cellStyle name="Milliers 7 8" xfId="3540"/>
    <cellStyle name="Milliers 8" xfId="3541"/>
    <cellStyle name="Milliers 8 2" xfId="3542"/>
    <cellStyle name="Milliers 8 2 2" xfId="3543"/>
    <cellStyle name="Milliers 8 3" xfId="3544"/>
    <cellStyle name="Milliers 8 3 2" xfId="3545"/>
    <cellStyle name="Milliers 8 4" xfId="3546"/>
    <cellStyle name="Milliers 8 4 2" xfId="3547"/>
    <cellStyle name="Milliers 8 5" xfId="3548"/>
    <cellStyle name="Milliers 8 5 2" xfId="3549"/>
    <cellStyle name="Milliers 8 6" xfId="3550"/>
    <cellStyle name="Milliers 8 6 2" xfId="3551"/>
    <cellStyle name="Milliers 8 7" xfId="3552"/>
    <cellStyle name="Milliers 9" xfId="3553"/>
    <cellStyle name="Milliers 9 2" xfId="3554"/>
    <cellStyle name="Milliers 9 2 2" xfId="3555"/>
    <cellStyle name="Milliers 9 3" xfId="3556"/>
    <cellStyle name="Milliers 9 3 2" xfId="3557"/>
    <cellStyle name="Milliers 9 4" xfId="3558"/>
    <cellStyle name="Milliers 9 4 2" xfId="3559"/>
    <cellStyle name="Milliers 9 5" xfId="3560"/>
    <cellStyle name="Milliers 9 5 2" xfId="3561"/>
    <cellStyle name="Milliers 9 6" xfId="3562"/>
    <cellStyle name="Monétaire 2" xfId="3563"/>
    <cellStyle name="Monétaire 2 10" xfId="3564"/>
    <cellStyle name="Monétaire 2 10 2" xfId="3565"/>
    <cellStyle name="Monétaire 2 11" xfId="3566"/>
    <cellStyle name="Monétaire 2 11 2" xfId="3567"/>
    <cellStyle name="Monétaire 2 12" xfId="3568"/>
    <cellStyle name="Monétaire 2 12 2" xfId="3569"/>
    <cellStyle name="Monétaire 2 13" xfId="3570"/>
    <cellStyle name="Monétaire 2 13 2" xfId="3571"/>
    <cellStyle name="Monétaire 2 14" xfId="3572"/>
    <cellStyle name="Monétaire 2 2" xfId="3573"/>
    <cellStyle name="Monétaire 2 2 2" xfId="3574"/>
    <cellStyle name="Monétaire 2 2 2 2" xfId="3575"/>
    <cellStyle name="Monétaire 2 2 3" xfId="3576"/>
    <cellStyle name="Monétaire 2 3" xfId="3577"/>
    <cellStyle name="Monétaire 2 3 2" xfId="3578"/>
    <cellStyle name="Monétaire 2 4" xfId="3579"/>
    <cellStyle name="Monétaire 2 4 2" xfId="3580"/>
    <cellStyle name="Monétaire 2 5" xfId="3581"/>
    <cellStyle name="Monétaire 2 5 2" xfId="3582"/>
    <cellStyle name="Monétaire 2 6" xfId="3583"/>
    <cellStyle name="Monétaire 2 6 2" xfId="3584"/>
    <cellStyle name="Monétaire 2 7" xfId="3585"/>
    <cellStyle name="Monétaire 2 7 2" xfId="3586"/>
    <cellStyle name="Monétaire 2 8" xfId="3587"/>
    <cellStyle name="Monétaire 2 8 2" xfId="3588"/>
    <cellStyle name="Monétaire 2 9" xfId="3589"/>
    <cellStyle name="Monétaire 2 9 2" xfId="3590"/>
    <cellStyle name="Monétaire 3" xfId="3591"/>
    <cellStyle name="Monétaire 3 10" xfId="3592"/>
    <cellStyle name="Monétaire 3 10 2" xfId="3593"/>
    <cellStyle name="Monétaire 3 11" xfId="3594"/>
    <cellStyle name="Monétaire 3 11 2" xfId="3595"/>
    <cellStyle name="Monétaire 3 12" xfId="3596"/>
    <cellStyle name="Monétaire 3 12 2" xfId="3597"/>
    <cellStyle name="Monétaire 3 13" xfId="3598"/>
    <cellStyle name="Monétaire 3 13 2" xfId="3599"/>
    <cellStyle name="Monétaire 3 14" xfId="3600"/>
    <cellStyle name="Monétaire 3 2" xfId="3601"/>
    <cellStyle name="Monétaire 3 2 2" xfId="3602"/>
    <cellStyle name="Monétaire 3 2 2 2" xfId="3603"/>
    <cellStyle name="Monétaire 3 2 3" xfId="3604"/>
    <cellStyle name="Monétaire 3 3" xfId="3605"/>
    <cellStyle name="Monétaire 3 3 2" xfId="3606"/>
    <cellStyle name="Monétaire 3 4" xfId="3607"/>
    <cellStyle name="Monétaire 3 4 2" xfId="3608"/>
    <cellStyle name="Monétaire 3 5" xfId="3609"/>
    <cellStyle name="Monétaire 3 5 2" xfId="3610"/>
    <cellStyle name="Monétaire 3 6" xfId="3611"/>
    <cellStyle name="Monétaire 3 6 2" xfId="3612"/>
    <cellStyle name="Monétaire 3 7" xfId="3613"/>
    <cellStyle name="Monétaire 3 7 2" xfId="3614"/>
    <cellStyle name="Monétaire 3 8" xfId="3615"/>
    <cellStyle name="Monétaire 3 8 2" xfId="3616"/>
    <cellStyle name="Monétaire 3 9" xfId="3617"/>
    <cellStyle name="Monétaire 3 9 2" xfId="3618"/>
    <cellStyle name="Monétaire 4" xfId="3619"/>
    <cellStyle name="Monétaire 4 10" xfId="3620"/>
    <cellStyle name="Monétaire 4 10 2" xfId="3621"/>
    <cellStyle name="Monétaire 4 11" xfId="3622"/>
    <cellStyle name="Monétaire 4 11 2" xfId="3623"/>
    <cellStyle name="Monétaire 4 12" xfId="3624"/>
    <cellStyle name="Monétaire 4 12 2" xfId="3625"/>
    <cellStyle name="Monétaire 4 13" xfId="3626"/>
    <cellStyle name="Monétaire 4 13 2" xfId="3627"/>
    <cellStyle name="Monétaire 4 14" xfId="3628"/>
    <cellStyle name="Monétaire 4 2" xfId="3629"/>
    <cellStyle name="Monétaire 4 2 2" xfId="3630"/>
    <cellStyle name="Monétaire 4 2 2 2" xfId="3631"/>
    <cellStyle name="Monétaire 4 2 3" xfId="3632"/>
    <cellStyle name="Monétaire 4 3" xfId="3633"/>
    <cellStyle name="Monétaire 4 3 2" xfId="3634"/>
    <cellStyle name="Monétaire 4 4" xfId="3635"/>
    <cellStyle name="Monétaire 4 4 2" xfId="3636"/>
    <cellStyle name="Monétaire 4 5" xfId="3637"/>
    <cellStyle name="Monétaire 4 5 2" xfId="3638"/>
    <cellStyle name="Monétaire 4 6" xfId="3639"/>
    <cellStyle name="Monétaire 4 6 2" xfId="3640"/>
    <cellStyle name="Monétaire 4 7" xfId="3641"/>
    <cellStyle name="Monétaire 4 7 2" xfId="3642"/>
    <cellStyle name="Monétaire 4 8" xfId="3643"/>
    <cellStyle name="Monétaire 4 8 2" xfId="3644"/>
    <cellStyle name="Monétaire 4 9" xfId="3645"/>
    <cellStyle name="Monétaire 4 9 2" xfId="3646"/>
    <cellStyle name="Monétaire 5" xfId="3647"/>
    <cellStyle name="Monétaire 5 10" xfId="3648"/>
    <cellStyle name="Monétaire 5 10 2" xfId="3649"/>
    <cellStyle name="Monétaire 5 11" xfId="3650"/>
    <cellStyle name="Monétaire 5 11 2" xfId="3651"/>
    <cellStyle name="Monétaire 5 12" xfId="3652"/>
    <cellStyle name="Monétaire 5 12 2" xfId="3653"/>
    <cellStyle name="Monétaire 5 13" xfId="3654"/>
    <cellStyle name="Monétaire 5 13 2" xfId="3655"/>
    <cellStyle name="Monétaire 5 14" xfId="3656"/>
    <cellStyle name="Monétaire 5 2" xfId="3657"/>
    <cellStyle name="Monétaire 5 2 2" xfId="3658"/>
    <cellStyle name="Monétaire 5 2 2 2" xfId="3659"/>
    <cellStyle name="Monétaire 5 2 3" xfId="3660"/>
    <cellStyle name="Monétaire 5 3" xfId="3661"/>
    <cellStyle name="Monétaire 5 3 2" xfId="3662"/>
    <cellStyle name="Monétaire 5 4" xfId="3663"/>
    <cellStyle name="Monétaire 5 4 2" xfId="3664"/>
    <cellStyle name="Monétaire 5 5" xfId="3665"/>
    <cellStyle name="Monétaire 5 5 2" xfId="3666"/>
    <cellStyle name="Monétaire 5 6" xfId="3667"/>
    <cellStyle name="Monétaire 5 6 2" xfId="3668"/>
    <cellStyle name="Monétaire 5 7" xfId="3669"/>
    <cellStyle name="Monétaire 5 7 2" xfId="3670"/>
    <cellStyle name="Monétaire 5 8" xfId="3671"/>
    <cellStyle name="Monétaire 5 8 2" xfId="3672"/>
    <cellStyle name="Monétaire 5 9" xfId="3673"/>
    <cellStyle name="Monétaire 5 9 2" xfId="3674"/>
    <cellStyle name="Monétaire 6" xfId="3675"/>
    <cellStyle name="Monétaire 6 10" xfId="3676"/>
    <cellStyle name="Monétaire 6 10 2" xfId="3677"/>
    <cellStyle name="Monétaire 6 11" xfId="3678"/>
    <cellStyle name="Monétaire 6 11 2" xfId="3679"/>
    <cellStyle name="Monétaire 6 12" xfId="3680"/>
    <cellStyle name="Monétaire 6 12 2" xfId="3681"/>
    <cellStyle name="Monétaire 6 13" xfId="3682"/>
    <cellStyle name="Monétaire 6 13 2" xfId="3683"/>
    <cellStyle name="Monétaire 6 14" xfId="3684"/>
    <cellStyle name="Monétaire 6 2" xfId="3685"/>
    <cellStyle name="Monétaire 6 2 2" xfId="3686"/>
    <cellStyle name="Monétaire 6 2 2 2" xfId="3687"/>
    <cellStyle name="Monétaire 6 2 3" xfId="3688"/>
    <cellStyle name="Monétaire 6 3" xfId="3689"/>
    <cellStyle name="Monétaire 6 3 2" xfId="3690"/>
    <cellStyle name="Monétaire 6 4" xfId="3691"/>
    <cellStyle name="Monétaire 6 4 2" xfId="3692"/>
    <cellStyle name="Monétaire 6 5" xfId="3693"/>
    <cellStyle name="Monétaire 6 5 2" xfId="3694"/>
    <cellStyle name="Monétaire 6 6" xfId="3695"/>
    <cellStyle name="Monétaire 6 6 2" xfId="3696"/>
    <cellStyle name="Monétaire 6 7" xfId="3697"/>
    <cellStyle name="Monétaire 6 7 2" xfId="3698"/>
    <cellStyle name="Monétaire 6 8" xfId="3699"/>
    <cellStyle name="Monétaire 6 8 2" xfId="3700"/>
    <cellStyle name="Monétaire 6 9" xfId="3701"/>
    <cellStyle name="Monétaire 6 9 2" xfId="3702"/>
    <cellStyle name="Monétaire0" xfId="3703"/>
    <cellStyle name="Monétaire0 10" xfId="3704"/>
    <cellStyle name="Monétaire0 10 2" xfId="3705"/>
    <cellStyle name="Monétaire0 11" xfId="3706"/>
    <cellStyle name="Monétaire0 11 2" xfId="3707"/>
    <cellStyle name="Monétaire0 12" xfId="3708"/>
    <cellStyle name="Monétaire0 12 2" xfId="3709"/>
    <cellStyle name="Monétaire0 13" xfId="3710"/>
    <cellStyle name="Monétaire0 13 2" xfId="3711"/>
    <cellStyle name="Monétaire0 14" xfId="3712"/>
    <cellStyle name="Monétaire0 14 2" xfId="3713"/>
    <cellStyle name="Monétaire0 15" xfId="3714"/>
    <cellStyle name="Monétaire0 15 2" xfId="3715"/>
    <cellStyle name="Monétaire0 16" xfId="3716"/>
    <cellStyle name="Monétaire0 16 2" xfId="3717"/>
    <cellStyle name="Monétaire0 17" xfId="3718"/>
    <cellStyle name="Monétaire0 17 2" xfId="3719"/>
    <cellStyle name="Monétaire0 18" xfId="3720"/>
    <cellStyle name="Monétaire0 18 2" xfId="3721"/>
    <cellStyle name="Monétaire0 19" xfId="3722"/>
    <cellStyle name="Monétaire0 19 2" xfId="3723"/>
    <cellStyle name="Monétaire0 2" xfId="3724"/>
    <cellStyle name="Monétaire0 2 2" xfId="3725"/>
    <cellStyle name="Monétaire0 2 2 2" xfId="3726"/>
    <cellStyle name="Monétaire0 2 3" xfId="3727"/>
    <cellStyle name="Monétaire0 20" xfId="3728"/>
    <cellStyle name="Monétaire0 20 2" xfId="3729"/>
    <cellStyle name="Monétaire0 21" xfId="3730"/>
    <cellStyle name="Monétaire0 21 2" xfId="3731"/>
    <cellStyle name="Monétaire0 22" xfId="3732"/>
    <cellStyle name="Monétaire0 22 2" xfId="3733"/>
    <cellStyle name="Monétaire0 23" xfId="3734"/>
    <cellStyle name="Monétaire0 23 2" xfId="3735"/>
    <cellStyle name="Monétaire0 24" xfId="3736"/>
    <cellStyle name="Monétaire0 24 2" xfId="3737"/>
    <cellStyle name="Monétaire0 25" xfId="3738"/>
    <cellStyle name="Monétaire0 25 2" xfId="3739"/>
    <cellStyle name="Monétaire0 26" xfId="3740"/>
    <cellStyle name="Monétaire0 26 2" xfId="3741"/>
    <cellStyle name="Monétaire0 27" xfId="3742"/>
    <cellStyle name="Monétaire0 27 2" xfId="3743"/>
    <cellStyle name="Monétaire0 28" xfId="3744"/>
    <cellStyle name="Monétaire0 28 2" xfId="3745"/>
    <cellStyle name="Monétaire0 29" xfId="3746"/>
    <cellStyle name="Monétaire0 29 2" xfId="3747"/>
    <cellStyle name="Monétaire0 3" xfId="3748"/>
    <cellStyle name="Monétaire0 3 2" xfId="3749"/>
    <cellStyle name="Monétaire0 30" xfId="3750"/>
    <cellStyle name="Monétaire0 30 2" xfId="3751"/>
    <cellStyle name="Monétaire0 31" xfId="3752"/>
    <cellStyle name="Monétaire0 31 2" xfId="3753"/>
    <cellStyle name="Monétaire0 32" xfId="3754"/>
    <cellStyle name="Monétaire0 32 2" xfId="3755"/>
    <cellStyle name="Monétaire0 33" xfId="3756"/>
    <cellStyle name="Monétaire0 33 2" xfId="3757"/>
    <cellStyle name="Monétaire0 34" xfId="3758"/>
    <cellStyle name="Monétaire0 34 2" xfId="3759"/>
    <cellStyle name="Monétaire0 35" xfId="3760"/>
    <cellStyle name="Monétaire0 35 2" xfId="3761"/>
    <cellStyle name="Monétaire0 36" xfId="3762"/>
    <cellStyle name="Monétaire0 36 2" xfId="3763"/>
    <cellStyle name="Monétaire0 37" xfId="3764"/>
    <cellStyle name="Monétaire0 37 2" xfId="3765"/>
    <cellStyle name="Monétaire0 38" xfId="3766"/>
    <cellStyle name="Monétaire0 38 2" xfId="3767"/>
    <cellStyle name="Monétaire0 39" xfId="3768"/>
    <cellStyle name="Monétaire0 4" xfId="3769"/>
    <cellStyle name="Monétaire0 4 2" xfId="3770"/>
    <cellStyle name="Monétaire0 5" xfId="3771"/>
    <cellStyle name="Monétaire0 5 2" xfId="3772"/>
    <cellStyle name="Monétaire0 6" xfId="3773"/>
    <cellStyle name="Monétaire0 6 2" xfId="3774"/>
    <cellStyle name="Monétaire0 7" xfId="3775"/>
    <cellStyle name="Monétaire0 7 2" xfId="3776"/>
    <cellStyle name="Monétaire0 8" xfId="3777"/>
    <cellStyle name="Monétaire0 8 2" xfId="3778"/>
    <cellStyle name="Monétaire0 9" xfId="3779"/>
    <cellStyle name="Monétaire0 9 2" xfId="3780"/>
    <cellStyle name="Neutre 10" xfId="3781"/>
    <cellStyle name="Neutre 10 2" xfId="3782"/>
    <cellStyle name="Neutre 11" xfId="3783"/>
    <cellStyle name="Neutre 11 2" xfId="3784"/>
    <cellStyle name="Neutre 11 2 2" xfId="3785"/>
    <cellStyle name="Neutre 11 3" xfId="3786"/>
    <cellStyle name="Neutre 11 3 2" xfId="3787"/>
    <cellStyle name="Neutre 11 4" xfId="3788"/>
    <cellStyle name="Neutre 11 4 2" xfId="3789"/>
    <cellStyle name="Neutre 11 5" xfId="3790"/>
    <cellStyle name="Neutre 12" xfId="3791"/>
    <cellStyle name="Neutre 12 2" xfId="3792"/>
    <cellStyle name="Neutre 12 2 2" xfId="3793"/>
    <cellStyle name="Neutre 12 3" xfId="3794"/>
    <cellStyle name="Neutre 12 3 2" xfId="3795"/>
    <cellStyle name="Neutre 12 4" xfId="3796"/>
    <cellStyle name="Neutre 13" xfId="3797"/>
    <cellStyle name="Neutre 13 2" xfId="3798"/>
    <cellStyle name="Neutre 14" xfId="3799"/>
    <cellStyle name="Neutre 14 2" xfId="3800"/>
    <cellStyle name="Neutre 15" xfId="3801"/>
    <cellStyle name="Neutre 15 2" xfId="3802"/>
    <cellStyle name="Neutre 2" xfId="3803"/>
    <cellStyle name="Neutre 2 2" xfId="3804"/>
    <cellStyle name="Neutre 2 2 2" xfId="3805"/>
    <cellStyle name="Neutre 2 3" xfId="3806"/>
    <cellStyle name="Neutre 2 3 2" xfId="3807"/>
    <cellStyle name="Neutre 2 3 2 2" xfId="3808"/>
    <cellStyle name="Neutre 2 3 3" xfId="3809"/>
    <cellStyle name="Neutre 2 4" xfId="3810"/>
    <cellStyle name="Neutre 2 4 2" xfId="3811"/>
    <cellStyle name="Neutre 2 5" xfId="3812"/>
    <cellStyle name="Neutre 3" xfId="3813"/>
    <cellStyle name="Neutre 3 2" xfId="3814"/>
    <cellStyle name="Neutre 3 2 2" xfId="3815"/>
    <cellStyle name="Neutre 3 3" xfId="3816"/>
    <cellStyle name="Neutre 3 3 2" xfId="3817"/>
    <cellStyle name="Neutre 3 4" xfId="3818"/>
    <cellStyle name="Neutre 3 4 2" xfId="3819"/>
    <cellStyle name="Neutre 3 5" xfId="3820"/>
    <cellStyle name="Neutre 4" xfId="3821"/>
    <cellStyle name="Neutre 4 2" xfId="3822"/>
    <cellStyle name="Neutre 4 2 2" xfId="3823"/>
    <cellStyle name="Neutre 4 3" xfId="3824"/>
    <cellStyle name="Neutre 4 3 2" xfId="3825"/>
    <cellStyle name="Neutre 4 4" xfId="3826"/>
    <cellStyle name="Neutre 4 4 2" xfId="3827"/>
    <cellStyle name="Neutre 4 5" xfId="3828"/>
    <cellStyle name="Neutre 5" xfId="3829"/>
    <cellStyle name="Neutre 5 2" xfId="3830"/>
    <cellStyle name="Neutre 5 2 2" xfId="3831"/>
    <cellStyle name="Neutre 5 3" xfId="3832"/>
    <cellStyle name="Neutre 6" xfId="3833"/>
    <cellStyle name="Neutre 6 2" xfId="3834"/>
    <cellStyle name="Neutre 6 2 2" xfId="3835"/>
    <cellStyle name="Neutre 6 3" xfId="3836"/>
    <cellStyle name="Neutre 7" xfId="3837"/>
    <cellStyle name="Neutre 7 2" xfId="3838"/>
    <cellStyle name="Neutre 8" xfId="3839"/>
    <cellStyle name="Neutre 8 2" xfId="3840"/>
    <cellStyle name="Neutre 9" xfId="3841"/>
    <cellStyle name="Neutre 9 2" xfId="3842"/>
    <cellStyle name="new format" xfId="3843"/>
    <cellStyle name="new format 2" xfId="3844"/>
    <cellStyle name="No-definido" xfId="3845"/>
    <cellStyle name="No-definido 2" xfId="3846"/>
    <cellStyle name="Non défini" xfId="3847"/>
    <cellStyle name="Non défini 2" xfId="3848"/>
    <cellStyle name="Normal" xfId="0" builtinId="0"/>
    <cellStyle name="Normal 10" xfId="3849"/>
    <cellStyle name="Normal 10 10" xfId="3850"/>
    <cellStyle name="Normal 10 10 2" xfId="3851"/>
    <cellStyle name="Normal 10 11" xfId="3852"/>
    <cellStyle name="Normal 10 11 2" xfId="3853"/>
    <cellStyle name="Normal 10 12" xfId="3854"/>
    <cellStyle name="Normal 10 12 2" xfId="3855"/>
    <cellStyle name="Normal 10 13" xfId="3856"/>
    <cellStyle name="Normal 10 13 2" xfId="3857"/>
    <cellStyle name="Normal 10 14" xfId="3858"/>
    <cellStyle name="Normal 10 14 2" xfId="3859"/>
    <cellStyle name="Normal 10 14 3" xfId="3860"/>
    <cellStyle name="Normal 10 15" xfId="3861"/>
    <cellStyle name="Normal 10 15 2" xfId="3862"/>
    <cellStyle name="Normal 10 15 3" xfId="3863"/>
    <cellStyle name="Normal 10 16" xfId="3864"/>
    <cellStyle name="Normal 10 16 2" xfId="3865"/>
    <cellStyle name="Normal 10 16 3" xfId="3866"/>
    <cellStyle name="Normal 10 17" xfId="3867"/>
    <cellStyle name="Normal 10 17 2" xfId="3868"/>
    <cellStyle name="Normal 10 17 3" xfId="3869"/>
    <cellStyle name="Normal 10 18" xfId="3870"/>
    <cellStyle name="Normal 10 18 2" xfId="3871"/>
    <cellStyle name="Normal 10 18 3" xfId="3872"/>
    <cellStyle name="Normal 10 19" xfId="3873"/>
    <cellStyle name="Normal 10 19 2" xfId="3874"/>
    <cellStyle name="Normal 10 2" xfId="3875"/>
    <cellStyle name="Normal 10 2 10" xfId="3876"/>
    <cellStyle name="Normal 10 2 10 2" xfId="3877"/>
    <cellStyle name="Normal 10 2 11" xfId="3878"/>
    <cellStyle name="Normal 10 2 11 2" xfId="3879"/>
    <cellStyle name="Normal 10 2 12" xfId="3880"/>
    <cellStyle name="Normal 10 2 12 2" xfId="3881"/>
    <cellStyle name="Normal 10 2 13" xfId="3882"/>
    <cellStyle name="Normal 10 2 13 2" xfId="3883"/>
    <cellStyle name="Normal 10 2 13 3" xfId="3884"/>
    <cellStyle name="Normal 10 2 14" xfId="3885"/>
    <cellStyle name="Normal 10 2 14 2" xfId="3886"/>
    <cellStyle name="Normal 10 2 14 3" xfId="3887"/>
    <cellStyle name="Normal 10 2 15" xfId="3888"/>
    <cellStyle name="Normal 10 2 15 2" xfId="3889"/>
    <cellStyle name="Normal 10 2 15 3" xfId="3890"/>
    <cellStyle name="Normal 10 2 16" xfId="3891"/>
    <cellStyle name="Normal 10 2 16 2" xfId="3892"/>
    <cellStyle name="Normal 10 2 16 3" xfId="3893"/>
    <cellStyle name="Normal 10 2 17" xfId="3894"/>
    <cellStyle name="Normal 10 2 17 2" xfId="3895"/>
    <cellStyle name="Normal 10 2 17 3" xfId="3896"/>
    <cellStyle name="Normal 10 2 18" xfId="3897"/>
    <cellStyle name="Normal 10 2 2" xfId="3898"/>
    <cellStyle name="Normal 10 2 2 10" xfId="3899"/>
    <cellStyle name="Normal 10 2 2 10 2" xfId="3900"/>
    <cellStyle name="Normal 10 2 2 10 3" xfId="3901"/>
    <cellStyle name="Normal 10 2 2 11" xfId="3902"/>
    <cellStyle name="Normal 10 2 2 11 2" xfId="3903"/>
    <cellStyle name="Normal 10 2 2 11 3" xfId="3904"/>
    <cellStyle name="Normal 10 2 2 12" xfId="3905"/>
    <cellStyle name="Normal 10 2 2 2" xfId="3906"/>
    <cellStyle name="Normal 10 2 2 2 2" xfId="3907"/>
    <cellStyle name="Normal 10 2 2 2 2 10" xfId="3908"/>
    <cellStyle name="Normal 10 2 2 2 2 2" xfId="3909"/>
    <cellStyle name="Normal 10 2 2 2 2 2 2" xfId="3910"/>
    <cellStyle name="Normal 10 2 2 2 2 3" xfId="3911"/>
    <cellStyle name="Normal 10 2 2 2 2 3 2" xfId="3912"/>
    <cellStyle name="Normal 10 2 2 2 2 4" xfId="3913"/>
    <cellStyle name="Normal 10 2 2 2 2 4 2" xfId="3914"/>
    <cellStyle name="Normal 10 2 2 2 2 5" xfId="3915"/>
    <cellStyle name="Normal 10 2 2 2 2 5 2" xfId="3916"/>
    <cellStyle name="Normal 10 2 2 2 2 6" xfId="3917"/>
    <cellStyle name="Normal 10 2 2 2 2 6 2" xfId="3918"/>
    <cellStyle name="Normal 10 2 2 2 2 7" xfId="3919"/>
    <cellStyle name="Normal 10 2 2 2 2 7 2" xfId="3920"/>
    <cellStyle name="Normal 10 2 2 2 2 8" xfId="3921"/>
    <cellStyle name="Normal 10 2 2 2 2 8 2" xfId="3922"/>
    <cellStyle name="Normal 10 2 2 2 2 8 3" xfId="3923"/>
    <cellStyle name="Normal 10 2 2 2 2 9" xfId="3924"/>
    <cellStyle name="Normal 10 2 2 2 2_Culture" xfId="3925"/>
    <cellStyle name="Normal 10 2 2 2 3" xfId="3926"/>
    <cellStyle name="Normal 10 2 2 2 3 2" xfId="3927"/>
    <cellStyle name="Normal 10 2 2 2 3 3" xfId="3928"/>
    <cellStyle name="Normal 10 2 2 2 4" xfId="3929"/>
    <cellStyle name="Normal 10 2 2 2 4 2" xfId="3930"/>
    <cellStyle name="Normal 10 2 2 2 4 3" xfId="3931"/>
    <cellStyle name="Normal 10 2 2 2 5" xfId="3932"/>
    <cellStyle name="Normal 10 2 2 2 5 2" xfId="3933"/>
    <cellStyle name="Normal 10 2 2 2 5 3" xfId="3934"/>
    <cellStyle name="Normal 10 2 2 2 6" xfId="3935"/>
    <cellStyle name="Normal 10 2 2 2 6 2" xfId="3936"/>
    <cellStyle name="Normal 10 2 2 2 6 3" xfId="3937"/>
    <cellStyle name="Normal 10 2 2 2 7" xfId="3938"/>
    <cellStyle name="Normal 10 2 2 2 7 2" xfId="3939"/>
    <cellStyle name="Normal 10 2 2 2 7 3" xfId="3940"/>
    <cellStyle name="Normal 10 2 2 2 8" xfId="3941"/>
    <cellStyle name="Normal 10 2 2 3" xfId="3942"/>
    <cellStyle name="Normal 10 2 2 3 2" xfId="3943"/>
    <cellStyle name="Normal 10 2 2 4" xfId="3944"/>
    <cellStyle name="Normal 10 2 2 4 2" xfId="3945"/>
    <cellStyle name="Normal 10 2 2 5" xfId="3946"/>
    <cellStyle name="Normal 10 2 2 5 2" xfId="3947"/>
    <cellStyle name="Normal 10 2 2 6" xfId="3948"/>
    <cellStyle name="Normal 10 2 2 6 2" xfId="3949"/>
    <cellStyle name="Normal 10 2 2 7" xfId="3950"/>
    <cellStyle name="Normal 10 2 2 7 2" xfId="3951"/>
    <cellStyle name="Normal 10 2 2 8" xfId="3952"/>
    <cellStyle name="Normal 10 2 2 8 2" xfId="3953"/>
    <cellStyle name="Normal 10 2 2 9" xfId="3954"/>
    <cellStyle name="Normal 10 2 2 9 2" xfId="3955"/>
    <cellStyle name="Normal 10 2 2_Culture" xfId="3956"/>
    <cellStyle name="Normal 10 2 3" xfId="3957"/>
    <cellStyle name="Normal 10 2 3 10" xfId="3958"/>
    <cellStyle name="Normal 10 2 3 2" xfId="3959"/>
    <cellStyle name="Normal 10 2 3 2 2" xfId="3960"/>
    <cellStyle name="Normal 10 2 3 2 2 2" xfId="3961"/>
    <cellStyle name="Normal 10 2 3 2 2 3" xfId="3962"/>
    <cellStyle name="Normal 10 2 3 2 3" xfId="3963"/>
    <cellStyle name="Normal 10 2 3 2 3 2" xfId="3964"/>
    <cellStyle name="Normal 10 2 3 2 3 3" xfId="3965"/>
    <cellStyle name="Normal 10 2 3 2 4" xfId="3966"/>
    <cellStyle name="Normal 10 2 3 2 4 2" xfId="3967"/>
    <cellStyle name="Normal 10 2 3 2 4 3" xfId="3968"/>
    <cellStyle name="Normal 10 2 3 2 5" xfId="3969"/>
    <cellStyle name="Normal 10 2 3 2 5 2" xfId="3970"/>
    <cellStyle name="Normal 10 2 3 2 5 3" xfId="3971"/>
    <cellStyle name="Normal 10 2 3 2 6" xfId="3972"/>
    <cellStyle name="Normal 10 2 3 2 6 2" xfId="3973"/>
    <cellStyle name="Normal 10 2 3 2 6 3" xfId="3974"/>
    <cellStyle name="Normal 10 2 3 2 7" xfId="3975"/>
    <cellStyle name="Normal 10 2 3 2 7 2" xfId="3976"/>
    <cellStyle name="Normal 10 2 3 2 7 3" xfId="3977"/>
    <cellStyle name="Normal 10 2 3 2 8" xfId="3978"/>
    <cellStyle name="Normal 10 2 3 3" xfId="3979"/>
    <cellStyle name="Normal 10 2 3 3 2" xfId="3980"/>
    <cellStyle name="Normal 10 2 3 4" xfId="3981"/>
    <cellStyle name="Normal 10 2 3 4 2" xfId="3982"/>
    <cellStyle name="Normal 10 2 3 5" xfId="3983"/>
    <cellStyle name="Normal 10 2 3 5 2" xfId="3984"/>
    <cellStyle name="Normal 10 2 3 6" xfId="3985"/>
    <cellStyle name="Normal 10 2 3 6 2" xfId="3986"/>
    <cellStyle name="Normal 10 2 3 7" xfId="3987"/>
    <cellStyle name="Normal 10 2 3 7 2" xfId="3988"/>
    <cellStyle name="Normal 10 2 3 8" xfId="3989"/>
    <cellStyle name="Normal 10 2 3 8 2" xfId="3990"/>
    <cellStyle name="Normal 10 2 3 8 3" xfId="3991"/>
    <cellStyle name="Normal 10 2 3 9" xfId="3992"/>
    <cellStyle name="Normal 10 2 3 9 2" xfId="3993"/>
    <cellStyle name="Normal 10 2 3 9 3" xfId="3994"/>
    <cellStyle name="Normal 10 2 3_Culture" xfId="3995"/>
    <cellStyle name="Normal 10 2 4" xfId="3996"/>
    <cellStyle name="Normal 10 2 4 10" xfId="3997"/>
    <cellStyle name="Normal 10 2 4 2" xfId="3998"/>
    <cellStyle name="Normal 10 2 4 2 2" xfId="3999"/>
    <cellStyle name="Normal 10 2 4 3" xfId="4000"/>
    <cellStyle name="Normal 10 2 4 3 2" xfId="4001"/>
    <cellStyle name="Normal 10 2 4 4" xfId="4002"/>
    <cellStyle name="Normal 10 2 4 4 2" xfId="4003"/>
    <cellStyle name="Normal 10 2 4 5" xfId="4004"/>
    <cellStyle name="Normal 10 2 4 5 2" xfId="4005"/>
    <cellStyle name="Normal 10 2 4 6" xfId="4006"/>
    <cellStyle name="Normal 10 2 4 6 2" xfId="4007"/>
    <cellStyle name="Normal 10 2 4 7" xfId="4008"/>
    <cellStyle name="Normal 10 2 4 7 2" xfId="4009"/>
    <cellStyle name="Normal 10 2 4 8" xfId="4010"/>
    <cellStyle name="Normal 10 2 4 8 2" xfId="4011"/>
    <cellStyle name="Normal 10 2 4 8 3" xfId="4012"/>
    <cellStyle name="Normal 10 2 4 9" xfId="4013"/>
    <cellStyle name="Normal 10 2 4 9 2" xfId="4014"/>
    <cellStyle name="Normal 10 2 4 9 3" xfId="4015"/>
    <cellStyle name="Normal 10 2 4_Culture" xfId="4016"/>
    <cellStyle name="Normal 10 2 5" xfId="4017"/>
    <cellStyle name="Normal 10 2 5 2" xfId="4018"/>
    <cellStyle name="Normal 10 2 6" xfId="4019"/>
    <cellStyle name="Normal 10 2 6 2" xfId="4020"/>
    <cellStyle name="Normal 10 2 7" xfId="4021"/>
    <cellStyle name="Normal 10 2 7 2" xfId="4022"/>
    <cellStyle name="Normal 10 2 8" xfId="4023"/>
    <cellStyle name="Normal 10 2 8 2" xfId="4024"/>
    <cellStyle name="Normal 10 2 9" xfId="4025"/>
    <cellStyle name="Normal 10 2 9 2" xfId="4026"/>
    <cellStyle name="Normal 10 2_inv-en-1.5.0-02 trame_fiche-emissions" xfId="4031"/>
    <cellStyle name="Normal 10 20" xfId="4027"/>
    <cellStyle name="Normal 10 21" xfId="4028"/>
    <cellStyle name="Normal 10 22" xfId="4029"/>
    <cellStyle name="Normal 10 23" xfId="4030"/>
    <cellStyle name="Normal 10 3" xfId="4032"/>
    <cellStyle name="Normal 10 3 10" xfId="4033"/>
    <cellStyle name="Normal 10 3 10 2" xfId="4034"/>
    <cellStyle name="Normal 10 3 10 3" xfId="4035"/>
    <cellStyle name="Normal 10 3 11" xfId="4036"/>
    <cellStyle name="Normal 10 3 11 2" xfId="4037"/>
    <cellStyle name="Normal 10 3 11 3" xfId="4038"/>
    <cellStyle name="Normal 10 3 12" xfId="4039"/>
    <cellStyle name="Normal 10 3 2" xfId="4040"/>
    <cellStyle name="Normal 10 3 2 2" xfId="4041"/>
    <cellStyle name="Normal 10 3 2 2 10" xfId="4042"/>
    <cellStyle name="Normal 10 3 2 2 2" xfId="4043"/>
    <cellStyle name="Normal 10 3 2 2 2 2" xfId="4044"/>
    <cellStyle name="Normal 10 3 2 2 3" xfId="4045"/>
    <cellStyle name="Normal 10 3 2 2 3 2" xfId="4046"/>
    <cellStyle name="Normal 10 3 2 2 4" xfId="4047"/>
    <cellStyle name="Normal 10 3 2 2 4 2" xfId="4048"/>
    <cellStyle name="Normal 10 3 2 2 5" xfId="4049"/>
    <cellStyle name="Normal 10 3 2 2 5 2" xfId="4050"/>
    <cellStyle name="Normal 10 3 2 2 6" xfId="4051"/>
    <cellStyle name="Normal 10 3 2 2 6 2" xfId="4052"/>
    <cellStyle name="Normal 10 3 2 2 7" xfId="4053"/>
    <cellStyle name="Normal 10 3 2 2 7 2" xfId="4054"/>
    <cellStyle name="Normal 10 3 2 2 8" xfId="4055"/>
    <cellStyle name="Normal 10 3 2 2 8 2" xfId="4056"/>
    <cellStyle name="Normal 10 3 2 2 8 3" xfId="4057"/>
    <cellStyle name="Normal 10 3 2 2 9" xfId="4058"/>
    <cellStyle name="Normal 10 3 2 2_Culture" xfId="4059"/>
    <cellStyle name="Normal 10 3 2 3" xfId="4060"/>
    <cellStyle name="Normal 10 3 2 3 2" xfId="4061"/>
    <cellStyle name="Normal 10 3 2 3 3" xfId="4062"/>
    <cellStyle name="Normal 10 3 2 4" xfId="4063"/>
    <cellStyle name="Normal 10 3 2 4 2" xfId="4064"/>
    <cellStyle name="Normal 10 3 2 4 3" xfId="4065"/>
    <cellStyle name="Normal 10 3 2 5" xfId="4066"/>
    <cellStyle name="Normal 10 3 2 5 2" xfId="4067"/>
    <cellStyle name="Normal 10 3 2 5 3" xfId="4068"/>
    <cellStyle name="Normal 10 3 2 6" xfId="4069"/>
    <cellStyle name="Normal 10 3 2 6 2" xfId="4070"/>
    <cellStyle name="Normal 10 3 2 6 3" xfId="4071"/>
    <cellStyle name="Normal 10 3 2 7" xfId="4072"/>
    <cellStyle name="Normal 10 3 2 7 2" xfId="4073"/>
    <cellStyle name="Normal 10 3 2 7 3" xfId="4074"/>
    <cellStyle name="Normal 10 3 2 8" xfId="4075"/>
    <cellStyle name="Normal 10 3 3" xfId="4076"/>
    <cellStyle name="Normal 10 3 3 2" xfId="4077"/>
    <cellStyle name="Normal 10 3 4" xfId="4078"/>
    <cellStyle name="Normal 10 3 4 2" xfId="4079"/>
    <cellStyle name="Normal 10 3 5" xfId="4080"/>
    <cellStyle name="Normal 10 3 5 2" xfId="4081"/>
    <cellStyle name="Normal 10 3 6" xfId="4082"/>
    <cellStyle name="Normal 10 3 6 2" xfId="4083"/>
    <cellStyle name="Normal 10 3 7" xfId="4084"/>
    <cellStyle name="Normal 10 3 7 2" xfId="4085"/>
    <cellStyle name="Normal 10 3 8" xfId="4086"/>
    <cellStyle name="Normal 10 3 8 2" xfId="4087"/>
    <cellStyle name="Normal 10 3 9" xfId="4088"/>
    <cellStyle name="Normal 10 3 9 2" xfId="4089"/>
    <cellStyle name="Normal 10 3_Culture" xfId="4090"/>
    <cellStyle name="Normal 10 4" xfId="4091"/>
    <cellStyle name="Normal 10 4 10" xfId="4092"/>
    <cellStyle name="Normal 10 4 2" xfId="4093"/>
    <cellStyle name="Normal 10 4 2 2" xfId="4094"/>
    <cellStyle name="Normal 10 4 2 2 2" xfId="4095"/>
    <cellStyle name="Normal 10 4 2 2 3" xfId="4096"/>
    <cellStyle name="Normal 10 4 2 3" xfId="4097"/>
    <cellStyle name="Normal 10 4 2 3 2" xfId="4098"/>
    <cellStyle name="Normal 10 4 2 3 3" xfId="4099"/>
    <cellStyle name="Normal 10 4 2 4" xfId="4100"/>
    <cellStyle name="Normal 10 4 2 4 2" xfId="4101"/>
    <cellStyle name="Normal 10 4 2 4 3" xfId="4102"/>
    <cellStyle name="Normal 10 4 2 5" xfId="4103"/>
    <cellStyle name="Normal 10 4 2 5 2" xfId="4104"/>
    <cellStyle name="Normal 10 4 2 5 3" xfId="4105"/>
    <cellStyle name="Normal 10 4 2 6" xfId="4106"/>
    <cellStyle name="Normal 10 4 2 6 2" xfId="4107"/>
    <cellStyle name="Normal 10 4 2 6 3" xfId="4108"/>
    <cellStyle name="Normal 10 4 2 7" xfId="4109"/>
    <cellStyle name="Normal 10 4 2 7 2" xfId="4110"/>
    <cellStyle name="Normal 10 4 2 7 3" xfId="4111"/>
    <cellStyle name="Normal 10 4 2 8" xfId="4112"/>
    <cellStyle name="Normal 10 4 3" xfId="4113"/>
    <cellStyle name="Normal 10 4 3 2" xfId="4114"/>
    <cellStyle name="Normal 10 4 4" xfId="4115"/>
    <cellStyle name="Normal 10 4 4 2" xfId="4116"/>
    <cellStyle name="Normal 10 4 5" xfId="4117"/>
    <cellStyle name="Normal 10 4 5 2" xfId="4118"/>
    <cellStyle name="Normal 10 4 6" xfId="4119"/>
    <cellStyle name="Normal 10 4 6 2" xfId="4120"/>
    <cellStyle name="Normal 10 4 7" xfId="4121"/>
    <cellStyle name="Normal 10 4 7 2" xfId="4122"/>
    <cellStyle name="Normal 10 4 8" xfId="4123"/>
    <cellStyle name="Normal 10 4 8 2" xfId="4124"/>
    <cellStyle name="Normal 10 4 8 3" xfId="4125"/>
    <cellStyle name="Normal 10 4 9" xfId="4126"/>
    <cellStyle name="Normal 10 4 9 2" xfId="4127"/>
    <cellStyle name="Normal 10 4 9 3" xfId="4128"/>
    <cellStyle name="Normal 10 4_Culture" xfId="4129"/>
    <cellStyle name="Normal 10 5" xfId="4130"/>
    <cellStyle name="Normal 10 5 10" xfId="4131"/>
    <cellStyle name="Normal 10 5 2" xfId="4132"/>
    <cellStyle name="Normal 10 5 2 2" xfId="4133"/>
    <cellStyle name="Normal 10 5 3" xfId="4134"/>
    <cellStyle name="Normal 10 5 3 2" xfId="4135"/>
    <cellStyle name="Normal 10 5 4" xfId="4136"/>
    <cellStyle name="Normal 10 5 4 2" xfId="4137"/>
    <cellStyle name="Normal 10 5 5" xfId="4138"/>
    <cellStyle name="Normal 10 5 5 2" xfId="4139"/>
    <cellStyle name="Normal 10 5 6" xfId="4140"/>
    <cellStyle name="Normal 10 5 6 2" xfId="4141"/>
    <cellStyle name="Normal 10 5 7" xfId="4142"/>
    <cellStyle name="Normal 10 5 7 2" xfId="4143"/>
    <cellStyle name="Normal 10 5 8" xfId="4144"/>
    <cellStyle name="Normal 10 5 8 2" xfId="4145"/>
    <cellStyle name="Normal 10 5 8 3" xfId="4146"/>
    <cellStyle name="Normal 10 5 9" xfId="4147"/>
    <cellStyle name="Normal 10 5 9 2" xfId="4148"/>
    <cellStyle name="Normal 10 5 9 3" xfId="4149"/>
    <cellStyle name="Normal 10 5_Culture" xfId="4150"/>
    <cellStyle name="Normal 10 6" xfId="4151"/>
    <cellStyle name="Normal 10 6 2" xfId="4152"/>
    <cellStyle name="Normal 10 7" xfId="4153"/>
    <cellStyle name="Normal 10 7 2" xfId="4154"/>
    <cellStyle name="Normal 10 8" xfId="4155"/>
    <cellStyle name="Normal 10 8 2" xfId="4156"/>
    <cellStyle name="Normal 10 9" xfId="4157"/>
    <cellStyle name="Normal 10 9 2" xfId="4158"/>
    <cellStyle name="Normal 10_inv-en-1.5.0-02 trame_fiche-emissions" xfId="4200"/>
    <cellStyle name="Normal 100" xfId="4159"/>
    <cellStyle name="Normal 100 2" xfId="4160"/>
    <cellStyle name="Normal 100 2 2" xfId="4161"/>
    <cellStyle name="Normal 100 3" xfId="4162"/>
    <cellStyle name="Normal 101" xfId="4163"/>
    <cellStyle name="Normal 101 2" xfId="4164"/>
    <cellStyle name="Normal 101 2 2" xfId="4165"/>
    <cellStyle name="Normal 101 3" xfId="4166"/>
    <cellStyle name="Normal 102" xfId="4167"/>
    <cellStyle name="Normal 102 2" xfId="4168"/>
    <cellStyle name="Normal 102 2 2" xfId="4169"/>
    <cellStyle name="Normal 102 3" xfId="4170"/>
    <cellStyle name="Normal 103" xfId="4171"/>
    <cellStyle name="Normal 103 2" xfId="4172"/>
    <cellStyle name="Normal 103 2 2" xfId="4173"/>
    <cellStyle name="Normal 103 3" xfId="4174"/>
    <cellStyle name="Normal 104" xfId="4175"/>
    <cellStyle name="Normal 104 2" xfId="4176"/>
    <cellStyle name="Normal 104 2 2" xfId="4177"/>
    <cellStyle name="Normal 104 3" xfId="4178"/>
    <cellStyle name="Normal 105" xfId="4179"/>
    <cellStyle name="Normal 105 2" xfId="4180"/>
    <cellStyle name="Normal 105 2 2" xfId="4181"/>
    <cellStyle name="Normal 105 3" xfId="4182"/>
    <cellStyle name="Normal 106" xfId="4183"/>
    <cellStyle name="Normal 106 2" xfId="4184"/>
    <cellStyle name="Normal 106 2 2" xfId="4185"/>
    <cellStyle name="Normal 106 3" xfId="4186"/>
    <cellStyle name="Normal 107" xfId="4187"/>
    <cellStyle name="Normal 107 2" xfId="4188"/>
    <cellStyle name="Normal 107 2 2" xfId="4189"/>
    <cellStyle name="Normal 107 3" xfId="4190"/>
    <cellStyle name="Normal 108" xfId="4191"/>
    <cellStyle name="Normal 108 2" xfId="4192"/>
    <cellStyle name="Normal 108 3" xfId="4193"/>
    <cellStyle name="Normal 109" xfId="4194"/>
    <cellStyle name="Normal 109 2" xfId="4195"/>
    <cellStyle name="Normal 109 2 2" xfId="4196"/>
    <cellStyle name="Normal 109 3" xfId="4197"/>
    <cellStyle name="Normal 109 3 2" xfId="4198"/>
    <cellStyle name="Normal 109 4" xfId="4199"/>
    <cellStyle name="Normal 11" xfId="4201"/>
    <cellStyle name="Normal 11 10" xfId="4202"/>
    <cellStyle name="Normal 11 10 2" xfId="4203"/>
    <cellStyle name="Normal 11 11" xfId="4204"/>
    <cellStyle name="Normal 11 11 2" xfId="4205"/>
    <cellStyle name="Normal 11 12" xfId="4206"/>
    <cellStyle name="Normal 11 12 2" xfId="4207"/>
    <cellStyle name="Normal 11 13" xfId="4208"/>
    <cellStyle name="Normal 11 13 2" xfId="4209"/>
    <cellStyle name="Normal 11 14" xfId="4210"/>
    <cellStyle name="Normal 11 14 2" xfId="4211"/>
    <cellStyle name="Normal 11 14 3" xfId="4212"/>
    <cellStyle name="Normal 11 15" xfId="4213"/>
    <cellStyle name="Normal 11 15 2" xfId="4214"/>
    <cellStyle name="Normal 11 15 3" xfId="4215"/>
    <cellStyle name="Normal 11 16" xfId="4216"/>
    <cellStyle name="Normal 11 16 2" xfId="4217"/>
    <cellStyle name="Normal 11 16 3" xfId="4218"/>
    <cellStyle name="Normal 11 17" xfId="4219"/>
    <cellStyle name="Normal 11 17 2" xfId="4220"/>
    <cellStyle name="Normal 11 17 3" xfId="4221"/>
    <cellStyle name="Normal 11 18" xfId="4222"/>
    <cellStyle name="Normal 11 18 2" xfId="4223"/>
    <cellStyle name="Normal 11 18 3" xfId="4224"/>
    <cellStyle name="Normal 11 19" xfId="4225"/>
    <cellStyle name="Normal 11 19 2" xfId="4226"/>
    <cellStyle name="Normal 11 2" xfId="4227"/>
    <cellStyle name="Normal 11 2 10" xfId="4228"/>
    <cellStyle name="Normal 11 2 10 2" xfId="4229"/>
    <cellStyle name="Normal 11 2 11" xfId="4230"/>
    <cellStyle name="Normal 11 2 11 2" xfId="4231"/>
    <cellStyle name="Normal 11 2 12" xfId="4232"/>
    <cellStyle name="Normal 11 2 12 2" xfId="4233"/>
    <cellStyle name="Normal 11 2 13" xfId="4234"/>
    <cellStyle name="Normal 11 2 13 2" xfId="4235"/>
    <cellStyle name="Normal 11 2 13 3" xfId="4236"/>
    <cellStyle name="Normal 11 2 14" xfId="4237"/>
    <cellStyle name="Normal 11 2 14 2" xfId="4238"/>
    <cellStyle name="Normal 11 2 14 3" xfId="4239"/>
    <cellStyle name="Normal 11 2 15" xfId="4240"/>
    <cellStyle name="Normal 11 2 15 2" xfId="4241"/>
    <cellStyle name="Normal 11 2 15 3" xfId="4242"/>
    <cellStyle name="Normal 11 2 16" xfId="4243"/>
    <cellStyle name="Normal 11 2 16 2" xfId="4244"/>
    <cellStyle name="Normal 11 2 16 3" xfId="4245"/>
    <cellStyle name="Normal 11 2 17" xfId="4246"/>
    <cellStyle name="Normal 11 2 17 2" xfId="4247"/>
    <cellStyle name="Normal 11 2 17 3" xfId="4248"/>
    <cellStyle name="Normal 11 2 18" xfId="4249"/>
    <cellStyle name="Normal 11 2 2" xfId="4250"/>
    <cellStyle name="Normal 11 2 2 10" xfId="4251"/>
    <cellStyle name="Normal 11 2 2 10 2" xfId="4252"/>
    <cellStyle name="Normal 11 2 2 10 3" xfId="4253"/>
    <cellStyle name="Normal 11 2 2 11" xfId="4254"/>
    <cellStyle name="Normal 11 2 2 11 2" xfId="4255"/>
    <cellStyle name="Normal 11 2 2 11 3" xfId="4256"/>
    <cellStyle name="Normal 11 2 2 12" xfId="4257"/>
    <cellStyle name="Normal 11 2 2 2" xfId="4258"/>
    <cellStyle name="Normal 11 2 2 2 2" xfId="4259"/>
    <cellStyle name="Normal 11 2 2 2 2 10" xfId="4260"/>
    <cellStyle name="Normal 11 2 2 2 2 2" xfId="4261"/>
    <cellStyle name="Normal 11 2 2 2 2 2 2" xfId="4262"/>
    <cellStyle name="Normal 11 2 2 2 2 3" xfId="4263"/>
    <cellStyle name="Normal 11 2 2 2 2 3 2" xfId="4264"/>
    <cellStyle name="Normal 11 2 2 2 2 4" xfId="4265"/>
    <cellStyle name="Normal 11 2 2 2 2 4 2" xfId="4266"/>
    <cellStyle name="Normal 11 2 2 2 2 5" xfId="4267"/>
    <cellStyle name="Normal 11 2 2 2 2 5 2" xfId="4268"/>
    <cellStyle name="Normal 11 2 2 2 2 6" xfId="4269"/>
    <cellStyle name="Normal 11 2 2 2 2 6 2" xfId="4270"/>
    <cellStyle name="Normal 11 2 2 2 2 7" xfId="4271"/>
    <cellStyle name="Normal 11 2 2 2 2 7 2" xfId="4272"/>
    <cellStyle name="Normal 11 2 2 2 2 8" xfId="4273"/>
    <cellStyle name="Normal 11 2 2 2 2 8 2" xfId="4274"/>
    <cellStyle name="Normal 11 2 2 2 2 8 3" xfId="4275"/>
    <cellStyle name="Normal 11 2 2 2 2 9" xfId="4276"/>
    <cellStyle name="Normal 11 2 2 2 2_Culture" xfId="4277"/>
    <cellStyle name="Normal 11 2 2 2 3" xfId="4278"/>
    <cellStyle name="Normal 11 2 2 2 3 2" xfId="4279"/>
    <cellStyle name="Normal 11 2 2 2 3 3" xfId="4280"/>
    <cellStyle name="Normal 11 2 2 2 4" xfId="4281"/>
    <cellStyle name="Normal 11 2 2 2 4 2" xfId="4282"/>
    <cellStyle name="Normal 11 2 2 2 4 3" xfId="4283"/>
    <cellStyle name="Normal 11 2 2 2 5" xfId="4284"/>
    <cellStyle name="Normal 11 2 2 2 5 2" xfId="4285"/>
    <cellStyle name="Normal 11 2 2 2 5 3" xfId="4286"/>
    <cellStyle name="Normal 11 2 2 2 6" xfId="4287"/>
    <cellStyle name="Normal 11 2 2 2 6 2" xfId="4288"/>
    <cellStyle name="Normal 11 2 2 2 6 3" xfId="4289"/>
    <cellStyle name="Normal 11 2 2 2 7" xfId="4290"/>
    <cellStyle name="Normal 11 2 2 2 7 2" xfId="4291"/>
    <cellStyle name="Normal 11 2 2 2 7 3" xfId="4292"/>
    <cellStyle name="Normal 11 2 2 2 8" xfId="4293"/>
    <cellStyle name="Normal 11 2 2 3" xfId="4294"/>
    <cellStyle name="Normal 11 2 2 3 2" xfId="4295"/>
    <cellStyle name="Normal 11 2 2 4" xfId="4296"/>
    <cellStyle name="Normal 11 2 2 4 2" xfId="4297"/>
    <cellStyle name="Normal 11 2 2 5" xfId="4298"/>
    <cellStyle name="Normal 11 2 2 5 2" xfId="4299"/>
    <cellStyle name="Normal 11 2 2 6" xfId="4300"/>
    <cellStyle name="Normal 11 2 2 6 2" xfId="4301"/>
    <cellStyle name="Normal 11 2 2 7" xfId="4302"/>
    <cellStyle name="Normal 11 2 2 7 2" xfId="4303"/>
    <cellStyle name="Normal 11 2 2 8" xfId="4304"/>
    <cellStyle name="Normal 11 2 2 8 2" xfId="4305"/>
    <cellStyle name="Normal 11 2 2 9" xfId="4306"/>
    <cellStyle name="Normal 11 2 2 9 2" xfId="4307"/>
    <cellStyle name="Normal 11 2 2_Culture" xfId="4308"/>
    <cellStyle name="Normal 11 2 3" xfId="4309"/>
    <cellStyle name="Normal 11 2 3 10" xfId="4310"/>
    <cellStyle name="Normal 11 2 3 2" xfId="4311"/>
    <cellStyle name="Normal 11 2 3 2 2" xfId="4312"/>
    <cellStyle name="Normal 11 2 3 2 2 2" xfId="4313"/>
    <cellStyle name="Normal 11 2 3 2 2 3" xfId="4314"/>
    <cellStyle name="Normal 11 2 3 2 3" xfId="4315"/>
    <cellStyle name="Normal 11 2 3 2 3 2" xfId="4316"/>
    <cellStyle name="Normal 11 2 3 2 3 3" xfId="4317"/>
    <cellStyle name="Normal 11 2 3 2 4" xfId="4318"/>
    <cellStyle name="Normal 11 2 3 2 4 2" xfId="4319"/>
    <cellStyle name="Normal 11 2 3 2 4 3" xfId="4320"/>
    <cellStyle name="Normal 11 2 3 2 5" xfId="4321"/>
    <cellStyle name="Normal 11 2 3 2 5 2" xfId="4322"/>
    <cellStyle name="Normal 11 2 3 2 5 3" xfId="4323"/>
    <cellStyle name="Normal 11 2 3 2 6" xfId="4324"/>
    <cellStyle name="Normal 11 2 3 2 6 2" xfId="4325"/>
    <cellStyle name="Normal 11 2 3 2 6 3" xfId="4326"/>
    <cellStyle name="Normal 11 2 3 2 7" xfId="4327"/>
    <cellStyle name="Normal 11 2 3 2 7 2" xfId="4328"/>
    <cellStyle name="Normal 11 2 3 2 7 3" xfId="4329"/>
    <cellStyle name="Normal 11 2 3 2 8" xfId="4330"/>
    <cellStyle name="Normal 11 2 3 3" xfId="4331"/>
    <cellStyle name="Normal 11 2 3 3 2" xfId="4332"/>
    <cellStyle name="Normal 11 2 3 4" xfId="4333"/>
    <cellStyle name="Normal 11 2 3 4 2" xfId="4334"/>
    <cellStyle name="Normal 11 2 3 5" xfId="4335"/>
    <cellStyle name="Normal 11 2 3 5 2" xfId="4336"/>
    <cellStyle name="Normal 11 2 3 6" xfId="4337"/>
    <cellStyle name="Normal 11 2 3 6 2" xfId="4338"/>
    <cellStyle name="Normal 11 2 3 7" xfId="4339"/>
    <cellStyle name="Normal 11 2 3 7 2" xfId="4340"/>
    <cellStyle name="Normal 11 2 3 8" xfId="4341"/>
    <cellStyle name="Normal 11 2 3 8 2" xfId="4342"/>
    <cellStyle name="Normal 11 2 3 8 3" xfId="4343"/>
    <cellStyle name="Normal 11 2 3 9" xfId="4344"/>
    <cellStyle name="Normal 11 2 3 9 2" xfId="4345"/>
    <cellStyle name="Normal 11 2 3 9 3" xfId="4346"/>
    <cellStyle name="Normal 11 2 3_Culture" xfId="4347"/>
    <cellStyle name="Normal 11 2 4" xfId="4348"/>
    <cellStyle name="Normal 11 2 4 10" xfId="4349"/>
    <cellStyle name="Normal 11 2 4 2" xfId="4350"/>
    <cellStyle name="Normal 11 2 4 2 2" xfId="4351"/>
    <cellStyle name="Normal 11 2 4 3" xfId="4352"/>
    <cellStyle name="Normal 11 2 4 3 2" xfId="4353"/>
    <cellStyle name="Normal 11 2 4 4" xfId="4354"/>
    <cellStyle name="Normal 11 2 4 4 2" xfId="4355"/>
    <cellStyle name="Normal 11 2 4 5" xfId="4356"/>
    <cellStyle name="Normal 11 2 4 5 2" xfId="4357"/>
    <cellStyle name="Normal 11 2 4 6" xfId="4358"/>
    <cellStyle name="Normal 11 2 4 6 2" xfId="4359"/>
    <cellStyle name="Normal 11 2 4 7" xfId="4360"/>
    <cellStyle name="Normal 11 2 4 7 2" xfId="4361"/>
    <cellStyle name="Normal 11 2 4 8" xfId="4362"/>
    <cellStyle name="Normal 11 2 4 8 2" xfId="4363"/>
    <cellStyle name="Normal 11 2 4 8 3" xfId="4364"/>
    <cellStyle name="Normal 11 2 4 9" xfId="4365"/>
    <cellStyle name="Normal 11 2 4 9 2" xfId="4366"/>
    <cellStyle name="Normal 11 2 4 9 3" xfId="4367"/>
    <cellStyle name="Normal 11 2 4_Culture" xfId="4368"/>
    <cellStyle name="Normal 11 2 5" xfId="4369"/>
    <cellStyle name="Normal 11 2 5 2" xfId="4370"/>
    <cellStyle name="Normal 11 2 6" xfId="4371"/>
    <cellStyle name="Normal 11 2 6 2" xfId="4372"/>
    <cellStyle name="Normal 11 2 7" xfId="4373"/>
    <cellStyle name="Normal 11 2 7 2" xfId="4374"/>
    <cellStyle name="Normal 11 2 8" xfId="4375"/>
    <cellStyle name="Normal 11 2 8 2" xfId="4376"/>
    <cellStyle name="Normal 11 2 9" xfId="4377"/>
    <cellStyle name="Normal 11 2 9 2" xfId="4378"/>
    <cellStyle name="Normal 11 2_inv-en-1.5.0-02 trame_fiche-emissions" xfId="4383"/>
    <cellStyle name="Normal 11 20" xfId="4379"/>
    <cellStyle name="Normal 11 21" xfId="4380"/>
    <cellStyle name="Normal 11 22" xfId="4381"/>
    <cellStyle name="Normal 11 23" xfId="4382"/>
    <cellStyle name="Normal 11 3" xfId="4384"/>
    <cellStyle name="Normal 11 3 10" xfId="4385"/>
    <cellStyle name="Normal 11 3 10 2" xfId="4386"/>
    <cellStyle name="Normal 11 3 10 3" xfId="4387"/>
    <cellStyle name="Normal 11 3 11" xfId="4388"/>
    <cellStyle name="Normal 11 3 11 2" xfId="4389"/>
    <cellStyle name="Normal 11 3 11 3" xfId="4390"/>
    <cellStyle name="Normal 11 3 12" xfId="4391"/>
    <cellStyle name="Normal 11 3 2" xfId="4392"/>
    <cellStyle name="Normal 11 3 2 2" xfId="4393"/>
    <cellStyle name="Normal 11 3 2 2 10" xfId="4394"/>
    <cellStyle name="Normal 11 3 2 2 2" xfId="4395"/>
    <cellStyle name="Normal 11 3 2 2 2 2" xfId="4396"/>
    <cellStyle name="Normal 11 3 2 2 3" xfId="4397"/>
    <cellStyle name="Normal 11 3 2 2 3 2" xfId="4398"/>
    <cellStyle name="Normal 11 3 2 2 4" xfId="4399"/>
    <cellStyle name="Normal 11 3 2 2 4 2" xfId="4400"/>
    <cellStyle name="Normal 11 3 2 2 5" xfId="4401"/>
    <cellStyle name="Normal 11 3 2 2 5 2" xfId="4402"/>
    <cellStyle name="Normal 11 3 2 2 6" xfId="4403"/>
    <cellStyle name="Normal 11 3 2 2 6 2" xfId="4404"/>
    <cellStyle name="Normal 11 3 2 2 7" xfId="4405"/>
    <cellStyle name="Normal 11 3 2 2 7 2" xfId="4406"/>
    <cellStyle name="Normal 11 3 2 2 8" xfId="4407"/>
    <cellStyle name="Normal 11 3 2 2 8 2" xfId="4408"/>
    <cellStyle name="Normal 11 3 2 2 8 3" xfId="4409"/>
    <cellStyle name="Normal 11 3 2 2 9" xfId="4410"/>
    <cellStyle name="Normal 11 3 2 2_Culture" xfId="4411"/>
    <cellStyle name="Normal 11 3 2 3" xfId="4412"/>
    <cellStyle name="Normal 11 3 2 3 2" xfId="4413"/>
    <cellStyle name="Normal 11 3 2 3 3" xfId="4414"/>
    <cellStyle name="Normal 11 3 2 4" xfId="4415"/>
    <cellStyle name="Normal 11 3 2 4 2" xfId="4416"/>
    <cellStyle name="Normal 11 3 2 4 3" xfId="4417"/>
    <cellStyle name="Normal 11 3 2 5" xfId="4418"/>
    <cellStyle name="Normal 11 3 2 5 2" xfId="4419"/>
    <cellStyle name="Normal 11 3 2 5 3" xfId="4420"/>
    <cellStyle name="Normal 11 3 2 6" xfId="4421"/>
    <cellStyle name="Normal 11 3 2 6 2" xfId="4422"/>
    <cellStyle name="Normal 11 3 2 6 3" xfId="4423"/>
    <cellStyle name="Normal 11 3 2 7" xfId="4424"/>
    <cellStyle name="Normal 11 3 2 7 2" xfId="4425"/>
    <cellStyle name="Normal 11 3 2 7 3" xfId="4426"/>
    <cellStyle name="Normal 11 3 2 8" xfId="4427"/>
    <cellStyle name="Normal 11 3 3" xfId="4428"/>
    <cellStyle name="Normal 11 3 3 2" xfId="4429"/>
    <cellStyle name="Normal 11 3 4" xfId="4430"/>
    <cellStyle name="Normal 11 3 4 2" xfId="4431"/>
    <cellStyle name="Normal 11 3 5" xfId="4432"/>
    <cellStyle name="Normal 11 3 5 2" xfId="4433"/>
    <cellStyle name="Normal 11 3 6" xfId="4434"/>
    <cellStyle name="Normal 11 3 6 2" xfId="4435"/>
    <cellStyle name="Normal 11 3 7" xfId="4436"/>
    <cellStyle name="Normal 11 3 7 2" xfId="4437"/>
    <cellStyle name="Normal 11 3 8" xfId="4438"/>
    <cellStyle name="Normal 11 3 8 2" xfId="4439"/>
    <cellStyle name="Normal 11 3 9" xfId="4440"/>
    <cellStyle name="Normal 11 3 9 2" xfId="4441"/>
    <cellStyle name="Normal 11 3_Culture" xfId="4442"/>
    <cellStyle name="Normal 11 4" xfId="4443"/>
    <cellStyle name="Normal 11 4 10" xfId="4444"/>
    <cellStyle name="Normal 11 4 2" xfId="4445"/>
    <cellStyle name="Normal 11 4 2 2" xfId="4446"/>
    <cellStyle name="Normal 11 4 2 2 2" xfId="4447"/>
    <cellStyle name="Normal 11 4 2 2 3" xfId="4448"/>
    <cellStyle name="Normal 11 4 2 3" xfId="4449"/>
    <cellStyle name="Normal 11 4 2 3 2" xfId="4450"/>
    <cellStyle name="Normal 11 4 2 3 3" xfId="4451"/>
    <cellStyle name="Normal 11 4 2 4" xfId="4452"/>
    <cellStyle name="Normal 11 4 2 4 2" xfId="4453"/>
    <cellStyle name="Normal 11 4 2 4 3" xfId="4454"/>
    <cellStyle name="Normal 11 4 2 5" xfId="4455"/>
    <cellStyle name="Normal 11 4 2 5 2" xfId="4456"/>
    <cellStyle name="Normal 11 4 2 5 3" xfId="4457"/>
    <cellStyle name="Normal 11 4 2 6" xfId="4458"/>
    <cellStyle name="Normal 11 4 2 6 2" xfId="4459"/>
    <cellStyle name="Normal 11 4 2 6 3" xfId="4460"/>
    <cellStyle name="Normal 11 4 2 7" xfId="4461"/>
    <cellStyle name="Normal 11 4 2 7 2" xfId="4462"/>
    <cellStyle name="Normal 11 4 2 7 3" xfId="4463"/>
    <cellStyle name="Normal 11 4 2 8" xfId="4464"/>
    <cellStyle name="Normal 11 4 3" xfId="4465"/>
    <cellStyle name="Normal 11 4 3 2" xfId="4466"/>
    <cellStyle name="Normal 11 4 4" xfId="4467"/>
    <cellStyle name="Normal 11 4 4 2" xfId="4468"/>
    <cellStyle name="Normal 11 4 5" xfId="4469"/>
    <cellStyle name="Normal 11 4 5 2" xfId="4470"/>
    <cellStyle name="Normal 11 4 6" xfId="4471"/>
    <cellStyle name="Normal 11 4 6 2" xfId="4472"/>
    <cellStyle name="Normal 11 4 7" xfId="4473"/>
    <cellStyle name="Normal 11 4 7 2" xfId="4474"/>
    <cellStyle name="Normal 11 4 8" xfId="4475"/>
    <cellStyle name="Normal 11 4 8 2" xfId="4476"/>
    <cellStyle name="Normal 11 4 8 3" xfId="4477"/>
    <cellStyle name="Normal 11 4 9" xfId="4478"/>
    <cellStyle name="Normal 11 4 9 2" xfId="4479"/>
    <cellStyle name="Normal 11 4 9 3" xfId="4480"/>
    <cellStyle name="Normal 11 4_Culture" xfId="4481"/>
    <cellStyle name="Normal 11 5" xfId="4482"/>
    <cellStyle name="Normal 11 5 10" xfId="4483"/>
    <cellStyle name="Normal 11 5 2" xfId="4484"/>
    <cellStyle name="Normal 11 5 2 2" xfId="4485"/>
    <cellStyle name="Normal 11 5 3" xfId="4486"/>
    <cellStyle name="Normal 11 5 3 2" xfId="4487"/>
    <cellStyle name="Normal 11 5 4" xfId="4488"/>
    <cellStyle name="Normal 11 5 4 2" xfId="4489"/>
    <cellStyle name="Normal 11 5 5" xfId="4490"/>
    <cellStyle name="Normal 11 5 5 2" xfId="4491"/>
    <cellStyle name="Normal 11 5 6" xfId="4492"/>
    <cellStyle name="Normal 11 5 6 2" xfId="4493"/>
    <cellStyle name="Normal 11 5 7" xfId="4494"/>
    <cellStyle name="Normal 11 5 7 2" xfId="4495"/>
    <cellStyle name="Normal 11 5 8" xfId="4496"/>
    <cellStyle name="Normal 11 5 8 2" xfId="4497"/>
    <cellStyle name="Normal 11 5 8 3" xfId="4498"/>
    <cellStyle name="Normal 11 5 9" xfId="4499"/>
    <cellStyle name="Normal 11 5 9 2" xfId="4500"/>
    <cellStyle name="Normal 11 5 9 3" xfId="4501"/>
    <cellStyle name="Normal 11 5_Culture" xfId="4502"/>
    <cellStyle name="Normal 11 6" xfId="4503"/>
    <cellStyle name="Normal 11 6 2" xfId="4504"/>
    <cellStyle name="Normal 11 7" xfId="4505"/>
    <cellStyle name="Normal 11 7 2" xfId="4506"/>
    <cellStyle name="Normal 11 8" xfId="4507"/>
    <cellStyle name="Normal 11 8 2" xfId="4508"/>
    <cellStyle name="Normal 11 9" xfId="4509"/>
    <cellStyle name="Normal 11 9 2" xfId="4510"/>
    <cellStyle name="Normal 11_inv-en-1.5.0-02 trame_fiche-emissions" xfId="4544"/>
    <cellStyle name="Normal 110" xfId="4511"/>
    <cellStyle name="Normal 110 2" xfId="4512"/>
    <cellStyle name="Normal 110 2 2" xfId="4513"/>
    <cellStyle name="Normal 110 3" xfId="4514"/>
    <cellStyle name="Normal 110 3 2" xfId="4515"/>
    <cellStyle name="Normal 110 4" xfId="4516"/>
    <cellStyle name="Normal 111" xfId="4517"/>
    <cellStyle name="Normal 111 2" xfId="4518"/>
    <cellStyle name="Normal 111 2 2" xfId="4519"/>
    <cellStyle name="Normal 111 3" xfId="4520"/>
    <cellStyle name="Normal 111 3 2" xfId="4521"/>
    <cellStyle name="Normal 111 4" xfId="4522"/>
    <cellStyle name="Normal 112" xfId="4523"/>
    <cellStyle name="Normal 112 2" xfId="4524"/>
    <cellStyle name="Normal 112 2 2" xfId="4525"/>
    <cellStyle name="Normal 112 3" xfId="4526"/>
    <cellStyle name="Normal 112 3 2" xfId="4527"/>
    <cellStyle name="Normal 112 4" xfId="4528"/>
    <cellStyle name="Normal 113" xfId="4529"/>
    <cellStyle name="Normal 113 2" xfId="4530"/>
    <cellStyle name="Normal 113 3" xfId="4531"/>
    <cellStyle name="Normal 114" xfId="4532"/>
    <cellStyle name="Normal 114 2" xfId="4533"/>
    <cellStyle name="Normal 115" xfId="4534"/>
    <cellStyle name="Normal 115 2" xfId="4535"/>
    <cellStyle name="Normal 116" xfId="4536"/>
    <cellStyle name="Normal 116 2" xfId="4537"/>
    <cellStyle name="Normal 117" xfId="4538"/>
    <cellStyle name="Normal 117 2" xfId="4539"/>
    <cellStyle name="Normal 118" xfId="4540"/>
    <cellStyle name="Normal 118 2" xfId="4541"/>
    <cellStyle name="Normal 119" xfId="4542"/>
    <cellStyle name="Normal 119 2" xfId="4543"/>
    <cellStyle name="Normal 12" xfId="4545"/>
    <cellStyle name="Normal 12 10" xfId="4546"/>
    <cellStyle name="Normal 12 10 2" xfId="4547"/>
    <cellStyle name="Normal 12 11" xfId="4548"/>
    <cellStyle name="Normal 12 11 2" xfId="4549"/>
    <cellStyle name="Normal 12 12" xfId="4550"/>
    <cellStyle name="Normal 12 12 2" xfId="4551"/>
    <cellStyle name="Normal 12 13" xfId="4552"/>
    <cellStyle name="Normal 12 13 2" xfId="4553"/>
    <cellStyle name="Normal 12 14" xfId="4554"/>
    <cellStyle name="Normal 12 14 2" xfId="4555"/>
    <cellStyle name="Normal 12 15" xfId="4556"/>
    <cellStyle name="Normal 12 2" xfId="4557"/>
    <cellStyle name="Normal 12 2 2" xfId="4558"/>
    <cellStyle name="Normal 12 2 2 2" xfId="4559"/>
    <cellStyle name="Normal 12 2 2 2 2" xfId="4560"/>
    <cellStyle name="Normal 12 2 2 3" xfId="4561"/>
    <cellStyle name="Normal 12 2 3" xfId="4562"/>
    <cellStyle name="Normal 12 2 3 2" xfId="4563"/>
    <cellStyle name="Normal 12 2 4" xfId="4564"/>
    <cellStyle name="Normal 12 3" xfId="4565"/>
    <cellStyle name="Normal 12 3 2" xfId="4566"/>
    <cellStyle name="Normal 12 3 2 2" xfId="4567"/>
    <cellStyle name="Normal 12 3 3" xfId="4568"/>
    <cellStyle name="Normal 12 4" xfId="4569"/>
    <cellStyle name="Normal 12 4 2" xfId="4570"/>
    <cellStyle name="Normal 12 5" xfId="4571"/>
    <cellStyle name="Normal 12 5 2" xfId="4572"/>
    <cellStyle name="Normal 12 6" xfId="4573"/>
    <cellStyle name="Normal 12 6 2" xfId="4574"/>
    <cellStyle name="Normal 12 7" xfId="4575"/>
    <cellStyle name="Normal 12 7 2" xfId="4576"/>
    <cellStyle name="Normal 12 8" xfId="4577"/>
    <cellStyle name="Normal 12 8 2" xfId="4578"/>
    <cellStyle name="Normal 12 9" xfId="4579"/>
    <cellStyle name="Normal 12 9 2" xfId="4580"/>
    <cellStyle name="Normal 12_inv-en-1.5.0-02 trame_fiche-emissions" xfId="4602"/>
    <cellStyle name="Normal 120" xfId="4581"/>
    <cellStyle name="Normal 120 2" xfId="4582"/>
    <cellStyle name="Normal 121" xfId="4583"/>
    <cellStyle name="Normal 121 2" xfId="4584"/>
    <cellStyle name="Normal 122" xfId="4585"/>
    <cellStyle name="Normal 122 2" xfId="4586"/>
    <cellStyle name="Normal 123" xfId="4587"/>
    <cellStyle name="Normal 123 2" xfId="4588"/>
    <cellStyle name="Normal 124" xfId="4589"/>
    <cellStyle name="Normal 124 2" xfId="4590"/>
    <cellStyle name="Normal 125" xfId="4591"/>
    <cellStyle name="Normal 125 2" xfId="4592"/>
    <cellStyle name="Normal 126" xfId="4593"/>
    <cellStyle name="Normal 126 2" xfId="4594"/>
    <cellStyle name="Normal 126 3" xfId="4595"/>
    <cellStyle name="Normal 127" xfId="4596"/>
    <cellStyle name="Normal 127 2" xfId="4597"/>
    <cellStyle name="Normal 128" xfId="4598"/>
    <cellStyle name="Normal 128 2" xfId="4599"/>
    <cellStyle name="Normal 129" xfId="4600"/>
    <cellStyle name="Normal 129 2" xfId="4601"/>
    <cellStyle name="Normal 13" xfId="4603"/>
    <cellStyle name="Normal 13 10" xfId="4604"/>
    <cellStyle name="Normal 13 10 2" xfId="4605"/>
    <cellStyle name="Normal 13 11" xfId="4606"/>
    <cellStyle name="Normal 13 11 2" xfId="4607"/>
    <cellStyle name="Normal 13 12" xfId="4608"/>
    <cellStyle name="Normal 13 12 2" xfId="4609"/>
    <cellStyle name="Normal 13 13" xfId="4610"/>
    <cellStyle name="Normal 13 13 2" xfId="4611"/>
    <cellStyle name="Normal 13 14" xfId="4612"/>
    <cellStyle name="Normal 13 14 2" xfId="4613"/>
    <cellStyle name="Normal 13 15" xfId="4614"/>
    <cellStyle name="Normal 13 2" xfId="4615"/>
    <cellStyle name="Normal 13 2 2" xfId="4616"/>
    <cellStyle name="Normal 13 2 2 2" xfId="4617"/>
    <cellStyle name="Normal 13 2 2 2 2" xfId="4618"/>
    <cellStyle name="Normal 13 2 2 3" xfId="4619"/>
    <cellStyle name="Normal 13 2 3" xfId="4620"/>
    <cellStyle name="Normal 13 2 3 2" xfId="4621"/>
    <cellStyle name="Normal 13 2 4" xfId="4622"/>
    <cellStyle name="Normal 13 3" xfId="4623"/>
    <cellStyle name="Normal 13 3 2" xfId="4624"/>
    <cellStyle name="Normal 13 3 2 2" xfId="4625"/>
    <cellStyle name="Normal 13 3 3" xfId="4626"/>
    <cellStyle name="Normal 13 4" xfId="4627"/>
    <cellStyle name="Normal 13 4 2" xfId="4628"/>
    <cellStyle name="Normal 13 5" xfId="4629"/>
    <cellStyle name="Normal 13 5 2" xfId="4630"/>
    <cellStyle name="Normal 13 6" xfId="4631"/>
    <cellStyle name="Normal 13 6 2" xfId="4632"/>
    <cellStyle name="Normal 13 7" xfId="4633"/>
    <cellStyle name="Normal 13 7 2" xfId="4634"/>
    <cellStyle name="Normal 13 8" xfId="4635"/>
    <cellStyle name="Normal 13 8 2" xfId="4636"/>
    <cellStyle name="Normal 13 9" xfId="4637"/>
    <cellStyle name="Normal 13 9 2" xfId="4638"/>
    <cellStyle name="Normal 13_inv-en-1.5.0-02 trame_fiche-emissions" xfId="4661"/>
    <cellStyle name="Normal 130" xfId="4639"/>
    <cellStyle name="Normal 130 2" xfId="4640"/>
    <cellStyle name="Normal 131" xfId="4641"/>
    <cellStyle name="Normal 131 2" xfId="4642"/>
    <cellStyle name="Normal 132" xfId="4643"/>
    <cellStyle name="Normal 132 2" xfId="4644"/>
    <cellStyle name="Normal 133" xfId="4645"/>
    <cellStyle name="Normal 133 2" xfId="4646"/>
    <cellStyle name="Normal 134" xfId="4647"/>
    <cellStyle name="Normal 134 2" xfId="4648"/>
    <cellStyle name="Normal 135" xfId="4649"/>
    <cellStyle name="Normal 135 2" xfId="4650"/>
    <cellStyle name="Normal 136" xfId="4651"/>
    <cellStyle name="Normal 136 2" xfId="4652"/>
    <cellStyle name="Normal 137" xfId="4653"/>
    <cellStyle name="Normal 137 2" xfId="4654"/>
    <cellStyle name="Normal 137 3" xfId="4655"/>
    <cellStyle name="Normal 138" xfId="4656"/>
    <cellStyle name="Normal 138 2" xfId="4657"/>
    <cellStyle name="Normal 138 3" xfId="4658"/>
    <cellStyle name="Normal 139" xfId="4659"/>
    <cellStyle name="Normal 139 2" xfId="4660"/>
    <cellStyle name="Normal 14" xfId="4662"/>
    <cellStyle name="Normal 14 10" xfId="4663"/>
    <cellStyle name="Normal 14 10 2" xfId="4664"/>
    <cellStyle name="Normal 14 11" xfId="4665"/>
    <cellStyle name="Normal 14 11 2" xfId="4666"/>
    <cellStyle name="Normal 14 12" xfId="4667"/>
    <cellStyle name="Normal 14 12 2" xfId="4668"/>
    <cellStyle name="Normal 14 13" xfId="4669"/>
    <cellStyle name="Normal 14 13 2" xfId="4670"/>
    <cellStyle name="Normal 14 14" xfId="4671"/>
    <cellStyle name="Normal 14 2" xfId="4672"/>
    <cellStyle name="Normal 14 2 2" xfId="4673"/>
    <cellStyle name="Normal 14 2 2 2" xfId="4674"/>
    <cellStyle name="Normal 14 2 3" xfId="4675"/>
    <cellStyle name="Normal 14 3" xfId="4676"/>
    <cellStyle name="Normal 14 3 2" xfId="4677"/>
    <cellStyle name="Normal 14 4" xfId="4678"/>
    <cellStyle name="Normal 14 4 2" xfId="4679"/>
    <cellStyle name="Normal 14 5" xfId="4680"/>
    <cellStyle name="Normal 14 5 2" xfId="4681"/>
    <cellStyle name="Normal 14 6" xfId="4682"/>
    <cellStyle name="Normal 14 6 2" xfId="4683"/>
    <cellStyle name="Normal 14 7" xfId="4684"/>
    <cellStyle name="Normal 14 7 2" xfId="4685"/>
    <cellStyle name="Normal 14 8" xfId="4686"/>
    <cellStyle name="Normal 14 8 2" xfId="4687"/>
    <cellStyle name="Normal 14 9" xfId="4688"/>
    <cellStyle name="Normal 14 9 2" xfId="4689"/>
    <cellStyle name="Normal 14_inv-en-1.5.0-02 trame_fiche-emissions" xfId="4710"/>
    <cellStyle name="Normal 140" xfId="4690"/>
    <cellStyle name="Normal 140 2" xfId="4691"/>
    <cellStyle name="Normal 141" xfId="4692"/>
    <cellStyle name="Normal 141 2" xfId="4693"/>
    <cellStyle name="Normal 142" xfId="4694"/>
    <cellStyle name="Normal 142 2" xfId="4695"/>
    <cellStyle name="Normal 143" xfId="4696"/>
    <cellStyle name="Normal 143 2" xfId="4697"/>
    <cellStyle name="Normal 144" xfId="4698"/>
    <cellStyle name="Normal 144 2" xfId="4699"/>
    <cellStyle name="Normal 145" xfId="4700"/>
    <cellStyle name="Normal 145 2" xfId="4701"/>
    <cellStyle name="Normal 146" xfId="4702"/>
    <cellStyle name="Normal 146 2" xfId="4703"/>
    <cellStyle name="Normal 147" xfId="4704"/>
    <cellStyle name="Normal 147 2" xfId="4705"/>
    <cellStyle name="Normal 148" xfId="4706"/>
    <cellStyle name="Normal 148 2" xfId="4707"/>
    <cellStyle name="Normal 149" xfId="4708"/>
    <cellStyle name="Normal 149 2" xfId="4709"/>
    <cellStyle name="Normal 15" xfId="4711"/>
    <cellStyle name="Normal 15 10" xfId="4712"/>
    <cellStyle name="Normal 15 10 2" xfId="4713"/>
    <cellStyle name="Normal 15 11" xfId="4714"/>
    <cellStyle name="Normal 15 11 2" xfId="4715"/>
    <cellStyle name="Normal 15 12" xfId="4716"/>
    <cellStyle name="Normal 15 12 2" xfId="4717"/>
    <cellStyle name="Normal 15 13" xfId="4718"/>
    <cellStyle name="Normal 15 13 2" xfId="4719"/>
    <cellStyle name="Normal 15 14" xfId="4720"/>
    <cellStyle name="Normal 15 2" xfId="4721"/>
    <cellStyle name="Normal 15 2 2" xfId="4722"/>
    <cellStyle name="Normal 15 2 2 2" xfId="4723"/>
    <cellStyle name="Normal 15 2 3" xfId="4724"/>
    <cellStyle name="Normal 15 3" xfId="4725"/>
    <cellStyle name="Normal 15 3 2" xfId="4726"/>
    <cellStyle name="Normal 15 4" xfId="4727"/>
    <cellStyle name="Normal 15 4 2" xfId="4728"/>
    <cellStyle name="Normal 15 5" xfId="4729"/>
    <cellStyle name="Normal 15 5 2" xfId="4730"/>
    <cellStyle name="Normal 15 6" xfId="4731"/>
    <cellStyle name="Normal 15 6 2" xfId="4732"/>
    <cellStyle name="Normal 15 7" xfId="4733"/>
    <cellStyle name="Normal 15 7 2" xfId="4734"/>
    <cellStyle name="Normal 15 8" xfId="4735"/>
    <cellStyle name="Normal 15 8 2" xfId="4736"/>
    <cellStyle name="Normal 15 9" xfId="4737"/>
    <cellStyle name="Normal 15 9 2" xfId="4738"/>
    <cellStyle name="Normal 15_inv-en-1.5.0-02 trame_fiche-emissions" xfId="4759"/>
    <cellStyle name="Normal 150" xfId="4739"/>
    <cellStyle name="Normal 150 2" xfId="4740"/>
    <cellStyle name="Normal 151" xfId="4741"/>
    <cellStyle name="Normal 151 2" xfId="4742"/>
    <cellStyle name="Normal 152" xfId="4743"/>
    <cellStyle name="Normal 152 2" xfId="4744"/>
    <cellStyle name="Normal 153" xfId="4745"/>
    <cellStyle name="Normal 153 2" xfId="4746"/>
    <cellStyle name="Normal 154" xfId="4747"/>
    <cellStyle name="Normal 154 2" xfId="4748"/>
    <cellStyle name="Normal 155" xfId="4749"/>
    <cellStyle name="Normal 155 2" xfId="4750"/>
    <cellStyle name="Normal 156" xfId="4751"/>
    <cellStyle name="Normal 156 2" xfId="4752"/>
    <cellStyle name="Normal 157" xfId="4753"/>
    <cellStyle name="Normal 157 2" xfId="4754"/>
    <cellStyle name="Normal 158" xfId="4755"/>
    <cellStyle name="Normal 158 2" xfId="4756"/>
    <cellStyle name="Normal 159" xfId="4757"/>
    <cellStyle name="Normal 159 2" xfId="4758"/>
    <cellStyle name="Normal 16" xfId="4760"/>
    <cellStyle name="Normal 16 10" xfId="4761"/>
    <cellStyle name="Normal 16 10 2" xfId="4762"/>
    <cellStyle name="Normal 16 11" xfId="4763"/>
    <cellStyle name="Normal 16 11 2" xfId="4764"/>
    <cellStyle name="Normal 16 12" xfId="4765"/>
    <cellStyle name="Normal 16 12 2" xfId="4766"/>
    <cellStyle name="Normal 16 13" xfId="4767"/>
    <cellStyle name="Normal 16 13 2" xfId="4768"/>
    <cellStyle name="Normal 16 14" xfId="4769"/>
    <cellStyle name="Normal 16 2" xfId="4770"/>
    <cellStyle name="Normal 16 2 2" xfId="4771"/>
    <cellStyle name="Normal 16 2 2 2" xfId="4772"/>
    <cellStyle name="Normal 16 2 3" xfId="4773"/>
    <cellStyle name="Normal 16 3" xfId="4774"/>
    <cellStyle name="Normal 16 3 2" xfId="4775"/>
    <cellStyle name="Normal 16 4" xfId="4776"/>
    <cellStyle name="Normal 16 4 2" xfId="4777"/>
    <cellStyle name="Normal 16 5" xfId="4778"/>
    <cellStyle name="Normal 16 5 2" xfId="4779"/>
    <cellStyle name="Normal 16 6" xfId="4780"/>
    <cellStyle name="Normal 16 6 2" xfId="4781"/>
    <cellStyle name="Normal 16 7" xfId="4782"/>
    <cellStyle name="Normal 16 7 2" xfId="4783"/>
    <cellStyle name="Normal 16 8" xfId="4784"/>
    <cellStyle name="Normal 16 8 2" xfId="4785"/>
    <cellStyle name="Normal 16 9" xfId="4786"/>
    <cellStyle name="Normal 16 9 2" xfId="4787"/>
    <cellStyle name="Normal 16_inv-en-1.5.0-02 trame_fiche-emissions" xfId="4808"/>
    <cellStyle name="Normal 160" xfId="4788"/>
    <cellStyle name="Normal 160 2" xfId="4789"/>
    <cellStyle name="Normal 161" xfId="4790"/>
    <cellStyle name="Normal 161 2" xfId="4791"/>
    <cellStyle name="Normal 162" xfId="4792"/>
    <cellStyle name="Normal 162 2" xfId="4793"/>
    <cellStyle name="Normal 163" xfId="4794"/>
    <cellStyle name="Normal 163 2" xfId="4795"/>
    <cellStyle name="Normal 164" xfId="4796"/>
    <cellStyle name="Normal 164 2" xfId="4797"/>
    <cellStyle name="Normal 165" xfId="4798"/>
    <cellStyle name="Normal 165 2" xfId="4799"/>
    <cellStyle name="Normal 166" xfId="4800"/>
    <cellStyle name="Normal 166 2" xfId="4801"/>
    <cellStyle name="Normal 167" xfId="4802"/>
    <cellStyle name="Normal 167 2" xfId="4803"/>
    <cellStyle name="Normal 168" xfId="4804"/>
    <cellStyle name="Normal 168 2" xfId="4805"/>
    <cellStyle name="Normal 169" xfId="4806"/>
    <cellStyle name="Normal 169 2" xfId="4807"/>
    <cellStyle name="Normal 17" xfId="4809"/>
    <cellStyle name="Normal 17 2" xfId="4810"/>
    <cellStyle name="Normal 17 2 2" xfId="4811"/>
    <cellStyle name="Normal 17 2 2 2" xfId="4812"/>
    <cellStyle name="Normal 17 2 3" xfId="4813"/>
    <cellStyle name="Normal 17 3" xfId="4814"/>
    <cellStyle name="Normal 17 3 2" xfId="4815"/>
    <cellStyle name="Normal 17 4" xfId="4816"/>
    <cellStyle name="Normal 170" xfId="4817"/>
    <cellStyle name="Normal 170 2" xfId="4818"/>
    <cellStyle name="Normal 171" xfId="4819"/>
    <cellStyle name="Normal 171 2" xfId="4820"/>
    <cellStyle name="Normal 172" xfId="4821"/>
    <cellStyle name="Normal 172 2" xfId="4822"/>
    <cellStyle name="Normal 173" xfId="4823"/>
    <cellStyle name="Normal 173 2" xfId="4824"/>
    <cellStyle name="Normal 174" xfId="4825"/>
    <cellStyle name="Normal 174 2" xfId="4826"/>
    <cellStyle name="Normal 175" xfId="4827"/>
    <cellStyle name="Normal 175 2" xfId="4828"/>
    <cellStyle name="Normal 176" xfId="4829"/>
    <cellStyle name="Normal 176 2" xfId="4830"/>
    <cellStyle name="Normal 177" xfId="4831"/>
    <cellStyle name="Normal 177 2" xfId="4832"/>
    <cellStyle name="Normal 178" xfId="4833"/>
    <cellStyle name="Normal 178 2" xfId="4834"/>
    <cellStyle name="Normal 178 3" xfId="4835"/>
    <cellStyle name="Normal 179" xfId="4836"/>
    <cellStyle name="Normal 179 2" xfId="4837"/>
    <cellStyle name="Normal 18" xfId="4838"/>
    <cellStyle name="Normal 18 10" xfId="4839"/>
    <cellStyle name="Normal 18 10 2" xfId="4840"/>
    <cellStyle name="Normal 18 11" xfId="4841"/>
    <cellStyle name="Normal 18 11 2" xfId="4842"/>
    <cellStyle name="Normal 18 12" xfId="4843"/>
    <cellStyle name="Normal 18 12 2" xfId="4844"/>
    <cellStyle name="Normal 18 13" xfId="4845"/>
    <cellStyle name="Normal 18 2" xfId="4846"/>
    <cellStyle name="Normal 18 2 2" xfId="4847"/>
    <cellStyle name="Normal 18 2 2 2" xfId="4848"/>
    <cellStyle name="Normal 18 2 3" xfId="4849"/>
    <cellStyle name="Normal 18 3" xfId="4850"/>
    <cellStyle name="Normal 18 3 2" xfId="4851"/>
    <cellStyle name="Normal 18 4" xfId="4852"/>
    <cellStyle name="Normal 18 4 2" xfId="4853"/>
    <cellStyle name="Normal 18 5" xfId="4854"/>
    <cellStyle name="Normal 18 5 2" xfId="4855"/>
    <cellStyle name="Normal 18 6" xfId="4856"/>
    <cellStyle name="Normal 18 6 2" xfId="4857"/>
    <cellStyle name="Normal 18 7" xfId="4858"/>
    <cellStyle name="Normal 18 7 2" xfId="4859"/>
    <cellStyle name="Normal 18 8" xfId="4860"/>
    <cellStyle name="Normal 18 8 2" xfId="4861"/>
    <cellStyle name="Normal 18 9" xfId="4862"/>
    <cellStyle name="Normal 18 9 2" xfId="4863"/>
    <cellStyle name="Normal 18_inv-en-1.5.0-02 trame_fiche-emissions" xfId="4884"/>
    <cellStyle name="Normal 180" xfId="4864"/>
    <cellStyle name="Normal 180 2" xfId="4865"/>
    <cellStyle name="Normal 181" xfId="4866"/>
    <cellStyle name="Normal 181 2" xfId="4867"/>
    <cellStyle name="Normal 182" xfId="4868"/>
    <cellStyle name="Normal 182 2" xfId="4869"/>
    <cellStyle name="Normal 183" xfId="4870"/>
    <cellStyle name="Normal 183 2" xfId="4871"/>
    <cellStyle name="Normal 184" xfId="4872"/>
    <cellStyle name="Normal 184 2" xfId="4873"/>
    <cellStyle name="Normal 185" xfId="4874"/>
    <cellStyle name="Normal 185 2" xfId="4875"/>
    <cellStyle name="Normal 186" xfId="4876"/>
    <cellStyle name="Normal 186 2" xfId="4877"/>
    <cellStyle name="Normal 187" xfId="4878"/>
    <cellStyle name="Normal 187 2" xfId="4879"/>
    <cellStyle name="Normal 188" xfId="4880"/>
    <cellStyle name="Normal 188 2" xfId="4881"/>
    <cellStyle name="Normal 189" xfId="4882"/>
    <cellStyle name="Normal 189 2" xfId="4883"/>
    <cellStyle name="Normal 19" xfId="4885"/>
    <cellStyle name="Normal 19 10" xfId="4886"/>
    <cellStyle name="Normal 19 10 2" xfId="4887"/>
    <cellStyle name="Normal 19 11" xfId="4888"/>
    <cellStyle name="Normal 19 11 2" xfId="4889"/>
    <cellStyle name="Normal 19 12" xfId="4890"/>
    <cellStyle name="Normal 19 12 2" xfId="4891"/>
    <cellStyle name="Normal 19 13" xfId="4892"/>
    <cellStyle name="Normal 19 2" xfId="4893"/>
    <cellStyle name="Normal 19 2 2" xfId="4894"/>
    <cellStyle name="Normal 19 2 2 2" xfId="4895"/>
    <cellStyle name="Normal 19 2 3" xfId="4896"/>
    <cellStyle name="Normal 19 3" xfId="4897"/>
    <cellStyle name="Normal 19 3 2" xfId="4898"/>
    <cellStyle name="Normal 19 4" xfId="4899"/>
    <cellStyle name="Normal 19 4 2" xfId="4900"/>
    <cellStyle name="Normal 19 5" xfId="4901"/>
    <cellStyle name="Normal 19 5 2" xfId="4902"/>
    <cellStyle name="Normal 19 6" xfId="4903"/>
    <cellStyle name="Normal 19 6 2" xfId="4904"/>
    <cellStyle name="Normal 19 7" xfId="4905"/>
    <cellStyle name="Normal 19 7 2" xfId="4906"/>
    <cellStyle name="Normal 19 8" xfId="4907"/>
    <cellStyle name="Normal 19 8 2" xfId="4908"/>
    <cellStyle name="Normal 19 9" xfId="4909"/>
    <cellStyle name="Normal 19 9 2" xfId="4910"/>
    <cellStyle name="Normal 19_inv-en-1.5.0-02 trame_fiche-emissions" xfId="4931"/>
    <cellStyle name="Normal 190" xfId="4911"/>
    <cellStyle name="Normal 190 2" xfId="4912"/>
    <cellStyle name="Normal 191" xfId="4913"/>
    <cellStyle name="Normal 191 2" xfId="4914"/>
    <cellStyle name="Normal 192" xfId="4915"/>
    <cellStyle name="Normal 192 2" xfId="4916"/>
    <cellStyle name="Normal 193" xfId="4917"/>
    <cellStyle name="Normal 193 2" xfId="4918"/>
    <cellStyle name="Normal 194" xfId="4919"/>
    <cellStyle name="Normal 194 2" xfId="4920"/>
    <cellStyle name="Normal 195" xfId="4921"/>
    <cellStyle name="Normal 195 2" xfId="4922"/>
    <cellStyle name="Normal 196" xfId="4923"/>
    <cellStyle name="Normal 196 2" xfId="4924"/>
    <cellStyle name="Normal 197" xfId="4925"/>
    <cellStyle name="Normal 197 2" xfId="4926"/>
    <cellStyle name="Normal 198" xfId="4927"/>
    <cellStyle name="Normal 198 2" xfId="4928"/>
    <cellStyle name="Normal 199" xfId="4929"/>
    <cellStyle name="Normal 199 2" xfId="4930"/>
    <cellStyle name="Normal 2" xfId="4932"/>
    <cellStyle name="Normal 2 10" xfId="4933"/>
    <cellStyle name="Normal 2 10 2" xfId="4934"/>
    <cellStyle name="Normal 2 10 2 2" xfId="4935"/>
    <cellStyle name="Normal 2 10 3" xfId="4936"/>
    <cellStyle name="Normal 2 11" xfId="4937"/>
    <cellStyle name="Normal 2 11 2" xfId="4938"/>
    <cellStyle name="Normal 2 11 2 2" xfId="4939"/>
    <cellStyle name="Normal 2 11 3" xfId="4940"/>
    <cellStyle name="Normal 2 12" xfId="4941"/>
    <cellStyle name="Normal 2 12 2" xfId="4942"/>
    <cellStyle name="Normal 2 12 2 10" xfId="4943"/>
    <cellStyle name="Normal 2 12 2 2" xfId="4944"/>
    <cellStyle name="Normal 2 12 2 2 2" xfId="4945"/>
    <cellStyle name="Normal 2 12 2 3" xfId="4946"/>
    <cellStyle name="Normal 2 12 2 3 2" xfId="4947"/>
    <cellStyle name="Normal 2 12 2 3 3" xfId="4948"/>
    <cellStyle name="Normal 2 12 2 4" xfId="4949"/>
    <cellStyle name="Normal 2 12 2 4 2" xfId="4950"/>
    <cellStyle name="Normal 2 12 2 4 3" xfId="4951"/>
    <cellStyle name="Normal 2 12 2 5" xfId="4952"/>
    <cellStyle name="Normal 2 12 2 5 2" xfId="4953"/>
    <cellStyle name="Normal 2 12 2 5 3" xfId="4954"/>
    <cellStyle name="Normal 2 12 2 6" xfId="4955"/>
    <cellStyle name="Normal 2 12 2 6 2" xfId="4956"/>
    <cellStyle name="Normal 2 12 2 6 3" xfId="4957"/>
    <cellStyle name="Normal 2 12 2 7" xfId="4958"/>
    <cellStyle name="Normal 2 12 2 7 2" xfId="4959"/>
    <cellStyle name="Normal 2 12 2 7 3" xfId="4960"/>
    <cellStyle name="Normal 2 12 2 8" xfId="4961"/>
    <cellStyle name="Normal 2 12 2 8 2" xfId="4962"/>
    <cellStyle name="Normal 2 12 2 8 3" xfId="4963"/>
    <cellStyle name="Normal 2 12 2 9" xfId="4964"/>
    <cellStyle name="Normal 2 12 3" xfId="4965"/>
    <cellStyle name="Normal 2 12 3 2" xfId="4966"/>
    <cellStyle name="Normal 2 12 3 3" xfId="4967"/>
    <cellStyle name="Normal 2 12 4" xfId="4968"/>
    <cellStyle name="Normal 2 13" xfId="4969"/>
    <cellStyle name="Normal 2 13 2" xfId="4970"/>
    <cellStyle name="Normal 2 13 2 2" xfId="4971"/>
    <cellStyle name="Normal 2 13 3" xfId="4972"/>
    <cellStyle name="Normal 2 13 3 2" xfId="4973"/>
    <cellStyle name="Normal 2 13 4" xfId="4974"/>
    <cellStyle name="Normal 2 14" xfId="4975"/>
    <cellStyle name="Normal 2 14 2" xfId="4976"/>
    <cellStyle name="Normal 2 15" xfId="4977"/>
    <cellStyle name="Normal 2 15 2" xfId="4978"/>
    <cellStyle name="Normal 2 16" xfId="4979"/>
    <cellStyle name="Normal 2 16 2" xfId="4980"/>
    <cellStyle name="Normal 2 17" xfId="4981"/>
    <cellStyle name="Normal 2 17 2" xfId="4982"/>
    <cellStyle name="Normal 2 18" xfId="4983"/>
    <cellStyle name="Normal 2 18 2" xfId="4984"/>
    <cellStyle name="Normal 2 19" xfId="4985"/>
    <cellStyle name="Normal 2 19 2" xfId="4986"/>
    <cellStyle name="Normal 2 2" xfId="4987"/>
    <cellStyle name="Normal 2 2 10" xfId="4988"/>
    <cellStyle name="Normal 2 2 10 2" xfId="4989"/>
    <cellStyle name="Normal 2 2 11" xfId="4990"/>
    <cellStyle name="Normal 2 2 11 2" xfId="4991"/>
    <cellStyle name="Normal 2 2 12" xfId="4992"/>
    <cellStyle name="Normal 2 2 12 2" xfId="4993"/>
    <cellStyle name="Normal 2 2 13" xfId="4994"/>
    <cellStyle name="Normal 2 2 13 2" xfId="4995"/>
    <cellStyle name="Normal 2 2 14" xfId="4996"/>
    <cellStyle name="Normal 2 2 14 2" xfId="4997"/>
    <cellStyle name="Normal 2 2 15" xfId="4998"/>
    <cellStyle name="Normal 2 2 2" xfId="4999"/>
    <cellStyle name="Normal 2 2 2 2" xfId="5000"/>
    <cellStyle name="Normal 2 2 2 2 2" xfId="5001"/>
    <cellStyle name="Normal 2 2 2 2 2 2" xfId="5002"/>
    <cellStyle name="Normal 2 2 2 2 3" xfId="5003"/>
    <cellStyle name="Normal 2 2 2 3" xfId="5004"/>
    <cellStyle name="Normal 2 2 2 3 2" xfId="5005"/>
    <cellStyle name="Normal 2 2 2 4" xfId="5006"/>
    <cellStyle name="Normal 2 2 3" xfId="5007"/>
    <cellStyle name="Normal 2 2 3 2" xfId="5008"/>
    <cellStyle name="Normal 2 2 3 2 2" xfId="5009"/>
    <cellStyle name="Normal 2 2 3 3" xfId="5010"/>
    <cellStyle name="Normal 2 2 4" xfId="5011"/>
    <cellStyle name="Normal 2 2 4 2" xfId="5012"/>
    <cellStyle name="Normal 2 2 5" xfId="5013"/>
    <cellStyle name="Normal 2 2 5 2" xfId="5014"/>
    <cellStyle name="Normal 2 2 6" xfId="5015"/>
    <cellStyle name="Normal 2 2 6 2" xfId="5016"/>
    <cellStyle name="Normal 2 2 7" xfId="5017"/>
    <cellStyle name="Normal 2 2 7 2" xfId="5018"/>
    <cellStyle name="Normal 2 2 8" xfId="5019"/>
    <cellStyle name="Normal 2 2 8 2" xfId="5020"/>
    <cellStyle name="Normal 2 2 9" xfId="5021"/>
    <cellStyle name="Normal 2 2 9 2" xfId="5022"/>
    <cellStyle name="Normal 2 2_inv-en-1.5.0-02 trame_fiche-emissions" xfId="5043"/>
    <cellStyle name="Normal 2 20" xfId="5023"/>
    <cellStyle name="Normal 2 20 2" xfId="5024"/>
    <cellStyle name="Normal 2 21" xfId="5025"/>
    <cellStyle name="Normal 2 21 2" xfId="5026"/>
    <cellStyle name="Normal 2 22" xfId="5027"/>
    <cellStyle name="Normal 2 22 2" xfId="5028"/>
    <cellStyle name="Normal 2 23" xfId="5029"/>
    <cellStyle name="Normal 2 23 2" xfId="5030"/>
    <cellStyle name="Normal 2 24" xfId="5031"/>
    <cellStyle name="Normal 2 24 2" xfId="5032"/>
    <cellStyle name="Normal 2 25" xfId="5033"/>
    <cellStyle name="Normal 2 25 2" xfId="5034"/>
    <cellStyle name="Normal 2 26" xfId="5035"/>
    <cellStyle name="Normal 2 26 2" xfId="5036"/>
    <cellStyle name="Normal 2 27" xfId="5037"/>
    <cellStyle name="Normal 2 27 2" xfId="5038"/>
    <cellStyle name="Normal 2 28" xfId="5039"/>
    <cellStyle name="Normal 2 28 2" xfId="5040"/>
    <cellStyle name="Normal 2 29" xfId="5041"/>
    <cellStyle name="Normal 2 29 2" xfId="5042"/>
    <cellStyle name="Normal 2 3" xfId="5044"/>
    <cellStyle name="Normal 2 3 10" xfId="5045"/>
    <cellStyle name="Normal 2 3 10 2" xfId="5046"/>
    <cellStyle name="Normal 2 3 11" xfId="5047"/>
    <cellStyle name="Normal 2 3 11 2" xfId="5048"/>
    <cellStyle name="Normal 2 3 12" xfId="5049"/>
    <cellStyle name="Normal 2 3 12 2" xfId="5050"/>
    <cellStyle name="Normal 2 3 13" xfId="5051"/>
    <cellStyle name="Normal 2 3 13 2" xfId="5052"/>
    <cellStyle name="Normal 2 3 14" xfId="5053"/>
    <cellStyle name="Normal 2 3 14 2" xfId="5054"/>
    <cellStyle name="Normal 2 3 15" xfId="5055"/>
    <cellStyle name="Normal 2 3 2" xfId="5056"/>
    <cellStyle name="Normal 2 3 2 2" xfId="5057"/>
    <cellStyle name="Normal 2 3 2 2 2" xfId="5058"/>
    <cellStyle name="Normal 2 3 2 2 2 2" xfId="5059"/>
    <cellStyle name="Normal 2 3 2 2 3" xfId="5060"/>
    <cellStyle name="Normal 2 3 2 3" xfId="5061"/>
    <cellStyle name="Normal 2 3 2 3 2" xfId="5062"/>
    <cellStyle name="Normal 2 3 2 4" xfId="5063"/>
    <cellStyle name="Normal 2 3 3" xfId="5064"/>
    <cellStyle name="Normal 2 3 3 2" xfId="5065"/>
    <cellStyle name="Normal 2 3 3 2 2" xfId="5066"/>
    <cellStyle name="Normal 2 3 3 3" xfId="5067"/>
    <cellStyle name="Normal 2 3 4" xfId="5068"/>
    <cellStyle name="Normal 2 3 4 2" xfId="5069"/>
    <cellStyle name="Normal 2 3 5" xfId="5070"/>
    <cellStyle name="Normal 2 3 5 2" xfId="5071"/>
    <cellStyle name="Normal 2 3 6" xfId="5072"/>
    <cellStyle name="Normal 2 3 6 2" xfId="5073"/>
    <cellStyle name="Normal 2 3 7" xfId="5074"/>
    <cellStyle name="Normal 2 3 7 2" xfId="5075"/>
    <cellStyle name="Normal 2 3 8" xfId="5076"/>
    <cellStyle name="Normal 2 3 8 2" xfId="5077"/>
    <cellStyle name="Normal 2 3 9" xfId="5078"/>
    <cellStyle name="Normal 2 3 9 2" xfId="5079"/>
    <cellStyle name="Normal 2 3_inv-en-1.5.0-02 trame_fiche-emissions" xfId="5087"/>
    <cellStyle name="Normal 2 30" xfId="5080"/>
    <cellStyle name="Normal 2 30 2" xfId="5081"/>
    <cellStyle name="Normal 2 31" xfId="5082"/>
    <cellStyle name="Normal 2 31 2" xfId="5083"/>
    <cellStyle name="Normal 2 32" xfId="5084"/>
    <cellStyle name="Normal 2 32 2" xfId="5085"/>
    <cellStyle name="Normal 2 33" xfId="5086"/>
    <cellStyle name="Normal 2 4" xfId="5088"/>
    <cellStyle name="Normal 2 4 10" xfId="5089"/>
    <cellStyle name="Normal 2 4 10 2" xfId="5090"/>
    <cellStyle name="Normal 2 4 11" xfId="5091"/>
    <cellStyle name="Normal 2 4 11 2" xfId="5092"/>
    <cellStyle name="Normal 2 4 12" xfId="5093"/>
    <cellStyle name="Normal 2 4 12 2" xfId="5094"/>
    <cellStyle name="Normal 2 4 13" xfId="5095"/>
    <cellStyle name="Normal 2 4 13 2" xfId="5096"/>
    <cellStyle name="Normal 2 4 14" xfId="5097"/>
    <cellStyle name="Normal 2 4 2" xfId="5098"/>
    <cellStyle name="Normal 2 4 2 2" xfId="5099"/>
    <cellStyle name="Normal 2 4 2 2 2" xfId="5100"/>
    <cellStyle name="Normal 2 4 2 3" xfId="5101"/>
    <cellStyle name="Normal 2 4 3" xfId="5102"/>
    <cellStyle name="Normal 2 4 3 2" xfId="5103"/>
    <cellStyle name="Normal 2 4 4" xfId="5104"/>
    <cellStyle name="Normal 2 4 4 2" xfId="5105"/>
    <cellStyle name="Normal 2 4 5" xfId="5106"/>
    <cellStyle name="Normal 2 4 5 2" xfId="5107"/>
    <cellStyle name="Normal 2 4 6" xfId="5108"/>
    <cellStyle name="Normal 2 4 6 2" xfId="5109"/>
    <cellStyle name="Normal 2 4 7" xfId="5110"/>
    <cellStyle name="Normal 2 4 7 2" xfId="5111"/>
    <cellStyle name="Normal 2 4 8" xfId="5112"/>
    <cellStyle name="Normal 2 4 8 2" xfId="5113"/>
    <cellStyle name="Normal 2 4 9" xfId="5114"/>
    <cellStyle name="Normal 2 4 9 2" xfId="5115"/>
    <cellStyle name="Normal 2 4_inv-en-1.5.0-02 trame_fiche-emissions" xfId="5116"/>
    <cellStyle name="Normal 2 5" xfId="5117"/>
    <cellStyle name="Normal 2 5 10" xfId="5118"/>
    <cellStyle name="Normal 2 5 10 2" xfId="5119"/>
    <cellStyle name="Normal 2 5 11" xfId="5120"/>
    <cellStyle name="Normal 2 5 11 2" xfId="5121"/>
    <cellStyle name="Normal 2 5 12" xfId="5122"/>
    <cellStyle name="Normal 2 5 12 2" xfId="5123"/>
    <cellStyle name="Normal 2 5 13" xfId="5124"/>
    <cellStyle name="Normal 2 5 13 2" xfId="5125"/>
    <cellStyle name="Normal 2 5 14" xfId="5126"/>
    <cellStyle name="Normal 2 5 2" xfId="5127"/>
    <cellStyle name="Normal 2 5 2 2" xfId="5128"/>
    <cellStyle name="Normal 2 5 2 2 2" xfId="5129"/>
    <cellStyle name="Normal 2 5 2 3" xfId="5130"/>
    <cellStyle name="Normal 2 5 3" xfId="5131"/>
    <cellStyle name="Normal 2 5 3 2" xfId="5132"/>
    <cellStyle name="Normal 2 5 4" xfId="5133"/>
    <cellStyle name="Normal 2 5 4 2" xfId="5134"/>
    <cellStyle name="Normal 2 5 5" xfId="5135"/>
    <cellStyle name="Normal 2 5 5 2" xfId="5136"/>
    <cellStyle name="Normal 2 5 6" xfId="5137"/>
    <cellStyle name="Normal 2 5 6 2" xfId="5138"/>
    <cellStyle name="Normal 2 5 7" xfId="5139"/>
    <cellStyle name="Normal 2 5 7 2" xfId="5140"/>
    <cellStyle name="Normal 2 5 8" xfId="5141"/>
    <cellStyle name="Normal 2 5 8 2" xfId="5142"/>
    <cellStyle name="Normal 2 5 9" xfId="5143"/>
    <cellStyle name="Normal 2 5 9 2" xfId="5144"/>
    <cellStyle name="Normal 2 5_inv-en-1.5.0-02 trame_fiche-emissions" xfId="5145"/>
    <cellStyle name="Normal 2 6" xfId="5146"/>
    <cellStyle name="Normal 2 6 10" xfId="5147"/>
    <cellStyle name="Normal 2 6 10 2" xfId="5148"/>
    <cellStyle name="Normal 2 6 11" xfId="5149"/>
    <cellStyle name="Normal 2 6 11 2" xfId="5150"/>
    <cellStyle name="Normal 2 6 12" xfId="5151"/>
    <cellStyle name="Normal 2 6 12 2" xfId="5152"/>
    <cellStyle name="Normal 2 6 13" xfId="5153"/>
    <cellStyle name="Normal 2 6 13 2" xfId="5154"/>
    <cellStyle name="Normal 2 6 14" xfId="5155"/>
    <cellStyle name="Normal 2 6 2" xfId="5156"/>
    <cellStyle name="Normal 2 6 2 2" xfId="5157"/>
    <cellStyle name="Normal 2 6 2 2 2" xfId="5158"/>
    <cellStyle name="Normal 2 6 2 3" xfId="5159"/>
    <cellStyle name="Normal 2 6 3" xfId="5160"/>
    <cellStyle name="Normal 2 6 3 2" xfId="5161"/>
    <cellStyle name="Normal 2 6 4" xfId="5162"/>
    <cellStyle name="Normal 2 6 4 2" xfId="5163"/>
    <cellStyle name="Normal 2 6 5" xfId="5164"/>
    <cellStyle name="Normal 2 6 5 2" xfId="5165"/>
    <cellStyle name="Normal 2 6 6" xfId="5166"/>
    <cellStyle name="Normal 2 6 6 2" xfId="5167"/>
    <cellStyle name="Normal 2 6 7" xfId="5168"/>
    <cellStyle name="Normal 2 6 7 2" xfId="5169"/>
    <cellStyle name="Normal 2 6 8" xfId="5170"/>
    <cellStyle name="Normal 2 6 8 2" xfId="5171"/>
    <cellStyle name="Normal 2 6 9" xfId="5172"/>
    <cellStyle name="Normal 2 6 9 2" xfId="5173"/>
    <cellStyle name="Normal 2 6_inv-en-1.5.0-02 trame_fiche-emissions" xfId="5174"/>
    <cellStyle name="Normal 2 7" xfId="5175"/>
    <cellStyle name="Normal 2 7 2" xfId="5176"/>
    <cellStyle name="Normal 2 7 2 2" xfId="5177"/>
    <cellStyle name="Normal 2 7 2 2 2" xfId="5178"/>
    <cellStyle name="Normal 2 7 2 3" xfId="5179"/>
    <cellStyle name="Normal 2 7 3" xfId="5180"/>
    <cellStyle name="Normal 2 7 3 2" xfId="5181"/>
    <cellStyle name="Normal 2 7 4" xfId="5182"/>
    <cellStyle name="Normal 2 7 4 2" xfId="5183"/>
    <cellStyle name="Normal 2 7 5" xfId="5184"/>
    <cellStyle name="Normal 2 8" xfId="5185"/>
    <cellStyle name="Normal 2 8 2" xfId="5186"/>
    <cellStyle name="Normal 2 8 2 2" xfId="5187"/>
    <cellStyle name="Normal 2 8 2 2 2" xfId="5188"/>
    <cellStyle name="Normal 2 8 2 3" xfId="5189"/>
    <cellStyle name="Normal 2 8 3" xfId="5190"/>
    <cellStyle name="Normal 2 8 3 2" xfId="5191"/>
    <cellStyle name="Normal 2 8 4" xfId="5192"/>
    <cellStyle name="Normal 2 9" xfId="5193"/>
    <cellStyle name="Normal 2 9 2" xfId="5194"/>
    <cellStyle name="Normal 2 9 2 2" xfId="5195"/>
    <cellStyle name="Normal 2 9 3" xfId="5196"/>
    <cellStyle name="Normal 2_inv-en-1.5.0-02 trame_fiche-emissions" xfId="5684"/>
    <cellStyle name="Normal 20" xfId="5197"/>
    <cellStyle name="Normal 20 10" xfId="5198"/>
    <cellStyle name="Normal 20 10 2" xfId="5199"/>
    <cellStyle name="Normal 20 11" xfId="5200"/>
    <cellStyle name="Normal 20 11 2" xfId="5201"/>
    <cellStyle name="Normal 20 12" xfId="5202"/>
    <cellStyle name="Normal 20 12 2" xfId="5203"/>
    <cellStyle name="Normal 20 13" xfId="5204"/>
    <cellStyle name="Normal 20 2" xfId="5205"/>
    <cellStyle name="Normal 20 2 2" xfId="5206"/>
    <cellStyle name="Normal 20 2 2 2" xfId="5207"/>
    <cellStyle name="Normal 20 2 3" xfId="5208"/>
    <cellStyle name="Normal 20 3" xfId="5209"/>
    <cellStyle name="Normal 20 3 2" xfId="5210"/>
    <cellStyle name="Normal 20 4" xfId="5211"/>
    <cellStyle name="Normal 20 4 2" xfId="5212"/>
    <cellStyle name="Normal 20 5" xfId="5213"/>
    <cellStyle name="Normal 20 5 2" xfId="5214"/>
    <cellStyle name="Normal 20 6" xfId="5215"/>
    <cellStyle name="Normal 20 6 2" xfId="5216"/>
    <cellStyle name="Normal 20 7" xfId="5217"/>
    <cellStyle name="Normal 20 7 2" xfId="5218"/>
    <cellStyle name="Normal 20 8" xfId="5219"/>
    <cellStyle name="Normal 20 8 2" xfId="5220"/>
    <cellStyle name="Normal 20 9" xfId="5221"/>
    <cellStyle name="Normal 20 9 2" xfId="5222"/>
    <cellStyle name="Normal 20_inv-en-1.5.0-02 trame_fiche-emissions" xfId="5243"/>
    <cellStyle name="Normal 200" xfId="5223"/>
    <cellStyle name="Normal 200 2" xfId="5224"/>
    <cellStyle name="Normal 201" xfId="5225"/>
    <cellStyle name="Normal 201 2" xfId="5226"/>
    <cellStyle name="Normal 202" xfId="5227"/>
    <cellStyle name="Normal 202 2" xfId="5228"/>
    <cellStyle name="Normal 203" xfId="5229"/>
    <cellStyle name="Normal 203 2" xfId="5230"/>
    <cellStyle name="Normal 204" xfId="5231"/>
    <cellStyle name="Normal 204 2" xfId="5232"/>
    <cellStyle name="Normal 205" xfId="5233"/>
    <cellStyle name="Normal 205 2" xfId="5234"/>
    <cellStyle name="Normal 206" xfId="5235"/>
    <cellStyle name="Normal 206 2" xfId="5236"/>
    <cellStyle name="Normal 207" xfId="5237"/>
    <cellStyle name="Normal 207 2" xfId="5238"/>
    <cellStyle name="Normal 208" xfId="5239"/>
    <cellStyle name="Normal 208 2" xfId="5240"/>
    <cellStyle name="Normal 209" xfId="5241"/>
    <cellStyle name="Normal 209 2" xfId="5242"/>
    <cellStyle name="Normal 21" xfId="5244"/>
    <cellStyle name="Normal 21 10" xfId="5245"/>
    <cellStyle name="Normal 21 10 2" xfId="5246"/>
    <cellStyle name="Normal 21 11" xfId="5247"/>
    <cellStyle name="Normal 21 11 2" xfId="5248"/>
    <cellStyle name="Normal 21 12" xfId="5249"/>
    <cellStyle name="Normal 21 12 2" xfId="5250"/>
    <cellStyle name="Normal 21 13" xfId="5251"/>
    <cellStyle name="Normal 21 13 2" xfId="5252"/>
    <cellStyle name="Normal 21 14" xfId="5253"/>
    <cellStyle name="Normal 21 2" xfId="5254"/>
    <cellStyle name="Normal 21 2 2" xfId="5255"/>
    <cellStyle name="Normal 21 2 2 2" xfId="5256"/>
    <cellStyle name="Normal 21 2 3" xfId="5257"/>
    <cellStyle name="Normal 21 3" xfId="5258"/>
    <cellStyle name="Normal 21 3 2" xfId="5259"/>
    <cellStyle name="Normal 21 4" xfId="5260"/>
    <cellStyle name="Normal 21 4 2" xfId="5261"/>
    <cellStyle name="Normal 21 5" xfId="5262"/>
    <cellStyle name="Normal 21 5 2" xfId="5263"/>
    <cellStyle name="Normal 21 6" xfId="5264"/>
    <cellStyle name="Normal 21 6 2" xfId="5265"/>
    <cellStyle name="Normal 21 7" xfId="5266"/>
    <cellStyle name="Normal 21 7 2" xfId="5267"/>
    <cellStyle name="Normal 21 8" xfId="5268"/>
    <cellStyle name="Normal 21 8 2" xfId="5269"/>
    <cellStyle name="Normal 21 9" xfId="5270"/>
    <cellStyle name="Normal 21 9 2" xfId="5271"/>
    <cellStyle name="Normal 210" xfId="5272"/>
    <cellStyle name="Normal 210 2" xfId="5273"/>
    <cellStyle name="Normal 211" xfId="5274"/>
    <cellStyle name="Normal 211 2" xfId="5275"/>
    <cellStyle name="Normal 212" xfId="5276"/>
    <cellStyle name="Normal 212 2" xfId="5277"/>
    <cellStyle name="Normal 213" xfId="5278"/>
    <cellStyle name="Normal 213 2" xfId="5279"/>
    <cellStyle name="Normal 214" xfId="5280"/>
    <cellStyle name="Normal 214 2" xfId="5281"/>
    <cellStyle name="Normal 215" xfId="5282"/>
    <cellStyle name="Normal 215 2" xfId="5283"/>
    <cellStyle name="Normal 216" xfId="5284"/>
    <cellStyle name="Normal 216 2" xfId="5285"/>
    <cellStyle name="Normal 217" xfId="5286"/>
    <cellStyle name="Normal 217 2" xfId="5287"/>
    <cellStyle name="Normal 218" xfId="5288"/>
    <cellStyle name="Normal 218 2" xfId="5289"/>
    <cellStyle name="Normal 219" xfId="5290"/>
    <cellStyle name="Normal 219 2" xfId="5291"/>
    <cellStyle name="Normal 22" xfId="5292"/>
    <cellStyle name="Normal 22 10" xfId="5293"/>
    <cellStyle name="Normal 22 10 2" xfId="5294"/>
    <cellStyle name="Normal 22 11" xfId="5295"/>
    <cellStyle name="Normal 22 11 2" xfId="5296"/>
    <cellStyle name="Normal 22 12" xfId="5297"/>
    <cellStyle name="Normal 22 12 2" xfId="5298"/>
    <cellStyle name="Normal 22 13" xfId="5299"/>
    <cellStyle name="Normal 22 13 2" xfId="5300"/>
    <cellStyle name="Normal 22 14" xfId="5301"/>
    <cellStyle name="Normal 22 2" xfId="5302"/>
    <cellStyle name="Normal 22 2 2" xfId="5303"/>
    <cellStyle name="Normal 22 2 2 2" xfId="5304"/>
    <cellStyle name="Normal 22 2 3" xfId="5305"/>
    <cellStyle name="Normal 22 3" xfId="5306"/>
    <cellStyle name="Normal 22 3 2" xfId="5307"/>
    <cellStyle name="Normal 22 4" xfId="5308"/>
    <cellStyle name="Normal 22 4 2" xfId="5309"/>
    <cellStyle name="Normal 22 5" xfId="5310"/>
    <cellStyle name="Normal 22 5 2" xfId="5311"/>
    <cellStyle name="Normal 22 6" xfId="5312"/>
    <cellStyle name="Normal 22 6 2" xfId="5313"/>
    <cellStyle name="Normal 22 7" xfId="5314"/>
    <cellStyle name="Normal 22 7 2" xfId="5315"/>
    <cellStyle name="Normal 22 8" xfId="5316"/>
    <cellStyle name="Normal 22 8 2" xfId="5317"/>
    <cellStyle name="Normal 22 9" xfId="5318"/>
    <cellStyle name="Normal 22 9 2" xfId="5319"/>
    <cellStyle name="Normal 220" xfId="5320"/>
    <cellStyle name="Normal 220 2" xfId="5321"/>
    <cellStyle name="Normal 221" xfId="5322"/>
    <cellStyle name="Normal 221 2" xfId="5323"/>
    <cellStyle name="Normal 222" xfId="5324"/>
    <cellStyle name="Normal 222 2" xfId="5325"/>
    <cellStyle name="Normal 223" xfId="5326"/>
    <cellStyle name="Normal 223 2" xfId="5327"/>
    <cellStyle name="Normal 224" xfId="5328"/>
    <cellStyle name="Normal 224 2" xfId="5329"/>
    <cellStyle name="Normal 225" xfId="5330"/>
    <cellStyle name="Normal 225 2" xfId="5331"/>
    <cellStyle name="Normal 226" xfId="5332"/>
    <cellStyle name="Normal 226 2" xfId="5333"/>
    <cellStyle name="Normal 227" xfId="5334"/>
    <cellStyle name="Normal 227 2" xfId="5335"/>
    <cellStyle name="Normal 228" xfId="5336"/>
    <cellStyle name="Normal 228 2" xfId="5337"/>
    <cellStyle name="Normal 229" xfId="5338"/>
    <cellStyle name="Normal 229 2" xfId="5339"/>
    <cellStyle name="Normal 23" xfId="5340"/>
    <cellStyle name="Normal 23 10" xfId="5341"/>
    <cellStyle name="Normal 23 10 2" xfId="5342"/>
    <cellStyle name="Normal 23 11" xfId="5343"/>
    <cellStyle name="Normal 23 11 2" xfId="5344"/>
    <cellStyle name="Normal 23 12" xfId="5345"/>
    <cellStyle name="Normal 23 12 2" xfId="5346"/>
    <cellStyle name="Normal 23 13" xfId="5347"/>
    <cellStyle name="Normal 23 13 2" xfId="5348"/>
    <cellStyle name="Normal 23 14" xfId="5349"/>
    <cellStyle name="Normal 23 2" xfId="5350"/>
    <cellStyle name="Normal 23 2 2" xfId="5351"/>
    <cellStyle name="Normal 23 2 2 2" xfId="5352"/>
    <cellStyle name="Normal 23 2 3" xfId="5353"/>
    <cellStyle name="Normal 23 3" xfId="5354"/>
    <cellStyle name="Normal 23 3 2" xfId="5355"/>
    <cellStyle name="Normal 23 4" xfId="5356"/>
    <cellStyle name="Normal 23 4 2" xfId="5357"/>
    <cellStyle name="Normal 23 5" xfId="5358"/>
    <cellStyle name="Normal 23 5 2" xfId="5359"/>
    <cellStyle name="Normal 23 6" xfId="5360"/>
    <cellStyle name="Normal 23 6 2" xfId="5361"/>
    <cellStyle name="Normal 23 7" xfId="5362"/>
    <cellStyle name="Normal 23 7 2" xfId="5363"/>
    <cellStyle name="Normal 23 8" xfId="5364"/>
    <cellStyle name="Normal 23 8 2" xfId="5365"/>
    <cellStyle name="Normal 23 9" xfId="5366"/>
    <cellStyle name="Normal 23 9 2" xfId="5367"/>
    <cellStyle name="Normal 230" xfId="5368"/>
    <cellStyle name="Normal 230 2" xfId="5369"/>
    <cellStyle name="Normal 231" xfId="5370"/>
    <cellStyle name="Normal 231 2" xfId="5371"/>
    <cellStyle name="Normal 232" xfId="5372"/>
    <cellStyle name="Normal 232 2" xfId="5373"/>
    <cellStyle name="Normal 233" xfId="5374"/>
    <cellStyle name="Normal 233 2" xfId="5375"/>
    <cellStyle name="Normal 234" xfId="5376"/>
    <cellStyle name="Normal 234 2" xfId="5377"/>
    <cellStyle name="Normal 235" xfId="5378"/>
    <cellStyle name="Normal 235 2" xfId="5379"/>
    <cellStyle name="Normal 236" xfId="5380"/>
    <cellStyle name="Normal 236 2" xfId="5381"/>
    <cellStyle name="Normal 237" xfId="5382"/>
    <cellStyle name="Normal 237 2" xfId="5383"/>
    <cellStyle name="Normal 238" xfId="5384"/>
    <cellStyle name="Normal 238 2" xfId="5385"/>
    <cellStyle name="Normal 239" xfId="5386"/>
    <cellStyle name="Normal 239 2" xfId="5387"/>
    <cellStyle name="Normal 24" xfId="5388"/>
    <cellStyle name="Normal 24 10" xfId="5389"/>
    <cellStyle name="Normal 24 10 2" xfId="5390"/>
    <cellStyle name="Normal 24 11" xfId="5391"/>
    <cellStyle name="Normal 24 11 2" xfId="5392"/>
    <cellStyle name="Normal 24 12" xfId="5393"/>
    <cellStyle name="Normal 24 12 2" xfId="5394"/>
    <cellStyle name="Normal 24 13" xfId="5395"/>
    <cellStyle name="Normal 24 13 2" xfId="5396"/>
    <cellStyle name="Normal 24 14" xfId="5397"/>
    <cellStyle name="Normal 24 2" xfId="5398"/>
    <cellStyle name="Normal 24 2 2" xfId="5399"/>
    <cellStyle name="Normal 24 2 2 2" xfId="5400"/>
    <cellStyle name="Normal 24 2 3" xfId="5401"/>
    <cellStyle name="Normal 24 3" xfId="5402"/>
    <cellStyle name="Normal 24 3 2" xfId="5403"/>
    <cellStyle name="Normal 24 4" xfId="5404"/>
    <cellStyle name="Normal 24 4 2" xfId="5405"/>
    <cellStyle name="Normal 24 5" xfId="5406"/>
    <cellStyle name="Normal 24 5 2" xfId="5407"/>
    <cellStyle name="Normal 24 6" xfId="5408"/>
    <cellStyle name="Normal 24 6 2" xfId="5409"/>
    <cellStyle name="Normal 24 7" xfId="5410"/>
    <cellStyle name="Normal 24 7 2" xfId="5411"/>
    <cellStyle name="Normal 24 8" xfId="5412"/>
    <cellStyle name="Normal 24 8 2" xfId="5413"/>
    <cellStyle name="Normal 24 9" xfId="5414"/>
    <cellStyle name="Normal 24 9 2" xfId="5415"/>
    <cellStyle name="Normal 240" xfId="5416"/>
    <cellStyle name="Normal 240 2" xfId="5417"/>
    <cellStyle name="Normal 241" xfId="5418"/>
    <cellStyle name="Normal 241 2" xfId="5419"/>
    <cellStyle name="Normal 242" xfId="5420"/>
    <cellStyle name="Normal 242 2" xfId="5421"/>
    <cellStyle name="Normal 243" xfId="5422"/>
    <cellStyle name="Normal 243 2" xfId="5423"/>
    <cellStyle name="Normal 244" xfId="5424"/>
    <cellStyle name="Normal 244 2" xfId="5425"/>
    <cellStyle name="Normal 245" xfId="5426"/>
    <cellStyle name="Normal 245 2" xfId="5427"/>
    <cellStyle name="Normal 246" xfId="5428"/>
    <cellStyle name="Normal 246 2" xfId="5429"/>
    <cellStyle name="Normal 247" xfId="5430"/>
    <cellStyle name="Normal 247 2" xfId="5431"/>
    <cellStyle name="Normal 248" xfId="5432"/>
    <cellStyle name="Normal 248 2" xfId="5433"/>
    <cellStyle name="Normal 249" xfId="5434"/>
    <cellStyle name="Normal 249 2" xfId="5435"/>
    <cellStyle name="Normal 25" xfId="5436"/>
    <cellStyle name="Normal 25 10" xfId="5437"/>
    <cellStyle name="Normal 25 10 2" xfId="5438"/>
    <cellStyle name="Normal 25 11" xfId="5439"/>
    <cellStyle name="Normal 25 11 2" xfId="5440"/>
    <cellStyle name="Normal 25 12" xfId="5441"/>
    <cellStyle name="Normal 25 12 2" xfId="5442"/>
    <cellStyle name="Normal 25 13" xfId="5443"/>
    <cellStyle name="Normal 25 13 2" xfId="5444"/>
    <cellStyle name="Normal 25 14" xfId="5445"/>
    <cellStyle name="Normal 25 2" xfId="5446"/>
    <cellStyle name="Normal 25 2 2" xfId="5447"/>
    <cellStyle name="Normal 25 2 2 2" xfId="5448"/>
    <cellStyle name="Normal 25 2 3" xfId="5449"/>
    <cellStyle name="Normal 25 3" xfId="5450"/>
    <cellStyle name="Normal 25 3 2" xfId="5451"/>
    <cellStyle name="Normal 25 4" xfId="5452"/>
    <cellStyle name="Normal 25 4 2" xfId="5453"/>
    <cellStyle name="Normal 25 5" xfId="5454"/>
    <cellStyle name="Normal 25 5 2" xfId="5455"/>
    <cellStyle name="Normal 25 6" xfId="5456"/>
    <cellStyle name="Normal 25 6 2" xfId="5457"/>
    <cellStyle name="Normal 25 7" xfId="5458"/>
    <cellStyle name="Normal 25 7 2" xfId="5459"/>
    <cellStyle name="Normal 25 8" xfId="5460"/>
    <cellStyle name="Normal 25 8 2" xfId="5461"/>
    <cellStyle name="Normal 25 9" xfId="5462"/>
    <cellStyle name="Normal 25 9 2" xfId="5463"/>
    <cellStyle name="Normal 250" xfId="5464"/>
    <cellStyle name="Normal 250 2" xfId="5465"/>
    <cellStyle name="Normal 251" xfId="5466"/>
    <cellStyle name="Normal 251 2" xfId="5467"/>
    <cellStyle name="Normal 252" xfId="5468"/>
    <cellStyle name="Normal 252 2" xfId="5469"/>
    <cellStyle name="Normal 253" xfId="5470"/>
    <cellStyle name="Normal 253 2" xfId="5471"/>
    <cellStyle name="Normal 254" xfId="5472"/>
    <cellStyle name="Normal 254 2" xfId="5473"/>
    <cellStyle name="Normal 255" xfId="5474"/>
    <cellStyle name="Normal 255 2" xfId="5475"/>
    <cellStyle name="Normal 256" xfId="5476"/>
    <cellStyle name="Normal 256 2" xfId="5477"/>
    <cellStyle name="Normal 257" xfId="5478"/>
    <cellStyle name="Normal 257 2" xfId="5479"/>
    <cellStyle name="Normal 258" xfId="5480"/>
    <cellStyle name="Normal 258 2" xfId="5481"/>
    <cellStyle name="Normal 259" xfId="5482"/>
    <cellStyle name="Normal 259 2" xfId="5483"/>
    <cellStyle name="Normal 26" xfId="5484"/>
    <cellStyle name="Normal 26 10" xfId="5485"/>
    <cellStyle name="Normal 26 10 2" xfId="5486"/>
    <cellStyle name="Normal 26 11" xfId="5487"/>
    <cellStyle name="Normal 26 11 2" xfId="5488"/>
    <cellStyle name="Normal 26 12" xfId="5489"/>
    <cellStyle name="Normal 26 12 2" xfId="5490"/>
    <cellStyle name="Normal 26 13" xfId="5491"/>
    <cellStyle name="Normal 26 13 2" xfId="5492"/>
    <cellStyle name="Normal 26 14" xfId="5493"/>
    <cellStyle name="Normal 26 2" xfId="5494"/>
    <cellStyle name="Normal 26 2 2" xfId="5495"/>
    <cellStyle name="Normal 26 2 2 2" xfId="5496"/>
    <cellStyle name="Normal 26 2 3" xfId="5497"/>
    <cellStyle name="Normal 26 3" xfId="5498"/>
    <cellStyle name="Normal 26 3 2" xfId="5499"/>
    <cellStyle name="Normal 26 4" xfId="5500"/>
    <cellStyle name="Normal 26 4 2" xfId="5501"/>
    <cellStyle name="Normal 26 5" xfId="5502"/>
    <cellStyle name="Normal 26 5 2" xfId="5503"/>
    <cellStyle name="Normal 26 6" xfId="5504"/>
    <cellStyle name="Normal 26 6 2" xfId="5505"/>
    <cellStyle name="Normal 26 7" xfId="5506"/>
    <cellStyle name="Normal 26 7 2" xfId="5507"/>
    <cellStyle name="Normal 26 8" xfId="5508"/>
    <cellStyle name="Normal 26 8 2" xfId="5509"/>
    <cellStyle name="Normal 26 9" xfId="5510"/>
    <cellStyle name="Normal 26 9 2" xfId="5511"/>
    <cellStyle name="Normal 260" xfId="5512"/>
    <cellStyle name="Normal 260 2" xfId="5513"/>
    <cellStyle name="Normal 261" xfId="5514"/>
    <cellStyle name="Normal 261 2" xfId="5515"/>
    <cellStyle name="Normal 262" xfId="5516"/>
    <cellStyle name="Normal 262 2" xfId="5517"/>
    <cellStyle name="Normal 263" xfId="5518"/>
    <cellStyle name="Normal 263 2" xfId="5519"/>
    <cellStyle name="Normal 264" xfId="5520"/>
    <cellStyle name="Normal 264 2" xfId="5521"/>
    <cellStyle name="Normal 265" xfId="5522"/>
    <cellStyle name="Normal 265 2" xfId="5523"/>
    <cellStyle name="Normal 266" xfId="5524"/>
    <cellStyle name="Normal 266 2" xfId="5525"/>
    <cellStyle name="Normal 267" xfId="5526"/>
    <cellStyle name="Normal 267 2" xfId="5527"/>
    <cellStyle name="Normal 268" xfId="5528"/>
    <cellStyle name="Normal 268 2" xfId="5529"/>
    <cellStyle name="Normal 269" xfId="5530"/>
    <cellStyle name="Normal 269 2" xfId="5531"/>
    <cellStyle name="Normal 27" xfId="5532"/>
    <cellStyle name="Normal 27 10" xfId="5533"/>
    <cellStyle name="Normal 27 10 2" xfId="5534"/>
    <cellStyle name="Normal 27 11" xfId="5535"/>
    <cellStyle name="Normal 27 11 2" xfId="5536"/>
    <cellStyle name="Normal 27 12" xfId="5537"/>
    <cellStyle name="Normal 27 12 2" xfId="5538"/>
    <cellStyle name="Normal 27 13" xfId="5539"/>
    <cellStyle name="Normal 27 13 2" xfId="5540"/>
    <cellStyle name="Normal 27 14" xfId="5541"/>
    <cellStyle name="Normal 27 2" xfId="5542"/>
    <cellStyle name="Normal 27 2 2" xfId="5543"/>
    <cellStyle name="Normal 27 2 2 2" xfId="5544"/>
    <cellStyle name="Normal 27 2 3" xfId="5545"/>
    <cellStyle name="Normal 27 3" xfId="5546"/>
    <cellStyle name="Normal 27 3 2" xfId="5547"/>
    <cellStyle name="Normal 27 4" xfId="5548"/>
    <cellStyle name="Normal 27 4 2" xfId="5549"/>
    <cellStyle name="Normal 27 5" xfId="5550"/>
    <cellStyle name="Normal 27 5 2" xfId="5551"/>
    <cellStyle name="Normal 27 6" xfId="5552"/>
    <cellStyle name="Normal 27 6 2" xfId="5553"/>
    <cellStyle name="Normal 27 7" xfId="5554"/>
    <cellStyle name="Normal 27 7 2" xfId="5555"/>
    <cellStyle name="Normal 27 8" xfId="5556"/>
    <cellStyle name="Normal 27 8 2" xfId="5557"/>
    <cellStyle name="Normal 27 9" xfId="5558"/>
    <cellStyle name="Normal 27 9 2" xfId="5559"/>
    <cellStyle name="Normal 270" xfId="5560"/>
    <cellStyle name="Normal 270 2" xfId="5561"/>
    <cellStyle name="Normal 271" xfId="5562"/>
    <cellStyle name="Normal 271 2" xfId="5563"/>
    <cellStyle name="Normal 272" xfId="5564"/>
    <cellStyle name="Normal 272 2" xfId="5565"/>
    <cellStyle name="Normal 273" xfId="5566"/>
    <cellStyle name="Normal 274" xfId="5567"/>
    <cellStyle name="Normal 277" xfId="5568"/>
    <cellStyle name="Normal 28" xfId="5569"/>
    <cellStyle name="Normal 28 10" xfId="5570"/>
    <cellStyle name="Normal 28 10 2" xfId="5571"/>
    <cellStyle name="Normal 28 11" xfId="5572"/>
    <cellStyle name="Normal 28 11 2" xfId="5573"/>
    <cellStyle name="Normal 28 12" xfId="5574"/>
    <cellStyle name="Normal 28 12 2" xfId="5575"/>
    <cellStyle name="Normal 28 13" xfId="5576"/>
    <cellStyle name="Normal 28 13 2" xfId="5577"/>
    <cellStyle name="Normal 28 14" xfId="5578"/>
    <cellStyle name="Normal 28 2" xfId="5579"/>
    <cellStyle name="Normal 28 2 2" xfId="5580"/>
    <cellStyle name="Normal 28 2 2 2" xfId="5581"/>
    <cellStyle name="Normal 28 2 3" xfId="5582"/>
    <cellStyle name="Normal 28 3" xfId="5583"/>
    <cellStyle name="Normal 28 3 2" xfId="5584"/>
    <cellStyle name="Normal 28 4" xfId="5585"/>
    <cellStyle name="Normal 28 4 2" xfId="5586"/>
    <cellStyle name="Normal 28 5" xfId="5587"/>
    <cellStyle name="Normal 28 5 2" xfId="5588"/>
    <cellStyle name="Normal 28 6" xfId="5589"/>
    <cellStyle name="Normal 28 6 2" xfId="5590"/>
    <cellStyle name="Normal 28 7" xfId="5591"/>
    <cellStyle name="Normal 28 7 2" xfId="5592"/>
    <cellStyle name="Normal 28 8" xfId="5593"/>
    <cellStyle name="Normal 28 8 2" xfId="5594"/>
    <cellStyle name="Normal 28 9" xfId="5595"/>
    <cellStyle name="Normal 28 9 2" xfId="5596"/>
    <cellStyle name="Normal 29" xfId="5597"/>
    <cellStyle name="Normal 29 10" xfId="5598"/>
    <cellStyle name="Normal 29 10 2" xfId="5599"/>
    <cellStyle name="Normal 29 11" xfId="5600"/>
    <cellStyle name="Normal 29 11 2" xfId="5601"/>
    <cellStyle name="Normal 29 12" xfId="5602"/>
    <cellStyle name="Normal 29 12 2" xfId="5603"/>
    <cellStyle name="Normal 29 13" xfId="5604"/>
    <cellStyle name="Normal 29 13 2" xfId="5605"/>
    <cellStyle name="Normal 29 14" xfId="5606"/>
    <cellStyle name="Normal 29 14 2" xfId="5607"/>
    <cellStyle name="Normal 29 15" xfId="5608"/>
    <cellStyle name="Normal 29 15 2" xfId="5609"/>
    <cellStyle name="Normal 29 15 3" xfId="5610"/>
    <cellStyle name="Normal 29 16" xfId="5611"/>
    <cellStyle name="Normal 29 16 2" xfId="5612"/>
    <cellStyle name="Normal 29 16 3" xfId="5613"/>
    <cellStyle name="Normal 29 17" xfId="5614"/>
    <cellStyle name="Normal 29 17 2" xfId="5615"/>
    <cellStyle name="Normal 29 17 3" xfId="5616"/>
    <cellStyle name="Normal 29 18" xfId="5617"/>
    <cellStyle name="Normal 29 18 2" xfId="5618"/>
    <cellStyle name="Normal 29 18 3" xfId="5619"/>
    <cellStyle name="Normal 29 19" xfId="5620"/>
    <cellStyle name="Normal 29 19 2" xfId="5621"/>
    <cellStyle name="Normal 29 19 3" xfId="5622"/>
    <cellStyle name="Normal 29 2" xfId="5623"/>
    <cellStyle name="Normal 29 2 10" xfId="5624"/>
    <cellStyle name="Normal 29 2 10 2" xfId="5625"/>
    <cellStyle name="Normal 29 2 10 3" xfId="5626"/>
    <cellStyle name="Normal 29 2 11" xfId="5627"/>
    <cellStyle name="Normal 29 2 2" xfId="5628"/>
    <cellStyle name="Normal 29 2 2 2" xfId="5629"/>
    <cellStyle name="Normal 29 2 3" xfId="5630"/>
    <cellStyle name="Normal 29 2 3 2" xfId="5631"/>
    <cellStyle name="Normal 29 2 3 3" xfId="5632"/>
    <cellStyle name="Normal 29 2 4" xfId="5633"/>
    <cellStyle name="Normal 29 2 4 2" xfId="5634"/>
    <cellStyle name="Normal 29 2 4 3" xfId="5635"/>
    <cellStyle name="Normal 29 2 5" xfId="5636"/>
    <cellStyle name="Normal 29 2 5 2" xfId="5637"/>
    <cellStyle name="Normal 29 2 5 3" xfId="5638"/>
    <cellStyle name="Normal 29 2 6" xfId="5639"/>
    <cellStyle name="Normal 29 2 6 2" xfId="5640"/>
    <cellStyle name="Normal 29 2 6 3" xfId="5641"/>
    <cellStyle name="Normal 29 2 7" xfId="5642"/>
    <cellStyle name="Normal 29 2 7 2" xfId="5643"/>
    <cellStyle name="Normal 29 2 7 3" xfId="5644"/>
    <cellStyle name="Normal 29 2 8" xfId="5645"/>
    <cellStyle name="Normal 29 2 8 2" xfId="5646"/>
    <cellStyle name="Normal 29 2 8 3" xfId="5647"/>
    <cellStyle name="Normal 29 2 9" xfId="5648"/>
    <cellStyle name="Normal 29 2 9 2" xfId="5649"/>
    <cellStyle name="Normal 29 2 9 3" xfId="5650"/>
    <cellStyle name="Normal 29 20" xfId="5651"/>
    <cellStyle name="Normal 29 20 2" xfId="5652"/>
    <cellStyle name="Normal 29 20 3" xfId="5653"/>
    <cellStyle name="Normal 29 21" xfId="5654"/>
    <cellStyle name="Normal 29 21 2" xfId="5655"/>
    <cellStyle name="Normal 29 21 3" xfId="5656"/>
    <cellStyle name="Normal 29 22" xfId="5657"/>
    <cellStyle name="Normal 29 22 2" xfId="5658"/>
    <cellStyle name="Normal 29 22 3" xfId="5659"/>
    <cellStyle name="Normal 29 23" xfId="5660"/>
    <cellStyle name="Normal 29 23 2" xfId="5661"/>
    <cellStyle name="Normal 29 23 3" xfId="5662"/>
    <cellStyle name="Normal 29 24" xfId="5663"/>
    <cellStyle name="Normal 29 25" xfId="5664"/>
    <cellStyle name="Normal 29 3" xfId="5665"/>
    <cellStyle name="Normal 29 3 2" xfId="5666"/>
    <cellStyle name="Normal 29 4" xfId="5667"/>
    <cellStyle name="Normal 29 4 2" xfId="5668"/>
    <cellStyle name="Normal 29 4 2 2" xfId="5669"/>
    <cellStyle name="Normal 29 4 3" xfId="5670"/>
    <cellStyle name="Normal 29 5" xfId="5671"/>
    <cellStyle name="Normal 29 5 2" xfId="5672"/>
    <cellStyle name="Normal 29 5 2 2" xfId="5673"/>
    <cellStyle name="Normal 29 5 3" xfId="5674"/>
    <cellStyle name="Normal 29 5 4" xfId="5675"/>
    <cellStyle name="Normal 29 6" xfId="5676"/>
    <cellStyle name="Normal 29 6 2" xfId="5677"/>
    <cellStyle name="Normal 29 7" xfId="5678"/>
    <cellStyle name="Normal 29 7 2" xfId="5679"/>
    <cellStyle name="Normal 29 8" xfId="5680"/>
    <cellStyle name="Normal 29 8 2" xfId="5681"/>
    <cellStyle name="Normal 29 9" xfId="5682"/>
    <cellStyle name="Normal 29 9 2" xfId="5683"/>
    <cellStyle name="Normal 3" xfId="5685"/>
    <cellStyle name="Normal 3 10" xfId="5686"/>
    <cellStyle name="Normal 3 10 2" xfId="5687"/>
    <cellStyle name="Normal 3 11" xfId="5688"/>
    <cellStyle name="Normal 3 11 2" xfId="5689"/>
    <cellStyle name="Normal 3 12" xfId="5690"/>
    <cellStyle name="Normal 3 12 2" xfId="5691"/>
    <cellStyle name="Normal 3 13" xfId="5692"/>
    <cellStyle name="Normal 3 13 2" xfId="5693"/>
    <cellStyle name="Normal 3 14" xfId="5694"/>
    <cellStyle name="Normal 3 14 2" xfId="5695"/>
    <cellStyle name="Normal 3 15" xfId="5696"/>
    <cellStyle name="Normal 3 15 2" xfId="5697"/>
    <cellStyle name="Normal 3 16" xfId="5698"/>
    <cellStyle name="Normal 3 16 2" xfId="5699"/>
    <cellStyle name="Normal 3 17" xfId="5700"/>
    <cellStyle name="Normal 3 17 2" xfId="5701"/>
    <cellStyle name="Normal 3 18" xfId="5702"/>
    <cellStyle name="Normal 3 18 2" xfId="5703"/>
    <cellStyle name="Normal 3 19" xfId="5704"/>
    <cellStyle name="Normal 3 19 2" xfId="5705"/>
    <cellStyle name="Normal 3 19 3" xfId="5706"/>
    <cellStyle name="Normal 3 2" xfId="5707"/>
    <cellStyle name="Normal 3 2 10" xfId="5708"/>
    <cellStyle name="Normal 3 2 10 2" xfId="5709"/>
    <cellStyle name="Normal 3 2 11" xfId="5710"/>
    <cellStyle name="Normal 3 2 11 2" xfId="5711"/>
    <cellStyle name="Normal 3 2 12" xfId="5712"/>
    <cellStyle name="Normal 3 2 12 2" xfId="5713"/>
    <cellStyle name="Normal 3 2 13" xfId="5714"/>
    <cellStyle name="Normal 3 2 13 2" xfId="5715"/>
    <cellStyle name="Normal 3 2 14" xfId="5716"/>
    <cellStyle name="Normal 3 2 14 2" xfId="5717"/>
    <cellStyle name="Normal 3 2 15" xfId="5718"/>
    <cellStyle name="Normal 3 2 15 2" xfId="5719"/>
    <cellStyle name="Normal 3 2 16" xfId="5720"/>
    <cellStyle name="Normal 3 2 17" xfId="5721"/>
    <cellStyle name="Normal 3 2 2" xfId="5722"/>
    <cellStyle name="Normal 3 2 2 2" xfId="5723"/>
    <cellStyle name="Normal 3 2 2 2 2" xfId="5724"/>
    <cellStyle name="Normal 3 2 2 2 2 2" xfId="5725"/>
    <cellStyle name="Normal 3 2 2 2 3" xfId="5726"/>
    <cellStyle name="Normal 3 2 2 3" xfId="5727"/>
    <cellStyle name="Normal 3 2 2 3 2" xfId="5728"/>
    <cellStyle name="Normal 3 2 2 4" xfId="5729"/>
    <cellStyle name="Normal 3 2 3" xfId="5730"/>
    <cellStyle name="Normal 3 2 3 2" xfId="5731"/>
    <cellStyle name="Normal 3 2 3 2 2" xfId="5732"/>
    <cellStyle name="Normal 3 2 3 3" xfId="5733"/>
    <cellStyle name="Normal 3 2 4" xfId="5734"/>
    <cellStyle name="Normal 3 2 4 2" xfId="5735"/>
    <cellStyle name="Normal 3 2 5" xfId="5736"/>
    <cellStyle name="Normal 3 2 5 2" xfId="5737"/>
    <cellStyle name="Normal 3 2 6" xfId="5738"/>
    <cellStyle name="Normal 3 2 6 2" xfId="5739"/>
    <cellStyle name="Normal 3 2 7" xfId="5740"/>
    <cellStyle name="Normal 3 2 7 2" xfId="5741"/>
    <cellStyle name="Normal 3 2 8" xfId="5742"/>
    <cellStyle name="Normal 3 2 8 2" xfId="5743"/>
    <cellStyle name="Normal 3 2 9" xfId="5744"/>
    <cellStyle name="Normal 3 2 9 2" xfId="5745"/>
    <cellStyle name="Normal 3 2_inv-en-1.5.0-02 trame_fiche-emissions" xfId="5749"/>
    <cellStyle name="Normal 3 20" xfId="5746"/>
    <cellStyle name="Normal 3 20 2" xfId="5747"/>
    <cellStyle name="Normal 3 21" xfId="5748"/>
    <cellStyle name="Normal 3 3" xfId="5750"/>
    <cellStyle name="Normal 3 3 10" xfId="5751"/>
    <cellStyle name="Normal 3 3 10 2" xfId="5752"/>
    <cellStyle name="Normal 3 3 11" xfId="5753"/>
    <cellStyle name="Normal 3 3 11 2" xfId="5754"/>
    <cellStyle name="Normal 3 3 12" xfId="5755"/>
    <cellStyle name="Normal 3 3 12 2" xfId="5756"/>
    <cellStyle name="Normal 3 3 13" xfId="5757"/>
    <cellStyle name="Normal 3 3 13 2" xfId="5758"/>
    <cellStyle name="Normal 3 3 14" xfId="5759"/>
    <cellStyle name="Normal 3 3 14 2" xfId="5760"/>
    <cellStyle name="Normal 3 3 15" xfId="5761"/>
    <cellStyle name="Normal 3 3 2" xfId="5762"/>
    <cellStyle name="Normal 3 3 2 2" xfId="5763"/>
    <cellStyle name="Normal 3 3 2 2 2" xfId="5764"/>
    <cellStyle name="Normal 3 3 2 2 2 2" xfId="5765"/>
    <cellStyle name="Normal 3 3 2 2 3" xfId="5766"/>
    <cellStyle name="Normal 3 3 2 3" xfId="5767"/>
    <cellStyle name="Normal 3 3 2 3 2" xfId="5768"/>
    <cellStyle name="Normal 3 3 2 4" xfId="5769"/>
    <cellStyle name="Normal 3 3 3" xfId="5770"/>
    <cellStyle name="Normal 3 3 3 2" xfId="5771"/>
    <cellStyle name="Normal 3 3 3 2 2" xfId="5772"/>
    <cellStyle name="Normal 3 3 3 3" xfId="5773"/>
    <cellStyle name="Normal 3 3 4" xfId="5774"/>
    <cellStyle name="Normal 3 3 4 2" xfId="5775"/>
    <cellStyle name="Normal 3 3 5" xfId="5776"/>
    <cellStyle name="Normal 3 3 5 2" xfId="5777"/>
    <cellStyle name="Normal 3 3 6" xfId="5778"/>
    <cellStyle name="Normal 3 3 6 2" xfId="5779"/>
    <cellStyle name="Normal 3 3 7" xfId="5780"/>
    <cellStyle name="Normal 3 3 7 2" xfId="5781"/>
    <cellStyle name="Normal 3 3 8" xfId="5782"/>
    <cellStyle name="Normal 3 3 8 2" xfId="5783"/>
    <cellStyle name="Normal 3 3 9" xfId="5784"/>
    <cellStyle name="Normal 3 3 9 2" xfId="5785"/>
    <cellStyle name="Normal 3 3_inv-en-1.5.0-02 trame_fiche-emissions" xfId="5786"/>
    <cellStyle name="Normal 3 4" xfId="5787"/>
    <cellStyle name="Normal 3 4 10" xfId="5788"/>
    <cellStyle name="Normal 3 4 10 2" xfId="5789"/>
    <cellStyle name="Normal 3 4 11" xfId="5790"/>
    <cellStyle name="Normal 3 4 11 2" xfId="5791"/>
    <cellStyle name="Normal 3 4 12" xfId="5792"/>
    <cellStyle name="Normal 3 4 12 2" xfId="5793"/>
    <cellStyle name="Normal 3 4 13" xfId="5794"/>
    <cellStyle name="Normal 3 4 13 2" xfId="5795"/>
    <cellStyle name="Normal 3 4 14" xfId="5796"/>
    <cellStyle name="Normal 3 4 2" xfId="5797"/>
    <cellStyle name="Normal 3 4 2 2" xfId="5798"/>
    <cellStyle name="Normal 3 4 2 2 2" xfId="5799"/>
    <cellStyle name="Normal 3 4 2 3" xfId="5800"/>
    <cellStyle name="Normal 3 4 3" xfId="5801"/>
    <cellStyle name="Normal 3 4 3 2" xfId="5802"/>
    <cellStyle name="Normal 3 4 4" xfId="5803"/>
    <cellStyle name="Normal 3 4 4 2" xfId="5804"/>
    <cellStyle name="Normal 3 4 5" xfId="5805"/>
    <cellStyle name="Normal 3 4 5 2" xfId="5806"/>
    <cellStyle name="Normal 3 4 6" xfId="5807"/>
    <cellStyle name="Normal 3 4 6 2" xfId="5808"/>
    <cellStyle name="Normal 3 4 7" xfId="5809"/>
    <cellStyle name="Normal 3 4 7 2" xfId="5810"/>
    <cellStyle name="Normal 3 4 8" xfId="5811"/>
    <cellStyle name="Normal 3 4 8 2" xfId="5812"/>
    <cellStyle name="Normal 3 4 9" xfId="5813"/>
    <cellStyle name="Normal 3 4 9 2" xfId="5814"/>
    <cellStyle name="Normal 3 4_inv-en-1.5.0-02 trame_fiche-emissions" xfId="5815"/>
    <cellStyle name="Normal 3 5" xfId="5816"/>
    <cellStyle name="Normal 3 5 10" xfId="5817"/>
    <cellStyle name="Normal 3 5 10 2" xfId="5818"/>
    <cellStyle name="Normal 3 5 11" xfId="5819"/>
    <cellStyle name="Normal 3 5 11 2" xfId="5820"/>
    <cellStyle name="Normal 3 5 12" xfId="5821"/>
    <cellStyle name="Normal 3 5 12 2" xfId="5822"/>
    <cellStyle name="Normal 3 5 13" xfId="5823"/>
    <cellStyle name="Normal 3 5 13 2" xfId="5824"/>
    <cellStyle name="Normal 3 5 14" xfId="5825"/>
    <cellStyle name="Normal 3 5 2" xfId="5826"/>
    <cellStyle name="Normal 3 5 2 2" xfId="5827"/>
    <cellStyle name="Normal 3 5 2 2 2" xfId="5828"/>
    <cellStyle name="Normal 3 5 2 3" xfId="5829"/>
    <cellStyle name="Normal 3 5 3" xfId="5830"/>
    <cellStyle name="Normal 3 5 3 2" xfId="5831"/>
    <cellStyle name="Normal 3 5 4" xfId="5832"/>
    <cellStyle name="Normal 3 5 4 2" xfId="5833"/>
    <cellStyle name="Normal 3 5 5" xfId="5834"/>
    <cellStyle name="Normal 3 5 5 2" xfId="5835"/>
    <cellStyle name="Normal 3 5 6" xfId="5836"/>
    <cellStyle name="Normal 3 5 6 2" xfId="5837"/>
    <cellStyle name="Normal 3 5 7" xfId="5838"/>
    <cellStyle name="Normal 3 5 7 2" xfId="5839"/>
    <cellStyle name="Normal 3 5 8" xfId="5840"/>
    <cellStyle name="Normal 3 5 8 2" xfId="5841"/>
    <cellStyle name="Normal 3 5 9" xfId="5842"/>
    <cellStyle name="Normal 3 5 9 2" xfId="5843"/>
    <cellStyle name="Normal 3 5_inv-en-1.5.0-02 trame_fiche-emissions" xfId="5844"/>
    <cellStyle name="Normal 3 6" xfId="5845"/>
    <cellStyle name="Normal 3 6 10" xfId="5846"/>
    <cellStyle name="Normal 3 6 10 2" xfId="5847"/>
    <cellStyle name="Normal 3 6 11" xfId="5848"/>
    <cellStyle name="Normal 3 6 11 2" xfId="5849"/>
    <cellStyle name="Normal 3 6 12" xfId="5850"/>
    <cellStyle name="Normal 3 6 12 2" xfId="5851"/>
    <cellStyle name="Normal 3 6 13" xfId="5852"/>
    <cellStyle name="Normal 3 6 13 2" xfId="5853"/>
    <cellStyle name="Normal 3 6 14" xfId="5854"/>
    <cellStyle name="Normal 3 6 2" xfId="5855"/>
    <cellStyle name="Normal 3 6 2 2" xfId="5856"/>
    <cellStyle name="Normal 3 6 2 2 2" xfId="5857"/>
    <cellStyle name="Normal 3 6 2 3" xfId="5858"/>
    <cellStyle name="Normal 3 6 3" xfId="5859"/>
    <cellStyle name="Normal 3 6 3 2" xfId="5860"/>
    <cellStyle name="Normal 3 6 4" xfId="5861"/>
    <cellStyle name="Normal 3 6 4 2" xfId="5862"/>
    <cellStyle name="Normal 3 6 5" xfId="5863"/>
    <cellStyle name="Normal 3 6 5 2" xfId="5864"/>
    <cellStyle name="Normal 3 6 6" xfId="5865"/>
    <cellStyle name="Normal 3 6 6 2" xfId="5866"/>
    <cellStyle name="Normal 3 6 7" xfId="5867"/>
    <cellStyle name="Normal 3 6 7 2" xfId="5868"/>
    <cellStyle name="Normal 3 6 8" xfId="5869"/>
    <cellStyle name="Normal 3 6 8 2" xfId="5870"/>
    <cellStyle name="Normal 3 6 9" xfId="5871"/>
    <cellStyle name="Normal 3 6 9 2" xfId="5872"/>
    <cellStyle name="Normal 3 6_inv-en-1.5.0-02 trame_fiche-emissions" xfId="5873"/>
    <cellStyle name="Normal 3 7" xfId="5874"/>
    <cellStyle name="Normal 3 7 2" xfId="5875"/>
    <cellStyle name="Normal 3 7 2 2" xfId="5876"/>
    <cellStyle name="Normal 3 7 2 2 2" xfId="5877"/>
    <cellStyle name="Normal 3 7 2 3" xfId="5878"/>
    <cellStyle name="Normal 3 7 3" xfId="5879"/>
    <cellStyle name="Normal 3 7 3 2" xfId="5880"/>
    <cellStyle name="Normal 3 7 4" xfId="5881"/>
    <cellStyle name="Normal 3 8" xfId="5882"/>
    <cellStyle name="Normal 3 8 2" xfId="5883"/>
    <cellStyle name="Normal 3 8 2 2" xfId="5884"/>
    <cellStyle name="Normal 3 8 3" xfId="5885"/>
    <cellStyle name="Normal 3 9" xfId="5886"/>
    <cellStyle name="Normal 3 9 2" xfId="5887"/>
    <cellStyle name="Normal 3 9 2 2" xfId="5888"/>
    <cellStyle name="Normal 3 9 3" xfId="5889"/>
    <cellStyle name="Normal 3 9 3 2" xfId="5890"/>
    <cellStyle name="Normal 3 9 4" xfId="5891"/>
    <cellStyle name="Normal 3 9 4 2" xfId="5892"/>
    <cellStyle name="Normal 3 9 4 3" xfId="5893"/>
    <cellStyle name="Normal 3 9 5" xfId="5894"/>
    <cellStyle name="Normal 3_population DT" xfId="5975"/>
    <cellStyle name="Normal 30" xfId="5895"/>
    <cellStyle name="Normal 30 2" xfId="5896"/>
    <cellStyle name="Normal 30 2 2" xfId="5897"/>
    <cellStyle name="Normal 30 3" xfId="5898"/>
    <cellStyle name="Normal 30 3 2" xfId="5899"/>
    <cellStyle name="Normal 30 3 2 2" xfId="5900"/>
    <cellStyle name="Normal 30 3 3" xfId="5901"/>
    <cellStyle name="Normal 30 3 4" xfId="5902"/>
    <cellStyle name="Normal 30 4" xfId="5903"/>
    <cellStyle name="Normal 30 4 2" xfId="5904"/>
    <cellStyle name="Normal 30 5" xfId="5905"/>
    <cellStyle name="Normal 31" xfId="5906"/>
    <cellStyle name="Normal 31 2" xfId="5907"/>
    <cellStyle name="Normal 31 2 2" xfId="5908"/>
    <cellStyle name="Normal 31 3" xfId="5909"/>
    <cellStyle name="Normal 31 3 2" xfId="5910"/>
    <cellStyle name="Normal 31 3 2 2" xfId="5911"/>
    <cellStyle name="Normal 31 3 3" xfId="5912"/>
    <cellStyle name="Normal 31 3 4" xfId="5913"/>
    <cellStyle name="Normal 31 4" xfId="5914"/>
    <cellStyle name="Normal 31 4 2" xfId="5915"/>
    <cellStyle name="Normal 31 5" xfId="5916"/>
    <cellStyle name="Normal 31 5 2" xfId="5917"/>
    <cellStyle name="Normal 31 6" xfId="5918"/>
    <cellStyle name="Normal 31 6 2" xfId="5919"/>
    <cellStyle name="Normal 31 7" xfId="5920"/>
    <cellStyle name="Normal 32" xfId="5921"/>
    <cellStyle name="Normal 32 2" xfId="5922"/>
    <cellStyle name="Normal 32 2 2" xfId="5923"/>
    <cellStyle name="Normal 32 3" xfId="5924"/>
    <cellStyle name="Normal 32 3 2" xfId="5925"/>
    <cellStyle name="Normal 32 4" xfId="5926"/>
    <cellStyle name="Normal 32 4 2" xfId="5927"/>
    <cellStyle name="Normal 32 5" xfId="5928"/>
    <cellStyle name="Normal 32 5 2" xfId="5929"/>
    <cellStyle name="Normal 32 6" xfId="5930"/>
    <cellStyle name="Normal 32 6 2" xfId="5931"/>
    <cellStyle name="Normal 32 7" xfId="5932"/>
    <cellStyle name="Normal 33" xfId="5933"/>
    <cellStyle name="Normal 33 2" xfId="5934"/>
    <cellStyle name="Normal 33 2 2" xfId="5935"/>
    <cellStyle name="Normal 33 3" xfId="5936"/>
    <cellStyle name="Normal 33 3 2" xfId="5937"/>
    <cellStyle name="Normal 33 4" xfId="5938"/>
    <cellStyle name="Normal 33 4 2" xfId="5939"/>
    <cellStyle name="Normal 33 5" xfId="5940"/>
    <cellStyle name="Normal 33 5 2" xfId="5941"/>
    <cellStyle name="Normal 33 6" xfId="5942"/>
    <cellStyle name="Normal 33 6 2" xfId="5943"/>
    <cellStyle name="Normal 33 7" xfId="5944"/>
    <cellStyle name="Normal 34" xfId="5945"/>
    <cellStyle name="Normal 34 2" xfId="5946"/>
    <cellStyle name="Normal 34 2 2" xfId="5947"/>
    <cellStyle name="Normal 34 3" xfId="5948"/>
    <cellStyle name="Normal 35" xfId="5949"/>
    <cellStyle name="Normal 35 2" xfId="5950"/>
    <cellStyle name="Normal 35 2 2" xfId="5951"/>
    <cellStyle name="Normal 35 3" xfId="5952"/>
    <cellStyle name="Normal 36" xfId="5953"/>
    <cellStyle name="Normal 36 2" xfId="5954"/>
    <cellStyle name="Normal 36 2 2" xfId="5955"/>
    <cellStyle name="Normal 36 3" xfId="5956"/>
    <cellStyle name="Normal 36 3 2" xfId="5957"/>
    <cellStyle name="Normal 36 4" xfId="5958"/>
    <cellStyle name="Normal 36 4 2" xfId="5959"/>
    <cellStyle name="Normal 36 5" xfId="5960"/>
    <cellStyle name="Normal 36 5 2" xfId="5961"/>
    <cellStyle name="Normal 36 6" xfId="5962"/>
    <cellStyle name="Normal 37" xfId="5963"/>
    <cellStyle name="Normal 37 2" xfId="5964"/>
    <cellStyle name="Normal 37 2 2" xfId="5965"/>
    <cellStyle name="Normal 37 3" xfId="5966"/>
    <cellStyle name="Normal 38" xfId="5967"/>
    <cellStyle name="Normal 38 2" xfId="5968"/>
    <cellStyle name="Normal 38 2 2" xfId="5969"/>
    <cellStyle name="Normal 38 3" xfId="5970"/>
    <cellStyle name="Normal 39" xfId="5971"/>
    <cellStyle name="Normal 39 2" xfId="5972"/>
    <cellStyle name="Normal 39 2 2" xfId="5973"/>
    <cellStyle name="Normal 39 3" xfId="5974"/>
    <cellStyle name="Normal 4" xfId="5976"/>
    <cellStyle name="Normal 4 10" xfId="5977"/>
    <cellStyle name="Normal 4 10 2" xfId="5978"/>
    <cellStyle name="Normal 4 11" xfId="5979"/>
    <cellStyle name="Normal 4 11 2" xfId="5980"/>
    <cellStyle name="Normal 4 12" xfId="5981"/>
    <cellStyle name="Normal 4 12 2" xfId="5982"/>
    <cellStyle name="Normal 4 13" xfId="5983"/>
    <cellStyle name="Normal 4 13 2" xfId="5984"/>
    <cellStyle name="Normal 4 13 3" xfId="5985"/>
    <cellStyle name="Normal 4 14" xfId="5986"/>
    <cellStyle name="Normal 4 14 2" xfId="5987"/>
    <cellStyle name="Normal 4 15" xfId="5988"/>
    <cellStyle name="Normal 4 15 2" xfId="5989"/>
    <cellStyle name="Normal 4 16" xfId="5990"/>
    <cellStyle name="Normal 4 2" xfId="5991"/>
    <cellStyle name="Normal 4 2 2" xfId="5992"/>
    <cellStyle name="Normal 4 2 2 2" xfId="5993"/>
    <cellStyle name="Normal 4 2 3" xfId="5994"/>
    <cellStyle name="Normal 4 2 3 2" xfId="5995"/>
    <cellStyle name="Normal 4 2 3 3" xfId="5996"/>
    <cellStyle name="Normal 4 2 4" xfId="5997"/>
    <cellStyle name="Normal 4 3" xfId="5998"/>
    <cellStyle name="Normal 4 3 2" xfId="5999"/>
    <cellStyle name="Normal 4 4" xfId="6000"/>
    <cellStyle name="Normal 4 4 2" xfId="6001"/>
    <cellStyle name="Normal 4 5" xfId="6002"/>
    <cellStyle name="Normal 4 5 2" xfId="6003"/>
    <cellStyle name="Normal 4 6" xfId="6004"/>
    <cellStyle name="Normal 4 6 2" xfId="6005"/>
    <cellStyle name="Normal 4 7" xfId="6006"/>
    <cellStyle name="Normal 4 7 2" xfId="6007"/>
    <cellStyle name="Normal 4 8" xfId="6008"/>
    <cellStyle name="Normal 4 8 2" xfId="6009"/>
    <cellStyle name="Normal 4 9" xfId="6010"/>
    <cellStyle name="Normal 4 9 2" xfId="6011"/>
    <cellStyle name="Normal 4_inv-en-1.5.0-02 trame_fiche-emissions" xfId="6090"/>
    <cellStyle name="Normal 40" xfId="6012"/>
    <cellStyle name="Normal 40 2" xfId="6013"/>
    <cellStyle name="Normal 40 2 2" xfId="6014"/>
    <cellStyle name="Normal 40 2 3" xfId="6015"/>
    <cellStyle name="Normal 40 3" xfId="6016"/>
    <cellStyle name="Normal 40 3 2" xfId="6017"/>
    <cellStyle name="Normal 40 4" xfId="6018"/>
    <cellStyle name="Normal 41" xfId="6019"/>
    <cellStyle name="Normal 41 2" xfId="6020"/>
    <cellStyle name="Normal 41 2 2" xfId="6021"/>
    <cellStyle name="Normal 41 3" xfId="6022"/>
    <cellStyle name="Normal 419" xfId="6023"/>
    <cellStyle name="Normal 419 2" xfId="6024"/>
    <cellStyle name="Normal 42" xfId="6025"/>
    <cellStyle name="Normal 42 2" xfId="6026"/>
    <cellStyle name="Normal 42 2 2" xfId="6027"/>
    <cellStyle name="Normal 42 3" xfId="6028"/>
    <cellStyle name="Normal 420" xfId="6029"/>
    <cellStyle name="Normal 420 2" xfId="6030"/>
    <cellStyle name="Normal 43" xfId="6031"/>
    <cellStyle name="Normal 43 2" xfId="6032"/>
    <cellStyle name="Normal 44" xfId="6033"/>
    <cellStyle name="Normal 44 2" xfId="6034"/>
    <cellStyle name="Normal 45" xfId="6035"/>
    <cellStyle name="Normal 45 2" xfId="6036"/>
    <cellStyle name="Normal 45 2 2" xfId="6037"/>
    <cellStyle name="Normal 45 3" xfId="6038"/>
    <cellStyle name="Normal 45 3 2" xfId="6039"/>
    <cellStyle name="Normal 45 4" xfId="6040"/>
    <cellStyle name="Normal 45 4 2" xfId="6041"/>
    <cellStyle name="Normal 45 5" xfId="6042"/>
    <cellStyle name="Normal 45 5 2" xfId="6043"/>
    <cellStyle name="Normal 45 6" xfId="6044"/>
    <cellStyle name="Normal 45 6 2" xfId="6045"/>
    <cellStyle name="Normal 45 7" xfId="6046"/>
    <cellStyle name="Normal 45 7 2" xfId="6047"/>
    <cellStyle name="Normal 45 7 3" xfId="6048"/>
    <cellStyle name="Normal 45 8" xfId="6049"/>
    <cellStyle name="Normal 46" xfId="6050"/>
    <cellStyle name="Normal 46 2" xfId="6051"/>
    <cellStyle name="Normal 46 2 2" xfId="6052"/>
    <cellStyle name="Normal 46 3" xfId="6053"/>
    <cellStyle name="Normal 46 3 2" xfId="6054"/>
    <cellStyle name="Normal 46 3 3" xfId="6055"/>
    <cellStyle name="Normal 46 4" xfId="6056"/>
    <cellStyle name="Normal 46 4 2" xfId="6057"/>
    <cellStyle name="Normal 46 4 3" xfId="6058"/>
    <cellStyle name="Normal 46 5" xfId="6059"/>
    <cellStyle name="Normal 47" xfId="6060"/>
    <cellStyle name="Normal 47 2" xfId="6061"/>
    <cellStyle name="Normal 47 2 2" xfId="6062"/>
    <cellStyle name="Normal 47 3" xfId="6063"/>
    <cellStyle name="Normal 47 3 2" xfId="6064"/>
    <cellStyle name="Normal 47 3 3" xfId="6065"/>
    <cellStyle name="Normal 47 4" xfId="6066"/>
    <cellStyle name="Normal 47 4 2" xfId="6067"/>
    <cellStyle name="Normal 47 4 3" xfId="6068"/>
    <cellStyle name="Normal 47 5" xfId="6069"/>
    <cellStyle name="Normal 48" xfId="6070"/>
    <cellStyle name="Normal 48 2" xfId="6071"/>
    <cellStyle name="Normal 48 2 2" xfId="6072"/>
    <cellStyle name="Normal 48 3" xfId="6073"/>
    <cellStyle name="Normal 48 3 2" xfId="6074"/>
    <cellStyle name="Normal 48 3 3" xfId="6075"/>
    <cellStyle name="Normal 48 4" xfId="6076"/>
    <cellStyle name="Normal 48 4 2" xfId="6077"/>
    <cellStyle name="Normal 48 4 3" xfId="6078"/>
    <cellStyle name="Normal 48 5" xfId="6079"/>
    <cellStyle name="Normal 49" xfId="6080"/>
    <cellStyle name="Normal 49 2" xfId="6081"/>
    <cellStyle name="Normal 49 2 2" xfId="6082"/>
    <cellStyle name="Normal 49 3" xfId="6083"/>
    <cellStyle name="Normal 49 3 2" xfId="6084"/>
    <cellStyle name="Normal 49 3 3" xfId="6085"/>
    <cellStyle name="Normal 49 4" xfId="6086"/>
    <cellStyle name="Normal 49 4 2" xfId="6087"/>
    <cellStyle name="Normal 49 4 3" xfId="6088"/>
    <cellStyle name="Normal 49 5" xfId="6089"/>
    <cellStyle name="Normal 5" xfId="6091"/>
    <cellStyle name="Normal 5 10" xfId="6092"/>
    <cellStyle name="Normal 5 10 2" xfId="6093"/>
    <cellStyle name="Normal 5 11" xfId="6094"/>
    <cellStyle name="Normal 5 11 2" xfId="6095"/>
    <cellStyle name="Normal 5 12" xfId="6096"/>
    <cellStyle name="Normal 5 12 2" xfId="6097"/>
    <cellStyle name="Normal 5 13" xfId="6098"/>
    <cellStyle name="Normal 5 13 2" xfId="6099"/>
    <cellStyle name="Normal 5 14" xfId="6100"/>
    <cellStyle name="Normal 5 14 2" xfId="6101"/>
    <cellStyle name="Normal 5 15" xfId="6102"/>
    <cellStyle name="Normal 5 15 2" xfId="6103"/>
    <cellStyle name="Normal 5 16" xfId="6104"/>
    <cellStyle name="Normal 5 16 2" xfId="6105"/>
    <cellStyle name="Normal 5 17" xfId="6106"/>
    <cellStyle name="Normal 5 17 2" xfId="6107"/>
    <cellStyle name="Normal 5 18" xfId="6108"/>
    <cellStyle name="Normal 5 18 2" xfId="6109"/>
    <cellStyle name="Normal 5 19" xfId="6110"/>
    <cellStyle name="Normal 5 19 2" xfId="6111"/>
    <cellStyle name="Normal 5 19 2 2" xfId="6112"/>
    <cellStyle name="Normal 5 19 3" xfId="6113"/>
    <cellStyle name="Normal 5 2" xfId="6114"/>
    <cellStyle name="Normal 5 2 10" xfId="6115"/>
    <cellStyle name="Normal 5 2 10 2" xfId="6116"/>
    <cellStyle name="Normal 5 2 11" xfId="6117"/>
    <cellStyle name="Normal 5 2 11 2" xfId="6118"/>
    <cellStyle name="Normal 5 2 12" xfId="6119"/>
    <cellStyle name="Normal 5 2 12 2" xfId="6120"/>
    <cellStyle name="Normal 5 2 13" xfId="6121"/>
    <cellStyle name="Normal 5 2 13 2" xfId="6122"/>
    <cellStyle name="Normal 5 2 14" xfId="6123"/>
    <cellStyle name="Normal 5 2 14 2" xfId="6124"/>
    <cellStyle name="Normal 5 2 15" xfId="6125"/>
    <cellStyle name="Normal 5 2 15 2" xfId="6126"/>
    <cellStyle name="Normal 5 2 16" xfId="6127"/>
    <cellStyle name="Normal 5 2 17" xfId="6128"/>
    <cellStyle name="Normal 5 2 2" xfId="6129"/>
    <cellStyle name="Normal 5 2 2 2" xfId="6130"/>
    <cellStyle name="Normal 5 2 2 2 2" xfId="6131"/>
    <cellStyle name="Normal 5 2 2 2 2 2" xfId="6132"/>
    <cellStyle name="Normal 5 2 2 2 3" xfId="6133"/>
    <cellStyle name="Normal 5 2 2 3" xfId="6134"/>
    <cellStyle name="Normal 5 2 2 3 2" xfId="6135"/>
    <cellStyle name="Normal 5 2 2 4" xfId="6136"/>
    <cellStyle name="Normal 5 2 3" xfId="6137"/>
    <cellStyle name="Normal 5 2 3 2" xfId="6138"/>
    <cellStyle name="Normal 5 2 3 2 2" xfId="6139"/>
    <cellStyle name="Normal 5 2 3 3" xfId="6140"/>
    <cellStyle name="Normal 5 2 4" xfId="6141"/>
    <cellStyle name="Normal 5 2 4 2" xfId="6142"/>
    <cellStyle name="Normal 5 2 5" xfId="6143"/>
    <cellStyle name="Normal 5 2 5 2" xfId="6144"/>
    <cellStyle name="Normal 5 2 6" xfId="6145"/>
    <cellStyle name="Normal 5 2 6 2" xfId="6146"/>
    <cellStyle name="Normal 5 2 7" xfId="6147"/>
    <cellStyle name="Normal 5 2 7 2" xfId="6148"/>
    <cellStyle name="Normal 5 2 8" xfId="6149"/>
    <cellStyle name="Normal 5 2 8 2" xfId="6150"/>
    <cellStyle name="Normal 5 2 9" xfId="6151"/>
    <cellStyle name="Normal 5 2 9 2" xfId="6152"/>
    <cellStyle name="Normal 5 2_inv-en-1.5.0-02 trame_fiche-emissions" xfId="6158"/>
    <cellStyle name="Normal 5 20" xfId="6153"/>
    <cellStyle name="Normal 5 20 2" xfId="6154"/>
    <cellStyle name="Normal 5 21" xfId="6155"/>
    <cellStyle name="Normal 5 21 2" xfId="6156"/>
    <cellStyle name="Normal 5 22" xfId="6157"/>
    <cellStyle name="Normal 5 3" xfId="6159"/>
    <cellStyle name="Normal 5 3 10" xfId="6160"/>
    <cellStyle name="Normal 5 3 10 2" xfId="6161"/>
    <cellStyle name="Normal 5 3 11" xfId="6162"/>
    <cellStyle name="Normal 5 3 11 2" xfId="6163"/>
    <cellStyle name="Normal 5 3 12" xfId="6164"/>
    <cellStyle name="Normal 5 3 12 2" xfId="6165"/>
    <cellStyle name="Normal 5 3 13" xfId="6166"/>
    <cellStyle name="Normal 5 3 13 2" xfId="6167"/>
    <cellStyle name="Normal 5 3 14" xfId="6168"/>
    <cellStyle name="Normal 5 3 14 2" xfId="6169"/>
    <cellStyle name="Normal 5 3 15" xfId="6170"/>
    <cellStyle name="Normal 5 3 2" xfId="6171"/>
    <cellStyle name="Normal 5 3 2 2" xfId="6172"/>
    <cellStyle name="Normal 5 3 2 2 2" xfId="6173"/>
    <cellStyle name="Normal 5 3 2 2 2 2" xfId="6174"/>
    <cellStyle name="Normal 5 3 2 2 3" xfId="6175"/>
    <cellStyle name="Normal 5 3 2 3" xfId="6176"/>
    <cellStyle name="Normal 5 3 2 3 2" xfId="6177"/>
    <cellStyle name="Normal 5 3 2 4" xfId="6178"/>
    <cellStyle name="Normal 5 3 3" xfId="6179"/>
    <cellStyle name="Normal 5 3 3 2" xfId="6180"/>
    <cellStyle name="Normal 5 3 3 2 2" xfId="6181"/>
    <cellStyle name="Normal 5 3 3 3" xfId="6182"/>
    <cellStyle name="Normal 5 3 4" xfId="6183"/>
    <cellStyle name="Normal 5 3 4 2" xfId="6184"/>
    <cellStyle name="Normal 5 3 5" xfId="6185"/>
    <cellStyle name="Normal 5 3 5 2" xfId="6186"/>
    <cellStyle name="Normal 5 3 6" xfId="6187"/>
    <cellStyle name="Normal 5 3 6 2" xfId="6188"/>
    <cellStyle name="Normal 5 3 7" xfId="6189"/>
    <cellStyle name="Normal 5 3 7 2" xfId="6190"/>
    <cellStyle name="Normal 5 3 8" xfId="6191"/>
    <cellStyle name="Normal 5 3 8 2" xfId="6192"/>
    <cellStyle name="Normal 5 3 9" xfId="6193"/>
    <cellStyle name="Normal 5 3 9 2" xfId="6194"/>
    <cellStyle name="Normal 5 3_inv-en-1.5.0-02 trame_fiche-emissions" xfId="6195"/>
    <cellStyle name="Normal 5 4" xfId="6196"/>
    <cellStyle name="Normal 5 4 10" xfId="6197"/>
    <cellStyle name="Normal 5 4 10 2" xfId="6198"/>
    <cellStyle name="Normal 5 4 11" xfId="6199"/>
    <cellStyle name="Normal 5 4 11 2" xfId="6200"/>
    <cellStyle name="Normal 5 4 12" xfId="6201"/>
    <cellStyle name="Normal 5 4 12 2" xfId="6202"/>
    <cellStyle name="Normal 5 4 13" xfId="6203"/>
    <cellStyle name="Normal 5 4 13 2" xfId="6204"/>
    <cellStyle name="Normal 5 4 14" xfId="6205"/>
    <cellStyle name="Normal 5 4 2" xfId="6206"/>
    <cellStyle name="Normal 5 4 2 2" xfId="6207"/>
    <cellStyle name="Normal 5 4 2 2 2" xfId="6208"/>
    <cellStyle name="Normal 5 4 2 3" xfId="6209"/>
    <cellStyle name="Normal 5 4 3" xfId="6210"/>
    <cellStyle name="Normal 5 4 3 2" xfId="6211"/>
    <cellStyle name="Normal 5 4 4" xfId="6212"/>
    <cellStyle name="Normal 5 4 4 2" xfId="6213"/>
    <cellStyle name="Normal 5 4 5" xfId="6214"/>
    <cellStyle name="Normal 5 4 5 2" xfId="6215"/>
    <cellStyle name="Normal 5 4 6" xfId="6216"/>
    <cellStyle name="Normal 5 4 6 2" xfId="6217"/>
    <cellStyle name="Normal 5 4 7" xfId="6218"/>
    <cellStyle name="Normal 5 4 7 2" xfId="6219"/>
    <cellStyle name="Normal 5 4 8" xfId="6220"/>
    <cellStyle name="Normal 5 4 8 2" xfId="6221"/>
    <cellStyle name="Normal 5 4 9" xfId="6222"/>
    <cellStyle name="Normal 5 4 9 2" xfId="6223"/>
    <cellStyle name="Normal 5 4_inv-en-1.5.0-02 trame_fiche-emissions" xfId="6224"/>
    <cellStyle name="Normal 5 5" xfId="6225"/>
    <cellStyle name="Normal 5 5 10" xfId="6226"/>
    <cellStyle name="Normal 5 5 10 2" xfId="6227"/>
    <cellStyle name="Normal 5 5 11" xfId="6228"/>
    <cellStyle name="Normal 5 5 11 2" xfId="6229"/>
    <cellStyle name="Normal 5 5 12" xfId="6230"/>
    <cellStyle name="Normal 5 5 12 2" xfId="6231"/>
    <cellStyle name="Normal 5 5 13" xfId="6232"/>
    <cellStyle name="Normal 5 5 13 2" xfId="6233"/>
    <cellStyle name="Normal 5 5 14" xfId="6234"/>
    <cellStyle name="Normal 5 5 2" xfId="6235"/>
    <cellStyle name="Normal 5 5 2 2" xfId="6236"/>
    <cellStyle name="Normal 5 5 2 2 2" xfId="6237"/>
    <cellStyle name="Normal 5 5 2 3" xfId="6238"/>
    <cellStyle name="Normal 5 5 3" xfId="6239"/>
    <cellStyle name="Normal 5 5 3 2" xfId="6240"/>
    <cellStyle name="Normal 5 5 4" xfId="6241"/>
    <cellStyle name="Normal 5 5 4 2" xfId="6242"/>
    <cellStyle name="Normal 5 5 5" xfId="6243"/>
    <cellStyle name="Normal 5 5 5 2" xfId="6244"/>
    <cellStyle name="Normal 5 5 6" xfId="6245"/>
    <cellStyle name="Normal 5 5 6 2" xfId="6246"/>
    <cellStyle name="Normal 5 5 7" xfId="6247"/>
    <cellStyle name="Normal 5 5 7 2" xfId="6248"/>
    <cellStyle name="Normal 5 5 8" xfId="6249"/>
    <cellStyle name="Normal 5 5 8 2" xfId="6250"/>
    <cellStyle name="Normal 5 5 9" xfId="6251"/>
    <cellStyle name="Normal 5 5 9 2" xfId="6252"/>
    <cellStyle name="Normal 5 5_inv-en-1.5.0-02 trame_fiche-emissions" xfId="6253"/>
    <cellStyle name="Normal 5 6" xfId="6254"/>
    <cellStyle name="Normal 5 6 10" xfId="6255"/>
    <cellStyle name="Normal 5 6 10 2" xfId="6256"/>
    <cellStyle name="Normal 5 6 11" xfId="6257"/>
    <cellStyle name="Normal 5 6 11 2" xfId="6258"/>
    <cellStyle name="Normal 5 6 12" xfId="6259"/>
    <cellStyle name="Normal 5 6 12 2" xfId="6260"/>
    <cellStyle name="Normal 5 6 13" xfId="6261"/>
    <cellStyle name="Normal 5 6 13 2" xfId="6262"/>
    <cellStyle name="Normal 5 6 14" xfId="6263"/>
    <cellStyle name="Normal 5 6 2" xfId="6264"/>
    <cellStyle name="Normal 5 6 2 2" xfId="6265"/>
    <cellStyle name="Normal 5 6 2 2 2" xfId="6266"/>
    <cellStyle name="Normal 5 6 2 3" xfId="6267"/>
    <cellStyle name="Normal 5 6 3" xfId="6268"/>
    <cellStyle name="Normal 5 6 3 2" xfId="6269"/>
    <cellStyle name="Normal 5 6 4" xfId="6270"/>
    <cellStyle name="Normal 5 6 4 2" xfId="6271"/>
    <cellStyle name="Normal 5 6 5" xfId="6272"/>
    <cellStyle name="Normal 5 6 5 2" xfId="6273"/>
    <cellStyle name="Normal 5 6 6" xfId="6274"/>
    <cellStyle name="Normal 5 6 6 2" xfId="6275"/>
    <cellStyle name="Normal 5 6 7" xfId="6276"/>
    <cellStyle name="Normal 5 6 7 2" xfId="6277"/>
    <cellStyle name="Normal 5 6 8" xfId="6278"/>
    <cellStyle name="Normal 5 6 8 2" xfId="6279"/>
    <cellStyle name="Normal 5 6 9" xfId="6280"/>
    <cellStyle name="Normal 5 6 9 2" xfId="6281"/>
    <cellStyle name="Normal 5 6_inv-en-1.5.0-02 trame_fiche-emissions" xfId="6282"/>
    <cellStyle name="Normal 5 7" xfId="6283"/>
    <cellStyle name="Normal 5 7 2" xfId="6284"/>
    <cellStyle name="Normal 5 7 2 2" xfId="6285"/>
    <cellStyle name="Normal 5 7 2 2 2" xfId="6286"/>
    <cellStyle name="Normal 5 7 2 3" xfId="6287"/>
    <cellStyle name="Normal 5 7 3" xfId="6288"/>
    <cellStyle name="Normal 5 7 3 2" xfId="6289"/>
    <cellStyle name="Normal 5 7 4" xfId="6290"/>
    <cellStyle name="Normal 5 8" xfId="6291"/>
    <cellStyle name="Normal 5 8 2" xfId="6292"/>
    <cellStyle name="Normal 5 8 2 2" xfId="6293"/>
    <cellStyle name="Normal 5 8 3" xfId="6294"/>
    <cellStyle name="Normal 5 9" xfId="6295"/>
    <cellStyle name="Normal 5 9 2" xfId="6296"/>
    <cellStyle name="Normal 5_inv-en-1.5.0-02 trame_fiche-emissions" xfId="6353"/>
    <cellStyle name="Normal 50" xfId="6297"/>
    <cellStyle name="Normal 50 2" xfId="6298"/>
    <cellStyle name="Normal 50 2 2" xfId="6299"/>
    <cellStyle name="Normal 50 3" xfId="6300"/>
    <cellStyle name="Normal 50 3 2" xfId="6301"/>
    <cellStyle name="Normal 50 3 3" xfId="6302"/>
    <cellStyle name="Normal 50 4" xfId="6303"/>
    <cellStyle name="Normal 50 4 2" xfId="6304"/>
    <cellStyle name="Normal 50 4 3" xfId="6305"/>
    <cellStyle name="Normal 50 5" xfId="6306"/>
    <cellStyle name="Normal 51" xfId="6307"/>
    <cellStyle name="Normal 51 2" xfId="6308"/>
    <cellStyle name="Normal 51 2 2" xfId="6309"/>
    <cellStyle name="Normal 51 2 2 2" xfId="6310"/>
    <cellStyle name="Normal 51 2 3" xfId="6311"/>
    <cellStyle name="Normal 51 3" xfId="6312"/>
    <cellStyle name="Normal 51 3 2" xfId="6313"/>
    <cellStyle name="Normal 51 3 3" xfId="6314"/>
    <cellStyle name="Normal 51 4" xfId="6315"/>
    <cellStyle name="Normal 51 4 2" xfId="6316"/>
    <cellStyle name="Normal 51 4 3" xfId="6317"/>
    <cellStyle name="Normal 51 5" xfId="6318"/>
    <cellStyle name="Normal 52" xfId="6319"/>
    <cellStyle name="Normal 52 2" xfId="6320"/>
    <cellStyle name="Normal 52 2 2" xfId="6321"/>
    <cellStyle name="Normal 52 3" xfId="6322"/>
    <cellStyle name="Normal 52 3 2" xfId="6323"/>
    <cellStyle name="Normal 52 3 3" xfId="6324"/>
    <cellStyle name="Normal 52 4" xfId="6325"/>
    <cellStyle name="Normal 53" xfId="6326"/>
    <cellStyle name="Normal 53 2" xfId="6327"/>
    <cellStyle name="Normal 53 2 2" xfId="6328"/>
    <cellStyle name="Normal 53 2 2 2" xfId="6329"/>
    <cellStyle name="Normal 53 2 3" xfId="6330"/>
    <cellStyle name="Normal 53 3" xfId="6331"/>
    <cellStyle name="Normal 53 3 2" xfId="6332"/>
    <cellStyle name="Normal 53 3 3" xfId="6333"/>
    <cellStyle name="Normal 53 4" xfId="6334"/>
    <cellStyle name="Normal 54" xfId="6335"/>
    <cellStyle name="Normal 54 2" xfId="6336"/>
    <cellStyle name="Normal 55" xfId="6337"/>
    <cellStyle name="Normal 55 2" xfId="6338"/>
    <cellStyle name="Normal 55 2 2" xfId="6339"/>
    <cellStyle name="Normal 55 3" xfId="6340"/>
    <cellStyle name="Normal 56" xfId="6341"/>
    <cellStyle name="Normal 56 2" xfId="6342"/>
    <cellStyle name="Normal 57" xfId="6343"/>
    <cellStyle name="Normal 57 2" xfId="6344"/>
    <cellStyle name="Normal 57 2 2" xfId="6345"/>
    <cellStyle name="Normal 57 3" xfId="6346"/>
    <cellStyle name="Normal 58" xfId="6347"/>
    <cellStyle name="Normal 58 2" xfId="6348"/>
    <cellStyle name="Normal 59" xfId="6349"/>
    <cellStyle name="Normal 59 2" xfId="6350"/>
    <cellStyle name="Normal 59 2 2" xfId="6351"/>
    <cellStyle name="Normal 59 3" xfId="6352"/>
    <cellStyle name="Normal 6" xfId="6354"/>
    <cellStyle name="Normal 6 10" xfId="6355"/>
    <cellStyle name="Normal 6 10 2" xfId="6356"/>
    <cellStyle name="Normal 6 11" xfId="6357"/>
    <cellStyle name="Normal 6 11 2" xfId="6358"/>
    <cellStyle name="Normal 6 12" xfId="6359"/>
    <cellStyle name="Normal 6 12 2" xfId="6360"/>
    <cellStyle name="Normal 6 13" xfId="6361"/>
    <cellStyle name="Normal 6 13 2" xfId="6362"/>
    <cellStyle name="Normal 6 14" xfId="6363"/>
    <cellStyle name="Normal 6 14 2" xfId="6364"/>
    <cellStyle name="Normal 6 15" xfId="6365"/>
    <cellStyle name="Normal 6 2" xfId="6366"/>
    <cellStyle name="Normal 6 2 2" xfId="6367"/>
    <cellStyle name="Normal 6 2 2 2" xfId="6368"/>
    <cellStyle name="Normal 6 2 2 2 2" xfId="6369"/>
    <cellStyle name="Normal 6 2 2 3" xfId="6370"/>
    <cellStyle name="Normal 6 2 3" xfId="6371"/>
    <cellStyle name="Normal 6 2 3 2" xfId="6372"/>
    <cellStyle name="Normal 6 2 4" xfId="6373"/>
    <cellStyle name="Normal 6 3" xfId="6374"/>
    <cellStyle name="Normal 6 3 2" xfId="6375"/>
    <cellStyle name="Normal 6 3 2 2" xfId="6376"/>
    <cellStyle name="Normal 6 3 3" xfId="6377"/>
    <cellStyle name="Normal 6 4" xfId="6378"/>
    <cellStyle name="Normal 6 4 2" xfId="6379"/>
    <cellStyle name="Normal 6 5" xfId="6380"/>
    <cellStyle name="Normal 6 5 2" xfId="6381"/>
    <cellStyle name="Normal 6 6" xfId="6382"/>
    <cellStyle name="Normal 6 6 2" xfId="6383"/>
    <cellStyle name="Normal 6 7" xfId="6384"/>
    <cellStyle name="Normal 6 7 2" xfId="6385"/>
    <cellStyle name="Normal 6 8" xfId="6386"/>
    <cellStyle name="Normal 6 8 2" xfId="6387"/>
    <cellStyle name="Normal 6 9" xfId="6388"/>
    <cellStyle name="Normal 6 9 2" xfId="6389"/>
    <cellStyle name="Normal 6_inv-en-1.5.0-02 trame_fiche-emissions" xfId="6420"/>
    <cellStyle name="Normal 60" xfId="6390"/>
    <cellStyle name="Normal 60 2" xfId="6391"/>
    <cellStyle name="Normal 60 2 2" xfId="6392"/>
    <cellStyle name="Normal 60 3" xfId="6393"/>
    <cellStyle name="Normal 61" xfId="6394"/>
    <cellStyle name="Normal 61 2" xfId="6395"/>
    <cellStyle name="Normal 61 2 2" xfId="6396"/>
    <cellStyle name="Normal 61 2 2 2" xfId="6397"/>
    <cellStyle name="Normal 61 2 3" xfId="6398"/>
    <cellStyle name="Normal 61 3" xfId="6399"/>
    <cellStyle name="Normal 62" xfId="6400"/>
    <cellStyle name="Normal 62 2" xfId="6401"/>
    <cellStyle name="Normal 63" xfId="6402"/>
    <cellStyle name="Normal 63 2" xfId="6403"/>
    <cellStyle name="Normal 64" xfId="6404"/>
    <cellStyle name="Normal 64 2" xfId="6405"/>
    <cellStyle name="Normal 64 2 2" xfId="6406"/>
    <cellStyle name="Normal 64 3" xfId="6407"/>
    <cellStyle name="Normal 65" xfId="6408"/>
    <cellStyle name="Normal 65 2" xfId="6409"/>
    <cellStyle name="Normal 66" xfId="6410"/>
    <cellStyle name="Normal 66 2" xfId="6411"/>
    <cellStyle name="Normal 67" xfId="6412"/>
    <cellStyle name="Normal 67 2" xfId="6413"/>
    <cellStyle name="Normal 68" xfId="6414"/>
    <cellStyle name="Normal 68 2" xfId="6415"/>
    <cellStyle name="Normal 68 2 2" xfId="6416"/>
    <cellStyle name="Normal 68 3" xfId="6417"/>
    <cellStyle name="Normal 69" xfId="6418"/>
    <cellStyle name="Normal 69 2" xfId="6419"/>
    <cellStyle name="Normal 7" xfId="6421"/>
    <cellStyle name="Normal 7 10" xfId="6422"/>
    <cellStyle name="Normal 7 10 2" xfId="6423"/>
    <cellStyle name="Normal 7 11" xfId="6424"/>
    <cellStyle name="Normal 7 11 2" xfId="6425"/>
    <cellStyle name="Normal 7 12" xfId="6426"/>
    <cellStyle name="Normal 7 12 2" xfId="6427"/>
    <cellStyle name="Normal 7 13" xfId="6428"/>
    <cellStyle name="Normal 7 13 2" xfId="6429"/>
    <cellStyle name="Normal 7 14" xfId="6430"/>
    <cellStyle name="Normal 7 14 2" xfId="6431"/>
    <cellStyle name="Normal 7 15" xfId="6432"/>
    <cellStyle name="Normal 7 2" xfId="6433"/>
    <cellStyle name="Normal 7 2 2" xfId="6434"/>
    <cellStyle name="Normal 7 2 2 2" xfId="6435"/>
    <cellStyle name="Normal 7 2 2 2 2" xfId="6436"/>
    <cellStyle name="Normal 7 2 2 3" xfId="6437"/>
    <cellStyle name="Normal 7 2 3" xfId="6438"/>
    <cellStyle name="Normal 7 2 3 2" xfId="6439"/>
    <cellStyle name="Normal 7 2 4" xfId="6440"/>
    <cellStyle name="Normal 7 3" xfId="6441"/>
    <cellStyle name="Normal 7 3 2" xfId="6442"/>
    <cellStyle name="Normal 7 3 2 2" xfId="6443"/>
    <cellStyle name="Normal 7 3 3" xfId="6444"/>
    <cellStyle name="Normal 7 4" xfId="6445"/>
    <cellStyle name="Normal 7 4 2" xfId="6446"/>
    <cellStyle name="Normal 7 5" xfId="6447"/>
    <cellStyle name="Normal 7 5 2" xfId="6448"/>
    <cellStyle name="Normal 7 6" xfId="6449"/>
    <cellStyle name="Normal 7 6 2" xfId="6450"/>
    <cellStyle name="Normal 7 7" xfId="6451"/>
    <cellStyle name="Normal 7 7 2" xfId="6452"/>
    <cellStyle name="Normal 7 8" xfId="6453"/>
    <cellStyle name="Normal 7 8 2" xfId="6454"/>
    <cellStyle name="Normal 7 9" xfId="6455"/>
    <cellStyle name="Normal 7 9 2" xfId="6456"/>
    <cellStyle name="Normal 7_inv-en-1.5.0-02 trame_fiche-emissions" xfId="6496"/>
    <cellStyle name="Normal 70" xfId="6457"/>
    <cellStyle name="Normal 70 2" xfId="6458"/>
    <cellStyle name="Normal 70 2 2" xfId="6459"/>
    <cellStyle name="Normal 70 3" xfId="6460"/>
    <cellStyle name="Normal 71" xfId="6461"/>
    <cellStyle name="Normal 71 2" xfId="6462"/>
    <cellStyle name="Normal 71 2 2" xfId="6463"/>
    <cellStyle name="Normal 71 3" xfId="6464"/>
    <cellStyle name="Normal 71 4" xfId="6465"/>
    <cellStyle name="Normal 72" xfId="6466"/>
    <cellStyle name="Normal 72 2" xfId="6467"/>
    <cellStyle name="Normal 72 3" xfId="6468"/>
    <cellStyle name="Normal 73" xfId="6469"/>
    <cellStyle name="Normal 73 2" xfId="6470"/>
    <cellStyle name="Normal 73 3" xfId="6471"/>
    <cellStyle name="Normal 74" xfId="6472"/>
    <cellStyle name="Normal 74 2" xfId="6473"/>
    <cellStyle name="Normal 74 2 2" xfId="6474"/>
    <cellStyle name="Normal 74 3" xfId="6475"/>
    <cellStyle name="Normal 75" xfId="6476"/>
    <cellStyle name="Normal 75 2" xfId="6477"/>
    <cellStyle name="Normal 75 2 2" xfId="6478"/>
    <cellStyle name="Normal 75 3" xfId="6479"/>
    <cellStyle name="Normal 76" xfId="6480"/>
    <cellStyle name="Normal 76 2" xfId="6481"/>
    <cellStyle name="Normal 76 2 2" xfId="6482"/>
    <cellStyle name="Normal 76 3" xfId="6483"/>
    <cellStyle name="Normal 77" xfId="6484"/>
    <cellStyle name="Normal 77 2" xfId="6485"/>
    <cellStyle name="Normal 77 2 2" xfId="6486"/>
    <cellStyle name="Normal 77 3" xfId="6487"/>
    <cellStyle name="Normal 78" xfId="6488"/>
    <cellStyle name="Normal 78 2" xfId="6489"/>
    <cellStyle name="Normal 78 2 2" xfId="6490"/>
    <cellStyle name="Normal 78 3" xfId="6491"/>
    <cellStyle name="Normal 79" xfId="6492"/>
    <cellStyle name="Normal 79 2" xfId="6493"/>
    <cellStyle name="Normal 79 2 2" xfId="6494"/>
    <cellStyle name="Normal 79 3" xfId="6495"/>
    <cellStyle name="Normal 8" xfId="6497"/>
    <cellStyle name="Normal 8 10" xfId="6498"/>
    <cellStyle name="Normal 8 10 2" xfId="6499"/>
    <cellStyle name="Normal 8 11" xfId="6500"/>
    <cellStyle name="Normal 8 11 2" xfId="6501"/>
    <cellStyle name="Normal 8 12" xfId="6502"/>
    <cellStyle name="Normal 8 12 2" xfId="6503"/>
    <cellStyle name="Normal 8 13" xfId="6504"/>
    <cellStyle name="Normal 8 13 2" xfId="6505"/>
    <cellStyle name="Normal 8 14" xfId="6506"/>
    <cellStyle name="Normal 8 14 2" xfId="6507"/>
    <cellStyle name="Normal 8 15" xfId="6508"/>
    <cellStyle name="Normal 8 2" xfId="6509"/>
    <cellStyle name="Normal 8 2 2" xfId="6510"/>
    <cellStyle name="Normal 8 2 2 2" xfId="6511"/>
    <cellStyle name="Normal 8 2 2 2 2" xfId="6512"/>
    <cellStyle name="Normal 8 2 2 3" xfId="6513"/>
    <cellStyle name="Normal 8 2 3" xfId="6514"/>
    <cellStyle name="Normal 8 2 3 2" xfId="6515"/>
    <cellStyle name="Normal 8 2 4" xfId="6516"/>
    <cellStyle name="Normal 8 3" xfId="6517"/>
    <cellStyle name="Normal 8 3 2" xfId="6518"/>
    <cellStyle name="Normal 8 3 2 2" xfId="6519"/>
    <cellStyle name="Normal 8 3 3" xfId="6520"/>
    <cellStyle name="Normal 8 4" xfId="6521"/>
    <cellStyle name="Normal 8 4 2" xfId="6522"/>
    <cellStyle name="Normal 8 5" xfId="6523"/>
    <cellStyle name="Normal 8 5 2" xfId="6524"/>
    <cellStyle name="Normal 8 6" xfId="6525"/>
    <cellStyle name="Normal 8 6 2" xfId="6526"/>
    <cellStyle name="Normal 8 7" xfId="6527"/>
    <cellStyle name="Normal 8 7 2" xfId="6528"/>
    <cellStyle name="Normal 8 8" xfId="6529"/>
    <cellStyle name="Normal 8 8 2" xfId="6530"/>
    <cellStyle name="Normal 8 9" xfId="6531"/>
    <cellStyle name="Normal 8 9 2" xfId="6532"/>
    <cellStyle name="Normal 8_inv-en-1.5.0-02 trame_fiche-emissions" xfId="6573"/>
    <cellStyle name="Normal 80" xfId="6533"/>
    <cellStyle name="Normal 80 2" xfId="6534"/>
    <cellStyle name="Normal 80 2 2" xfId="6535"/>
    <cellStyle name="Normal 80 3" xfId="6536"/>
    <cellStyle name="Normal 81" xfId="6537"/>
    <cellStyle name="Normal 81 2" xfId="6538"/>
    <cellStyle name="Normal 81 2 2" xfId="6539"/>
    <cellStyle name="Normal 81 3" xfId="6540"/>
    <cellStyle name="Normal 82" xfId="6541"/>
    <cellStyle name="Normal 82 2" xfId="6542"/>
    <cellStyle name="Normal 82 2 2" xfId="6543"/>
    <cellStyle name="Normal 82 3" xfId="6544"/>
    <cellStyle name="Normal 83" xfId="6545"/>
    <cellStyle name="Normal 83 2" xfId="6546"/>
    <cellStyle name="Normal 83 2 2" xfId="6547"/>
    <cellStyle name="Normal 83 3" xfId="6548"/>
    <cellStyle name="Normal 84" xfId="6549"/>
    <cellStyle name="Normal 84 2" xfId="6550"/>
    <cellStyle name="Normal 84 2 2" xfId="6551"/>
    <cellStyle name="Normal 84 3" xfId="6552"/>
    <cellStyle name="Normal 85" xfId="6553"/>
    <cellStyle name="Normal 85 2" xfId="6554"/>
    <cellStyle name="Normal 85 2 2" xfId="6555"/>
    <cellStyle name="Normal 85 3" xfId="6556"/>
    <cellStyle name="Normal 86" xfId="6557"/>
    <cellStyle name="Normal 86 2" xfId="6558"/>
    <cellStyle name="Normal 86 2 2" xfId="6559"/>
    <cellStyle name="Normal 86 3" xfId="6560"/>
    <cellStyle name="Normal 87" xfId="6561"/>
    <cellStyle name="Normal 87 2" xfId="6562"/>
    <cellStyle name="Normal 87 2 2" xfId="6563"/>
    <cellStyle name="Normal 87 3" xfId="6564"/>
    <cellStyle name="Normal 88" xfId="6565"/>
    <cellStyle name="Normal 88 2" xfId="6566"/>
    <cellStyle name="Normal 88 2 2" xfId="6567"/>
    <cellStyle name="Normal 88 3" xfId="6568"/>
    <cellStyle name="Normal 89" xfId="6569"/>
    <cellStyle name="Normal 89 2" xfId="6570"/>
    <cellStyle name="Normal 89 2 2" xfId="6571"/>
    <cellStyle name="Normal 89 3" xfId="6572"/>
    <cellStyle name="Normal 9" xfId="6574"/>
    <cellStyle name="Normal 9 10" xfId="6575"/>
    <cellStyle name="Normal 9 10 2" xfId="6576"/>
    <cellStyle name="Normal 9 11" xfId="6577"/>
    <cellStyle name="Normal 9 11 2" xfId="6578"/>
    <cellStyle name="Normal 9 12" xfId="6579"/>
    <cellStyle name="Normal 9 12 2" xfId="6580"/>
    <cellStyle name="Normal 9 13" xfId="6581"/>
    <cellStyle name="Normal 9 13 2" xfId="6582"/>
    <cellStyle name="Normal 9 14" xfId="6583"/>
    <cellStyle name="Normal 9 14 2" xfId="6584"/>
    <cellStyle name="Normal 9 15" xfId="6585"/>
    <cellStyle name="Normal 9 2" xfId="6586"/>
    <cellStyle name="Normal 9 2 2" xfId="6587"/>
    <cellStyle name="Normal 9 2 2 2" xfId="6588"/>
    <cellStyle name="Normal 9 2 2 2 2" xfId="6589"/>
    <cellStyle name="Normal 9 2 2 3" xfId="6590"/>
    <cellStyle name="Normal 9 2 2 3 2" xfId="6591"/>
    <cellStyle name="Normal 9 2 2 4" xfId="6592"/>
    <cellStyle name="Normal 9 2 3" xfId="6593"/>
    <cellStyle name="Normal 9 2 3 2" xfId="6594"/>
    <cellStyle name="Normal 9 2 4" xfId="6595"/>
    <cellStyle name="Normal 9 3" xfId="6596"/>
    <cellStyle name="Normal 9 3 2" xfId="6597"/>
    <cellStyle name="Normal 9 4" xfId="6598"/>
    <cellStyle name="Normal 9 4 2" xfId="6599"/>
    <cellStyle name="Normal 9 5" xfId="6600"/>
    <cellStyle name="Normal 9 5 2" xfId="6601"/>
    <cellStyle name="Normal 9 6" xfId="6602"/>
    <cellStyle name="Normal 9 6 2" xfId="6603"/>
    <cellStyle name="Normal 9 7" xfId="6604"/>
    <cellStyle name="Normal 9 7 2" xfId="6605"/>
    <cellStyle name="Normal 9 8" xfId="6606"/>
    <cellStyle name="Normal 9 8 2" xfId="6607"/>
    <cellStyle name="Normal 9 9" xfId="6608"/>
    <cellStyle name="Normal 9 9 2" xfId="6609"/>
    <cellStyle name="Normal 9_inv-en-1.5.0-02 trame_fiche-emissions" xfId="6653"/>
    <cellStyle name="Normal 90" xfId="6610"/>
    <cellStyle name="Normal 90 2" xfId="6611"/>
    <cellStyle name="Normal 90 2 2" xfId="6612"/>
    <cellStyle name="Normal 90 3" xfId="6613"/>
    <cellStyle name="Normal 90 3 2" xfId="6614"/>
    <cellStyle name="Normal 90 4" xfId="6615"/>
    <cellStyle name="Normal 91" xfId="6616"/>
    <cellStyle name="Normal 91 2" xfId="6617"/>
    <cellStyle name="Normal 91 2 2" xfId="6618"/>
    <cellStyle name="Normal 91 2 3" xfId="6619"/>
    <cellStyle name="Normal 91 3" xfId="6620"/>
    <cellStyle name="Normal 92" xfId="6621"/>
    <cellStyle name="Normal 92 2" xfId="6622"/>
    <cellStyle name="Normal 92 2 2" xfId="6623"/>
    <cellStyle name="Normal 92 3" xfId="6624"/>
    <cellStyle name="Normal 93" xfId="6625"/>
    <cellStyle name="Normal 93 2" xfId="6626"/>
    <cellStyle name="Normal 93 2 2" xfId="6627"/>
    <cellStyle name="Normal 93 3" xfId="6628"/>
    <cellStyle name="Normal 94" xfId="6629"/>
    <cellStyle name="Normal 94 2" xfId="6630"/>
    <cellStyle name="Normal 94 2 2" xfId="6631"/>
    <cellStyle name="Normal 94 3" xfId="6632"/>
    <cellStyle name="Normal 95" xfId="6633"/>
    <cellStyle name="Normal 95 2" xfId="6634"/>
    <cellStyle name="Normal 95 2 2" xfId="6635"/>
    <cellStyle name="Normal 95 3" xfId="6636"/>
    <cellStyle name="Normal 96" xfId="6637"/>
    <cellStyle name="Normal 96 2" xfId="6638"/>
    <cellStyle name="Normal 96 2 2" xfId="6639"/>
    <cellStyle name="Normal 96 3" xfId="6640"/>
    <cellStyle name="Normal 97" xfId="6641"/>
    <cellStyle name="Normal 97 2" xfId="6642"/>
    <cellStyle name="Normal 97 2 2" xfId="6643"/>
    <cellStyle name="Normal 97 3" xfId="6644"/>
    <cellStyle name="Normal 98" xfId="6645"/>
    <cellStyle name="Normal 98 2" xfId="6646"/>
    <cellStyle name="Normal 98 2 2" xfId="6647"/>
    <cellStyle name="Normal 98 3" xfId="6648"/>
    <cellStyle name="Normal 99" xfId="6649"/>
    <cellStyle name="Normal 99 2" xfId="6650"/>
    <cellStyle name="Normal 99 2 2" xfId="6651"/>
    <cellStyle name="Normal 99 3" xfId="6652"/>
    <cellStyle name="Normal GHG Numbers (0.00)" xfId="6654"/>
    <cellStyle name="Normal GHG Numbers (0.00) 2" xfId="6655"/>
    <cellStyle name="Normal GHG Textfiels Bold" xfId="6656"/>
    <cellStyle name="Normal GHG Textfiels Bold 2" xfId="6657"/>
    <cellStyle name="Normal GHG whole table" xfId="6658"/>
    <cellStyle name="Normal GHG whole table 2" xfId="6659"/>
    <cellStyle name="Normal GHG-Shade" xfId="6660"/>
    <cellStyle name="Normal GHG-Shade 10" xfId="6661"/>
    <cellStyle name="Normal GHG-Shade 10 2" xfId="6662"/>
    <cellStyle name="Normal GHG-Shade 11" xfId="6663"/>
    <cellStyle name="Normal GHG-Shade 11 2" xfId="6664"/>
    <cellStyle name="Normal GHG-Shade 12" xfId="6665"/>
    <cellStyle name="Normal GHG-Shade 12 2" xfId="6666"/>
    <cellStyle name="Normal GHG-Shade 13" xfId="6667"/>
    <cellStyle name="Normal GHG-Shade 13 2" xfId="6668"/>
    <cellStyle name="Normal GHG-Shade 14" xfId="6669"/>
    <cellStyle name="Normal GHG-Shade 14 2" xfId="6670"/>
    <cellStyle name="Normal GHG-Shade 15" xfId="6671"/>
    <cellStyle name="Normal GHG-Shade 15 2" xfId="6672"/>
    <cellStyle name="Normal GHG-Shade 16" xfId="6673"/>
    <cellStyle name="Normal GHG-Shade 16 2" xfId="6674"/>
    <cellStyle name="Normal GHG-Shade 17" xfId="6675"/>
    <cellStyle name="Normal GHG-Shade 2" xfId="6676"/>
    <cellStyle name="Normal GHG-Shade 2 2" xfId="6677"/>
    <cellStyle name="Normal GHG-Shade 2 2 2" xfId="6678"/>
    <cellStyle name="Normal GHG-Shade 2 3" xfId="6679"/>
    <cellStyle name="Normal GHG-Shade 3" xfId="6680"/>
    <cellStyle name="Normal GHG-Shade 3 2" xfId="6681"/>
    <cellStyle name="Normal GHG-Shade 4" xfId="6682"/>
    <cellStyle name="Normal GHG-Shade 4 2" xfId="6683"/>
    <cellStyle name="Normal GHG-Shade 5" xfId="6684"/>
    <cellStyle name="Normal GHG-Shade 5 2" xfId="6685"/>
    <cellStyle name="Normal GHG-Shade 6" xfId="6686"/>
    <cellStyle name="Normal GHG-Shade 6 2" xfId="6687"/>
    <cellStyle name="Normal GHG-Shade 7" xfId="6688"/>
    <cellStyle name="Normal GHG-Shade 7 2" xfId="6689"/>
    <cellStyle name="Normal GHG-Shade 8" xfId="6690"/>
    <cellStyle name="Normal GHG-Shade 8 2" xfId="6691"/>
    <cellStyle name="Normal GHG-Shade 9" xfId="6692"/>
    <cellStyle name="Normal GHG-Shade 9 2" xfId="6693"/>
    <cellStyle name="Normál_Munka1" xfId="6696"/>
    <cellStyle name="Normale" xfId="6694"/>
    <cellStyle name="Normale 2" xfId="6695"/>
    <cellStyle name="OS0023" xfId="6697"/>
    <cellStyle name="OS0023 2" xfId="6698"/>
    <cellStyle name="Pattern" xfId="6699"/>
    <cellStyle name="Pattern 2" xfId="6700"/>
    <cellStyle name="Pourcentage" xfId="2" builtinId="5"/>
    <cellStyle name="Pourcentage 10" xfId="6701"/>
    <cellStyle name="Pourcentage 10 2" xfId="6702"/>
    <cellStyle name="Pourcentage 10 2 2" xfId="6703"/>
    <cellStyle name="Pourcentage 10 3" xfId="6704"/>
    <cellStyle name="Pourcentage 10 3 2" xfId="6705"/>
    <cellStyle name="Pourcentage 10 4" xfId="6706"/>
    <cellStyle name="Pourcentage 11" xfId="6707"/>
    <cellStyle name="Pourcentage 11 2" xfId="6708"/>
    <cellStyle name="Pourcentage 11 2 2" xfId="6709"/>
    <cellStyle name="Pourcentage 11 3" xfId="6710"/>
    <cellStyle name="Pourcentage 12" xfId="6711"/>
    <cellStyle name="Pourcentage 12 2" xfId="6712"/>
    <cellStyle name="Pourcentage 12 2 2" xfId="6713"/>
    <cellStyle name="Pourcentage 12 3" xfId="6714"/>
    <cellStyle name="Pourcentage 13" xfId="6715"/>
    <cellStyle name="Pourcentage 13 2" xfId="6716"/>
    <cellStyle name="Pourcentage 13 2 2" xfId="6717"/>
    <cellStyle name="Pourcentage 13 3" xfId="6718"/>
    <cellStyle name="Pourcentage 14" xfId="6719"/>
    <cellStyle name="Pourcentage 14 2" xfId="6720"/>
    <cellStyle name="Pourcentage 15" xfId="6721"/>
    <cellStyle name="Pourcentage 15 2" xfId="6722"/>
    <cellStyle name="Pourcentage 16" xfId="6723"/>
    <cellStyle name="Pourcentage 17" xfId="6724"/>
    <cellStyle name="Pourcentage 2" xfId="6725"/>
    <cellStyle name="Pourcentage 2 10" xfId="6726"/>
    <cellStyle name="Pourcentage 2 10 2" xfId="6727"/>
    <cellStyle name="Pourcentage 2 11" xfId="6728"/>
    <cellStyle name="Pourcentage 2 11 2" xfId="6729"/>
    <cellStyle name="Pourcentage 2 12" xfId="6730"/>
    <cellStyle name="Pourcentage 2 12 2" xfId="6731"/>
    <cellStyle name="Pourcentage 2 13" xfId="6732"/>
    <cellStyle name="Pourcentage 2 13 2" xfId="6733"/>
    <cellStyle name="Pourcentage 2 14" xfId="6734"/>
    <cellStyle name="Pourcentage 2 14 2" xfId="6735"/>
    <cellStyle name="Pourcentage 2 14 2 2" xfId="6736"/>
    <cellStyle name="Pourcentage 2 14 3" xfId="6737"/>
    <cellStyle name="Pourcentage 2 15" xfId="6738"/>
    <cellStyle name="Pourcentage 2 15 2" xfId="6739"/>
    <cellStyle name="Pourcentage 2 16" xfId="6740"/>
    <cellStyle name="Pourcentage 2 16 2" xfId="6741"/>
    <cellStyle name="Pourcentage 2 17" xfId="6742"/>
    <cellStyle name="Pourcentage 2 2" xfId="6743"/>
    <cellStyle name="Pourcentage 2 2 2" xfId="6744"/>
    <cellStyle name="Pourcentage 2 2 2 2" xfId="6745"/>
    <cellStyle name="Pourcentage 2 2 2 2 2" xfId="6746"/>
    <cellStyle name="Pourcentage 2 2 2 3" xfId="6747"/>
    <cellStyle name="Pourcentage 2 2 3" xfId="6748"/>
    <cellStyle name="Pourcentage 2 3" xfId="6749"/>
    <cellStyle name="Pourcentage 2 3 2" xfId="6750"/>
    <cellStyle name="Pourcentage 2 4" xfId="6751"/>
    <cellStyle name="Pourcentage 2 4 2" xfId="6752"/>
    <cellStyle name="Pourcentage 2 5" xfId="6753"/>
    <cellStyle name="Pourcentage 2 5 2" xfId="6754"/>
    <cellStyle name="Pourcentage 2 6" xfId="6755"/>
    <cellStyle name="Pourcentage 2 6 2" xfId="6756"/>
    <cellStyle name="Pourcentage 2 7" xfId="6757"/>
    <cellStyle name="Pourcentage 2 7 2" xfId="6758"/>
    <cellStyle name="Pourcentage 2 8" xfId="6759"/>
    <cellStyle name="Pourcentage 2 8 2" xfId="6760"/>
    <cellStyle name="Pourcentage 2 9" xfId="6761"/>
    <cellStyle name="Pourcentage 2 9 2" xfId="6762"/>
    <cellStyle name="Pourcentage 3" xfId="6763"/>
    <cellStyle name="Pourcentage 3 10" xfId="6764"/>
    <cellStyle name="Pourcentage 3 10 2" xfId="6765"/>
    <cellStyle name="Pourcentage 3 11" xfId="6766"/>
    <cellStyle name="Pourcentage 3 11 2" xfId="6767"/>
    <cellStyle name="Pourcentage 3 12" xfId="6768"/>
    <cellStyle name="Pourcentage 3 12 2" xfId="6769"/>
    <cellStyle name="Pourcentage 3 13" xfId="6770"/>
    <cellStyle name="Pourcentage 3 13 2" xfId="6771"/>
    <cellStyle name="Pourcentage 3 14" xfId="6772"/>
    <cellStyle name="Pourcentage 3 2" xfId="6773"/>
    <cellStyle name="Pourcentage 3 2 2" xfId="6774"/>
    <cellStyle name="Pourcentage 3 2 2 2" xfId="6775"/>
    <cellStyle name="Pourcentage 3 2 3" xfId="6776"/>
    <cellStyle name="Pourcentage 3 3" xfId="6777"/>
    <cellStyle name="Pourcentage 3 3 2" xfId="6778"/>
    <cellStyle name="Pourcentage 3 4" xfId="6779"/>
    <cellStyle name="Pourcentage 3 4 2" xfId="6780"/>
    <cellStyle name="Pourcentage 3 5" xfId="6781"/>
    <cellStyle name="Pourcentage 3 5 2" xfId="6782"/>
    <cellStyle name="Pourcentage 3 6" xfId="6783"/>
    <cellStyle name="Pourcentage 3 6 2" xfId="6784"/>
    <cellStyle name="Pourcentage 3 7" xfId="6785"/>
    <cellStyle name="Pourcentage 3 7 2" xfId="6786"/>
    <cellStyle name="Pourcentage 3 8" xfId="6787"/>
    <cellStyle name="Pourcentage 3 8 2" xfId="6788"/>
    <cellStyle name="Pourcentage 3 9" xfId="6789"/>
    <cellStyle name="Pourcentage 3 9 2" xfId="6790"/>
    <cellStyle name="Pourcentage 4" xfId="6791"/>
    <cellStyle name="Pourcentage 4 10" xfId="6792"/>
    <cellStyle name="Pourcentage 4 10 2" xfId="6793"/>
    <cellStyle name="Pourcentage 4 11" xfId="6794"/>
    <cellStyle name="Pourcentage 4 11 2" xfId="6795"/>
    <cellStyle name="Pourcentage 4 12" xfId="6796"/>
    <cellStyle name="Pourcentage 4 12 2" xfId="6797"/>
    <cellStyle name="Pourcentage 4 13" xfId="6798"/>
    <cellStyle name="Pourcentage 4 13 2" xfId="6799"/>
    <cellStyle name="Pourcentage 4 14" xfId="6800"/>
    <cellStyle name="Pourcentage 4 2" xfId="6801"/>
    <cellStyle name="Pourcentage 4 2 2" xfId="6802"/>
    <cellStyle name="Pourcentage 4 2 2 2" xfId="6803"/>
    <cellStyle name="Pourcentage 4 2 3" xfId="6804"/>
    <cellStyle name="Pourcentage 4 3" xfId="6805"/>
    <cellStyle name="Pourcentage 4 3 2" xfId="6806"/>
    <cellStyle name="Pourcentage 4 4" xfId="6807"/>
    <cellStyle name="Pourcentage 4 4 2" xfId="6808"/>
    <cellStyle name="Pourcentage 4 5" xfId="6809"/>
    <cellStyle name="Pourcentage 4 5 2" xfId="6810"/>
    <cellStyle name="Pourcentage 4 6" xfId="6811"/>
    <cellStyle name="Pourcentage 4 6 2" xfId="6812"/>
    <cellStyle name="Pourcentage 4 7" xfId="6813"/>
    <cellStyle name="Pourcentage 4 7 2" xfId="6814"/>
    <cellStyle name="Pourcentage 4 8" xfId="6815"/>
    <cellStyle name="Pourcentage 4 8 2" xfId="6816"/>
    <cellStyle name="Pourcentage 4 9" xfId="6817"/>
    <cellStyle name="Pourcentage 4 9 2" xfId="6818"/>
    <cellStyle name="Pourcentage 5" xfId="6819"/>
    <cellStyle name="Pourcentage 5 10" xfId="6820"/>
    <cellStyle name="Pourcentage 5 10 2" xfId="6821"/>
    <cellStyle name="Pourcentage 5 11" xfId="6822"/>
    <cellStyle name="Pourcentage 5 11 2" xfId="6823"/>
    <cellStyle name="Pourcentage 5 12" xfId="6824"/>
    <cellStyle name="Pourcentage 5 12 2" xfId="6825"/>
    <cellStyle name="Pourcentage 5 13" xfId="6826"/>
    <cellStyle name="Pourcentage 5 13 2" xfId="6827"/>
    <cellStyle name="Pourcentage 5 14" xfId="6828"/>
    <cellStyle name="Pourcentage 5 2" xfId="6829"/>
    <cellStyle name="Pourcentage 5 2 2" xfId="6830"/>
    <cellStyle name="Pourcentage 5 2 2 2" xfId="6831"/>
    <cellStyle name="Pourcentage 5 2 3" xfId="6832"/>
    <cellStyle name="Pourcentage 5 3" xfId="6833"/>
    <cellStyle name="Pourcentage 5 3 2" xfId="6834"/>
    <cellStyle name="Pourcentage 5 4" xfId="6835"/>
    <cellStyle name="Pourcentage 5 4 2" xfId="6836"/>
    <cellStyle name="Pourcentage 5 5" xfId="6837"/>
    <cellStyle name="Pourcentage 5 5 2" xfId="6838"/>
    <cellStyle name="Pourcentage 5 6" xfId="6839"/>
    <cellStyle name="Pourcentage 5 6 2" xfId="6840"/>
    <cellStyle name="Pourcentage 5 7" xfId="6841"/>
    <cellStyle name="Pourcentage 5 7 2" xfId="6842"/>
    <cellStyle name="Pourcentage 5 8" xfId="6843"/>
    <cellStyle name="Pourcentage 5 8 2" xfId="6844"/>
    <cellStyle name="Pourcentage 5 9" xfId="6845"/>
    <cellStyle name="Pourcentage 5 9 2" xfId="6846"/>
    <cellStyle name="Pourcentage 6" xfId="6847"/>
    <cellStyle name="Pourcentage 6 10" xfId="6848"/>
    <cellStyle name="Pourcentage 6 10 2" xfId="6849"/>
    <cellStyle name="Pourcentage 6 11" xfId="6850"/>
    <cellStyle name="Pourcentage 6 11 2" xfId="6851"/>
    <cellStyle name="Pourcentage 6 12" xfId="6852"/>
    <cellStyle name="Pourcentage 6 12 2" xfId="6853"/>
    <cellStyle name="Pourcentage 6 13" xfId="6854"/>
    <cellStyle name="Pourcentage 6 13 2" xfId="6855"/>
    <cellStyle name="Pourcentage 6 14" xfId="6856"/>
    <cellStyle name="Pourcentage 6 2" xfId="6857"/>
    <cellStyle name="Pourcentage 6 2 2" xfId="6858"/>
    <cellStyle name="Pourcentage 6 2 2 2" xfId="6859"/>
    <cellStyle name="Pourcentage 6 2 3" xfId="6860"/>
    <cellStyle name="Pourcentage 6 3" xfId="6861"/>
    <cellStyle name="Pourcentage 6 3 2" xfId="6862"/>
    <cellStyle name="Pourcentage 6 4" xfId="6863"/>
    <cellStyle name="Pourcentage 6 4 2" xfId="6864"/>
    <cellStyle name="Pourcentage 6 5" xfId="6865"/>
    <cellStyle name="Pourcentage 6 5 2" xfId="6866"/>
    <cellStyle name="Pourcentage 6 6" xfId="6867"/>
    <cellStyle name="Pourcentage 6 6 2" xfId="6868"/>
    <cellStyle name="Pourcentage 6 7" xfId="6869"/>
    <cellStyle name="Pourcentage 6 7 2" xfId="6870"/>
    <cellStyle name="Pourcentage 6 8" xfId="6871"/>
    <cellStyle name="Pourcentage 6 8 2" xfId="6872"/>
    <cellStyle name="Pourcentage 6 9" xfId="6873"/>
    <cellStyle name="Pourcentage 6 9 2" xfId="6874"/>
    <cellStyle name="Pourcentage 7" xfId="6875"/>
    <cellStyle name="Pourcentage 7 2" xfId="6876"/>
    <cellStyle name="Pourcentage 7 2 2" xfId="6877"/>
    <cellStyle name="Pourcentage 7 2 2 2" xfId="6878"/>
    <cellStyle name="Pourcentage 7 2 3" xfId="6879"/>
    <cellStyle name="Pourcentage 7 2 3 2" xfId="6880"/>
    <cellStyle name="Pourcentage 7 2 4" xfId="6881"/>
    <cellStyle name="Pourcentage 7 3" xfId="6882"/>
    <cellStyle name="Pourcentage 7 3 2" xfId="6883"/>
    <cellStyle name="Pourcentage 7 3 2 2" xfId="6884"/>
    <cellStyle name="Pourcentage 7 3 3" xfId="6885"/>
    <cellStyle name="Pourcentage 7 3 3 2" xfId="6886"/>
    <cellStyle name="Pourcentage 7 3 4" xfId="6887"/>
    <cellStyle name="Pourcentage 7 4" xfId="6888"/>
    <cellStyle name="Pourcentage 7 4 2" xfId="6889"/>
    <cellStyle name="Pourcentage 7 4 2 2" xfId="6890"/>
    <cellStyle name="Pourcentage 7 4 3" xfId="6891"/>
    <cellStyle name="Pourcentage 7 5" xfId="6892"/>
    <cellStyle name="Pourcentage 7 5 2" xfId="6893"/>
    <cellStyle name="Pourcentage 7 6" xfId="6894"/>
    <cellStyle name="Pourcentage 7 6 2" xfId="6895"/>
    <cellStyle name="Pourcentage 7 7" xfId="6896"/>
    <cellStyle name="Pourcentage 8" xfId="6897"/>
    <cellStyle name="Pourcentage 8 2" xfId="6898"/>
    <cellStyle name="Pourcentage 8 2 2" xfId="6899"/>
    <cellStyle name="Pourcentage 8 2 2 2" xfId="6900"/>
    <cellStyle name="Pourcentage 8 2 3" xfId="6901"/>
    <cellStyle name="Pourcentage 8 3" xfId="6902"/>
    <cellStyle name="Pourcentage 8 3 2" xfId="6903"/>
    <cellStyle name="Pourcentage 8 3 2 2" xfId="6904"/>
    <cellStyle name="Pourcentage 8 3 3" xfId="6905"/>
    <cellStyle name="Pourcentage 8 4" xfId="6906"/>
    <cellStyle name="Pourcentage 8 4 2" xfId="6907"/>
    <cellStyle name="Pourcentage 8 5" xfId="6908"/>
    <cellStyle name="Pourcentage 9" xfId="6909"/>
    <cellStyle name="Pourcentage 9 2" xfId="6910"/>
    <cellStyle name="Pourcentage 9 2 2" xfId="6911"/>
    <cellStyle name="Pourcentage 9 3" xfId="6912"/>
    <cellStyle name="Pourcentage 9 3 2" xfId="6913"/>
    <cellStyle name="Pourcentage 9 4" xfId="6914"/>
    <cellStyle name="Pourcentage 9 4 2" xfId="6915"/>
    <cellStyle name="Pourcentage 9 5" xfId="6916"/>
    <cellStyle name="Pourcentage 9 5 2" xfId="6917"/>
    <cellStyle name="Pourcentage 9 6" xfId="6918"/>
    <cellStyle name="Proposal_niv1" xfId="6919"/>
    <cellStyle name="SAPBEXaggData" xfId="6920"/>
    <cellStyle name="SAPBEXaggData 2" xfId="6921"/>
    <cellStyle name="SAPBEXaggDataEmph" xfId="6922"/>
    <cellStyle name="SAPBEXaggDataEmph 2" xfId="6923"/>
    <cellStyle name="SAPBEXaggItem" xfId="6924"/>
    <cellStyle name="SAPBEXaggItem 2" xfId="6925"/>
    <cellStyle name="SAPBEXaggItemX" xfId="6926"/>
    <cellStyle name="SAPBEXaggItemX 2" xfId="6927"/>
    <cellStyle name="SAPBEXchaText" xfId="6928"/>
    <cellStyle name="SAPBEXchaText 2" xfId="6929"/>
    <cellStyle name="SAPBEXexcBad7" xfId="6930"/>
    <cellStyle name="SAPBEXexcBad7 2" xfId="6931"/>
    <cellStyle name="SAPBEXexcBad8" xfId="6932"/>
    <cellStyle name="SAPBEXexcBad8 2" xfId="6933"/>
    <cellStyle name="SAPBEXexcBad9" xfId="6934"/>
    <cellStyle name="SAPBEXexcBad9 2" xfId="6935"/>
    <cellStyle name="SAPBEXexcCritical4" xfId="6936"/>
    <cellStyle name="SAPBEXexcCritical4 2" xfId="6937"/>
    <cellStyle name="SAPBEXexcCritical5" xfId="6938"/>
    <cellStyle name="SAPBEXexcCritical5 2" xfId="6939"/>
    <cellStyle name="SAPBEXexcCritical6" xfId="6940"/>
    <cellStyle name="SAPBEXexcCritical6 2" xfId="6941"/>
    <cellStyle name="SAPBEXexcGood1" xfId="6942"/>
    <cellStyle name="SAPBEXexcGood1 2" xfId="6943"/>
    <cellStyle name="SAPBEXexcGood2" xfId="6944"/>
    <cellStyle name="SAPBEXexcGood2 2" xfId="6945"/>
    <cellStyle name="SAPBEXexcGood3" xfId="6946"/>
    <cellStyle name="SAPBEXexcGood3 2" xfId="6947"/>
    <cellStyle name="SAPBEXfilterDrill" xfId="6948"/>
    <cellStyle name="SAPBEXfilterDrill 2" xfId="6949"/>
    <cellStyle name="SAPBEXfilterItem" xfId="6950"/>
    <cellStyle name="SAPBEXfilterItem 2" xfId="6951"/>
    <cellStyle name="SAPBEXfilterText" xfId="6952"/>
    <cellStyle name="SAPBEXfilterText 2" xfId="6953"/>
    <cellStyle name="SAPBEXformats" xfId="6954"/>
    <cellStyle name="SAPBEXformats 2" xfId="6955"/>
    <cellStyle name="SAPBEXheaderItem" xfId="6956"/>
    <cellStyle name="SAPBEXheaderItem 2" xfId="6957"/>
    <cellStyle name="SAPBEXheaderText" xfId="6958"/>
    <cellStyle name="SAPBEXheaderText 2" xfId="6959"/>
    <cellStyle name="SAPBEXHLevel0" xfId="6960"/>
    <cellStyle name="SAPBEXHLevel0 2" xfId="6961"/>
    <cellStyle name="SAPBEXHLevel0X" xfId="6962"/>
    <cellStyle name="SAPBEXHLevel0X 2" xfId="6963"/>
    <cellStyle name="SAPBEXHLevel1" xfId="6964"/>
    <cellStyle name="SAPBEXHLevel1 2" xfId="6965"/>
    <cellStyle name="SAPBEXHLevel1X" xfId="6966"/>
    <cellStyle name="SAPBEXHLevel1X 2" xfId="6967"/>
    <cellStyle name="SAPBEXHLevel2" xfId="6968"/>
    <cellStyle name="SAPBEXHLevel2 2" xfId="6969"/>
    <cellStyle name="SAPBEXHLevel2X" xfId="6970"/>
    <cellStyle name="SAPBEXHLevel2X 2" xfId="6971"/>
    <cellStyle name="SAPBEXHLevel3" xfId="6972"/>
    <cellStyle name="SAPBEXHLevel3 2" xfId="6973"/>
    <cellStyle name="SAPBEXHLevel3X" xfId="6974"/>
    <cellStyle name="SAPBEXHLevel3X 2" xfId="6975"/>
    <cellStyle name="SAPBEXresData" xfId="6976"/>
    <cellStyle name="SAPBEXresData 2" xfId="6977"/>
    <cellStyle name="SAPBEXresDataEmph" xfId="6978"/>
    <cellStyle name="SAPBEXresDataEmph 2" xfId="6979"/>
    <cellStyle name="SAPBEXresItem" xfId="6980"/>
    <cellStyle name="SAPBEXresItem 2" xfId="6981"/>
    <cellStyle name="SAPBEXresItemX" xfId="6982"/>
    <cellStyle name="SAPBEXresItemX 2" xfId="6983"/>
    <cellStyle name="SAPBEXstdData" xfId="6984"/>
    <cellStyle name="SAPBEXstdData 2" xfId="6985"/>
    <cellStyle name="SAPBEXstdDataEmph" xfId="6986"/>
    <cellStyle name="SAPBEXstdDataEmph 2" xfId="6987"/>
    <cellStyle name="SAPBEXstdItem" xfId="6988"/>
    <cellStyle name="SAPBEXstdItem 2" xfId="6989"/>
    <cellStyle name="SAPBEXstdItemX" xfId="6990"/>
    <cellStyle name="SAPBEXstdItemX 2" xfId="6991"/>
    <cellStyle name="SAPBEXtitle" xfId="6992"/>
    <cellStyle name="SAPBEXtitle 2" xfId="6993"/>
    <cellStyle name="SAPBEXundefined" xfId="6994"/>
    <cellStyle name="SAPBEXundefined 2" xfId="6995"/>
    <cellStyle name="Satisfaisant 10" xfId="6996"/>
    <cellStyle name="Satisfaisant 10 2" xfId="6997"/>
    <cellStyle name="Satisfaisant 11" xfId="6998"/>
    <cellStyle name="Satisfaisant 11 2" xfId="6999"/>
    <cellStyle name="Satisfaisant 11 2 2" xfId="7000"/>
    <cellStyle name="Satisfaisant 11 3" xfId="7001"/>
    <cellStyle name="Satisfaisant 11 3 2" xfId="7002"/>
    <cellStyle name="Satisfaisant 11 4" xfId="7003"/>
    <cellStyle name="Satisfaisant 11 4 2" xfId="7004"/>
    <cellStyle name="Satisfaisant 11 5" xfId="7005"/>
    <cellStyle name="Satisfaisant 12" xfId="7006"/>
    <cellStyle name="Satisfaisant 12 2" xfId="7007"/>
    <cellStyle name="Satisfaisant 12 2 2" xfId="7008"/>
    <cellStyle name="Satisfaisant 12 3" xfId="7009"/>
    <cellStyle name="Satisfaisant 12 3 2" xfId="7010"/>
    <cellStyle name="Satisfaisant 12 4" xfId="7011"/>
    <cellStyle name="Satisfaisant 13" xfId="7012"/>
    <cellStyle name="Satisfaisant 13 2" xfId="7013"/>
    <cellStyle name="Satisfaisant 14" xfId="7014"/>
    <cellStyle name="Satisfaisant 14 2" xfId="7015"/>
    <cellStyle name="Satisfaisant 15" xfId="7016"/>
    <cellStyle name="Satisfaisant 15 2" xfId="7017"/>
    <cellStyle name="Satisfaisant 2" xfId="7018"/>
    <cellStyle name="Satisfaisant 2 2" xfId="7019"/>
    <cellStyle name="Satisfaisant 2 2 2" xfId="7020"/>
    <cellStyle name="Satisfaisant 2 3" xfId="7021"/>
    <cellStyle name="Satisfaisant 2 3 2" xfId="7022"/>
    <cellStyle name="Satisfaisant 2 4" xfId="7023"/>
    <cellStyle name="Satisfaisant 2 4 2" xfId="7024"/>
    <cellStyle name="Satisfaisant 2 5" xfId="7025"/>
    <cellStyle name="Satisfaisant 3" xfId="7026"/>
    <cellStyle name="Satisfaisant 3 2" xfId="7027"/>
    <cellStyle name="Satisfaisant 3 2 2" xfId="7028"/>
    <cellStyle name="Satisfaisant 3 3" xfId="7029"/>
    <cellStyle name="Satisfaisant 3 3 2" xfId="7030"/>
    <cellStyle name="Satisfaisant 3 4" xfId="7031"/>
    <cellStyle name="Satisfaisant 3 4 2" xfId="7032"/>
    <cellStyle name="Satisfaisant 3 5" xfId="7033"/>
    <cellStyle name="Satisfaisant 4" xfId="7034"/>
    <cellStyle name="Satisfaisant 4 2" xfId="7035"/>
    <cellStyle name="Satisfaisant 4 2 2" xfId="7036"/>
    <cellStyle name="Satisfaisant 4 3" xfId="7037"/>
    <cellStyle name="Satisfaisant 4 3 2" xfId="7038"/>
    <cellStyle name="Satisfaisant 4 4" xfId="7039"/>
    <cellStyle name="Satisfaisant 4 4 2" xfId="7040"/>
    <cellStyle name="Satisfaisant 4 5" xfId="7041"/>
    <cellStyle name="Satisfaisant 5" xfId="7042"/>
    <cellStyle name="Satisfaisant 5 2" xfId="7043"/>
    <cellStyle name="Satisfaisant 5 2 2" xfId="7044"/>
    <cellStyle name="Satisfaisant 5 3" xfId="7045"/>
    <cellStyle name="Satisfaisant 6" xfId="7046"/>
    <cellStyle name="Satisfaisant 6 2" xfId="7047"/>
    <cellStyle name="Satisfaisant 6 2 2" xfId="7048"/>
    <cellStyle name="Satisfaisant 6 3" xfId="7049"/>
    <cellStyle name="Satisfaisant 7" xfId="7050"/>
    <cellStyle name="Satisfaisant 7 2" xfId="7051"/>
    <cellStyle name="Satisfaisant 8" xfId="7052"/>
    <cellStyle name="Satisfaisant 8 2" xfId="7053"/>
    <cellStyle name="Satisfaisant 9" xfId="7054"/>
    <cellStyle name="Satisfaisant 9 2" xfId="7055"/>
    <cellStyle name="Scenario" xfId="7056"/>
    <cellStyle name="Scenario 2" xfId="7057"/>
    <cellStyle name="Shade" xfId="7058"/>
    <cellStyle name="Shade 2" xfId="7059"/>
    <cellStyle name="Sortie 10" xfId="7060"/>
    <cellStyle name="Sortie 10 2" xfId="7061"/>
    <cellStyle name="Sortie 11" xfId="7062"/>
    <cellStyle name="Sortie 11 2" xfId="7063"/>
    <cellStyle name="Sortie 11 2 2" xfId="7064"/>
    <cellStyle name="Sortie 11 3" xfId="7065"/>
    <cellStyle name="Sortie 11 3 2" xfId="7066"/>
    <cellStyle name="Sortie 11 4" xfId="7067"/>
    <cellStyle name="Sortie 11 4 2" xfId="7068"/>
    <cellStyle name="Sortie 11 5" xfId="7069"/>
    <cellStyle name="Sortie 12" xfId="7070"/>
    <cellStyle name="Sortie 12 2" xfId="7071"/>
    <cellStyle name="Sortie 12 2 2" xfId="7072"/>
    <cellStyle name="Sortie 12 3" xfId="7073"/>
    <cellStyle name="Sortie 12 3 2" xfId="7074"/>
    <cellStyle name="Sortie 12 4" xfId="7075"/>
    <cellStyle name="Sortie 13" xfId="7076"/>
    <cellStyle name="Sortie 13 2" xfId="7077"/>
    <cellStyle name="Sortie 14" xfId="7078"/>
    <cellStyle name="Sortie 14 2" xfId="7079"/>
    <cellStyle name="Sortie 15" xfId="7080"/>
    <cellStyle name="Sortie 15 2" xfId="7081"/>
    <cellStyle name="Sortie 2" xfId="7082"/>
    <cellStyle name="Sortie 2 2" xfId="7083"/>
    <cellStyle name="Sortie 2 2 2" xfId="7084"/>
    <cellStyle name="Sortie 2 3" xfId="7085"/>
    <cellStyle name="Sortie 2 3 2" xfId="7086"/>
    <cellStyle name="Sortie 2 4" xfId="7087"/>
    <cellStyle name="Sortie 2 4 2" xfId="7088"/>
    <cellStyle name="Sortie 2 5" xfId="7089"/>
    <cellStyle name="Sortie 3" xfId="7090"/>
    <cellStyle name="Sortie 3 2" xfId="7091"/>
    <cellStyle name="Sortie 3 2 2" xfId="7092"/>
    <cellStyle name="Sortie 3 3" xfId="7093"/>
    <cellStyle name="Sortie 3 3 2" xfId="7094"/>
    <cellStyle name="Sortie 3 4" xfId="7095"/>
    <cellStyle name="Sortie 3 4 2" xfId="7096"/>
    <cellStyle name="Sortie 3 5" xfId="7097"/>
    <cellStyle name="Sortie 4" xfId="7098"/>
    <cellStyle name="Sortie 4 2" xfId="7099"/>
    <cellStyle name="Sortie 4 2 2" xfId="7100"/>
    <cellStyle name="Sortie 4 3" xfId="7101"/>
    <cellStyle name="Sortie 4 3 2" xfId="7102"/>
    <cellStyle name="Sortie 4 4" xfId="7103"/>
    <cellStyle name="Sortie 4 4 2" xfId="7104"/>
    <cellStyle name="Sortie 4 5" xfId="7105"/>
    <cellStyle name="Sortie 5" xfId="7106"/>
    <cellStyle name="Sortie 5 2" xfId="7107"/>
    <cellStyle name="Sortie 5 2 2" xfId="7108"/>
    <cellStyle name="Sortie 5 3" xfId="7109"/>
    <cellStyle name="Sortie 6" xfId="7110"/>
    <cellStyle name="Sortie 6 2" xfId="7111"/>
    <cellStyle name="Sortie 7" xfId="7112"/>
    <cellStyle name="Sortie 7 2" xfId="7113"/>
    <cellStyle name="Sortie 8" xfId="7114"/>
    <cellStyle name="Sortie 8 2" xfId="7115"/>
    <cellStyle name="Sortie 9" xfId="7116"/>
    <cellStyle name="Sortie 9 2" xfId="7117"/>
    <cellStyle name="Standaard_System" xfId="7118"/>
    <cellStyle name="Standard 2" xfId="7119"/>
    <cellStyle name="Standard 2 2" xfId="7120"/>
    <cellStyle name="Standard 3" xfId="7121"/>
    <cellStyle name="Standard 3 10" xfId="7122"/>
    <cellStyle name="Standard 3 10 2" xfId="7123"/>
    <cellStyle name="Standard 3 11" xfId="7124"/>
    <cellStyle name="Standard 3 11 2" xfId="7125"/>
    <cellStyle name="Standard 3 12" xfId="7126"/>
    <cellStyle name="Standard 3 12 2" xfId="7127"/>
    <cellStyle name="Standard 3 13" xfId="7128"/>
    <cellStyle name="Standard 3 13 2" xfId="7129"/>
    <cellStyle name="Standard 3 14" xfId="7130"/>
    <cellStyle name="Standard 3 2" xfId="7131"/>
    <cellStyle name="Standard 3 2 2" xfId="7132"/>
    <cellStyle name="Standard 3 3" xfId="7133"/>
    <cellStyle name="Standard 3 3 2" xfId="7134"/>
    <cellStyle name="Standard 3 4" xfId="7135"/>
    <cellStyle name="Standard 3 4 2" xfId="7136"/>
    <cellStyle name="Standard 3 5" xfId="7137"/>
    <cellStyle name="Standard 3 5 2" xfId="7138"/>
    <cellStyle name="Standard 3 6" xfId="7139"/>
    <cellStyle name="Standard 3 6 2" xfId="7140"/>
    <cellStyle name="Standard 3 7" xfId="7141"/>
    <cellStyle name="Standard 3 7 2" xfId="7142"/>
    <cellStyle name="Standard 3 8" xfId="7143"/>
    <cellStyle name="Standard 3 8 2" xfId="7144"/>
    <cellStyle name="Standard 3 9" xfId="7145"/>
    <cellStyle name="Standard 3 9 2" xfId="7146"/>
    <cellStyle name="Standard_Budget 2006 WWW_new" xfId="7147"/>
    <cellStyle name="TableHead" xfId="7148"/>
    <cellStyle name="TableHead 2" xfId="7149"/>
    <cellStyle name="Texte explicatif 10" xfId="7150"/>
    <cellStyle name="Texte explicatif 10 2" xfId="7151"/>
    <cellStyle name="Texte explicatif 11" xfId="7152"/>
    <cellStyle name="Texte explicatif 11 2" xfId="7153"/>
    <cellStyle name="Texte explicatif 11 2 2" xfId="7154"/>
    <cellStyle name="Texte explicatif 11 3" xfId="7155"/>
    <cellStyle name="Texte explicatif 12" xfId="7156"/>
    <cellStyle name="Texte explicatif 12 2" xfId="7157"/>
    <cellStyle name="Texte explicatif 13" xfId="7158"/>
    <cellStyle name="Texte explicatif 13 2" xfId="7159"/>
    <cellStyle name="Texte explicatif 2" xfId="7160"/>
    <cellStyle name="Texte explicatif 2 2" xfId="7161"/>
    <cellStyle name="Texte explicatif 2 2 2" xfId="7162"/>
    <cellStyle name="Texte explicatif 2 3" xfId="7163"/>
    <cellStyle name="Texte explicatif 2 3 2" xfId="7164"/>
    <cellStyle name="Texte explicatif 2 4" xfId="7165"/>
    <cellStyle name="Texte explicatif 2 4 2" xfId="7166"/>
    <cellStyle name="Texte explicatif 2 5" xfId="7167"/>
    <cellStyle name="Texte explicatif 3" xfId="7168"/>
    <cellStyle name="Texte explicatif 3 2" xfId="7169"/>
    <cellStyle name="Texte explicatif 3 2 2" xfId="7170"/>
    <cellStyle name="Texte explicatif 3 3" xfId="7171"/>
    <cellStyle name="Texte explicatif 3 3 2" xfId="7172"/>
    <cellStyle name="Texte explicatif 3 4" xfId="7173"/>
    <cellStyle name="Texte explicatif 3 4 2" xfId="7174"/>
    <cellStyle name="Texte explicatif 3 5" xfId="7175"/>
    <cellStyle name="Texte explicatif 4" xfId="7176"/>
    <cellStyle name="Texte explicatif 4 2" xfId="7177"/>
    <cellStyle name="Texte explicatif 4 2 2" xfId="7178"/>
    <cellStyle name="Texte explicatif 4 3" xfId="7179"/>
    <cellStyle name="Texte explicatif 4 3 2" xfId="7180"/>
    <cellStyle name="Texte explicatif 4 4" xfId="7181"/>
    <cellStyle name="Texte explicatif 4 4 2" xfId="7182"/>
    <cellStyle name="Texte explicatif 4 5" xfId="7183"/>
    <cellStyle name="Texte explicatif 5" xfId="7184"/>
    <cellStyle name="Texte explicatif 5 2" xfId="7185"/>
    <cellStyle name="Texte explicatif 5 2 2" xfId="7186"/>
    <cellStyle name="Texte explicatif 5 3" xfId="7187"/>
    <cellStyle name="Texte explicatif 6" xfId="7188"/>
    <cellStyle name="Texte explicatif 6 2" xfId="7189"/>
    <cellStyle name="Texte explicatif 7" xfId="7190"/>
    <cellStyle name="Texte explicatif 7 2" xfId="7191"/>
    <cellStyle name="Texte explicatif 8" xfId="7192"/>
    <cellStyle name="Texte explicatif 8 2" xfId="7193"/>
    <cellStyle name="Texte explicatif 9" xfId="7194"/>
    <cellStyle name="Texte explicatif 9 2" xfId="7195"/>
    <cellStyle name="Title" xfId="7196"/>
    <cellStyle name="Title 2" xfId="7197"/>
    <cellStyle name="Titre 1" xfId="7198"/>
    <cellStyle name="Titre 1 2" xfId="7199"/>
    <cellStyle name="Titre 10" xfId="7200"/>
    <cellStyle name="Titre 10 2" xfId="7201"/>
    <cellStyle name="Titre 11" xfId="7202"/>
    <cellStyle name="Titre 11 2" xfId="7203"/>
    <cellStyle name="Titre 11 2 2" xfId="7204"/>
    <cellStyle name="Titre 11 3" xfId="7205"/>
    <cellStyle name="Titre 11 3 2" xfId="7206"/>
    <cellStyle name="Titre 11 4" xfId="7207"/>
    <cellStyle name="Titre 11 4 2" xfId="7208"/>
    <cellStyle name="Titre 11 5" xfId="7209"/>
    <cellStyle name="Titre 12" xfId="7210"/>
    <cellStyle name="Titre 12 2" xfId="7211"/>
    <cellStyle name="Titre 12 2 2" xfId="7212"/>
    <cellStyle name="Titre 12 3" xfId="7213"/>
    <cellStyle name="Titre 12 3 2" xfId="7214"/>
    <cellStyle name="Titre 12 4" xfId="7215"/>
    <cellStyle name="Titre 13" xfId="7216"/>
    <cellStyle name="Titre 13 2" xfId="7217"/>
    <cellStyle name="Titre 14" xfId="7218"/>
    <cellStyle name="Titre 14 2" xfId="7219"/>
    <cellStyle name="Titre 15" xfId="7220"/>
    <cellStyle name="Titre 15 2" xfId="7221"/>
    <cellStyle name="Titre 2" xfId="7222"/>
    <cellStyle name="Titre 2 2" xfId="7223"/>
    <cellStyle name="Titre 2 2 2" xfId="7224"/>
    <cellStyle name="Titre 2 3" xfId="7225"/>
    <cellStyle name="Titre 2 3 2" xfId="7226"/>
    <cellStyle name="Titre 2 4" xfId="7227"/>
    <cellStyle name="Titre 2 4 2" xfId="7228"/>
    <cellStyle name="Titre 2 5" xfId="7229"/>
    <cellStyle name="Titre 3" xfId="7230"/>
    <cellStyle name="Titre 3 2" xfId="7231"/>
    <cellStyle name="Titre 3 2 2" xfId="7232"/>
    <cellStyle name="Titre 3 3" xfId="7233"/>
    <cellStyle name="Titre 3 3 2" xfId="7234"/>
    <cellStyle name="Titre 3 4" xfId="7235"/>
    <cellStyle name="Titre 3 4 2" xfId="7236"/>
    <cellStyle name="Titre 3 5" xfId="7237"/>
    <cellStyle name="Titre 4" xfId="7238"/>
    <cellStyle name="Titre 4 2" xfId="7239"/>
    <cellStyle name="Titre 4 2 2" xfId="7240"/>
    <cellStyle name="Titre 4 3" xfId="7241"/>
    <cellStyle name="Titre 4 3 2" xfId="7242"/>
    <cellStyle name="Titre 4 4" xfId="7243"/>
    <cellStyle name="Titre 4 4 2" xfId="7244"/>
    <cellStyle name="Titre 4 5" xfId="7245"/>
    <cellStyle name="Titre 5" xfId="7246"/>
    <cellStyle name="Titre 5 2" xfId="7247"/>
    <cellStyle name="Titre 5 2 2" xfId="7248"/>
    <cellStyle name="Titre 5 3" xfId="7249"/>
    <cellStyle name="Titre 6" xfId="7250"/>
    <cellStyle name="Titre 6 2" xfId="7251"/>
    <cellStyle name="Titre 7" xfId="7252"/>
    <cellStyle name="Titre 7 2" xfId="7253"/>
    <cellStyle name="Titre 8" xfId="7254"/>
    <cellStyle name="Titre 8 2" xfId="7255"/>
    <cellStyle name="Titre 9" xfId="7256"/>
    <cellStyle name="Titre 9 2" xfId="7257"/>
    <cellStyle name="Titre de la feuille" xfId="7258"/>
    <cellStyle name="Titre de la feuille 2" xfId="7259"/>
    <cellStyle name="Titre 1 10" xfId="7260"/>
    <cellStyle name="Titre 1 10 2" xfId="7261"/>
    <cellStyle name="Titre 1 11" xfId="7262"/>
    <cellStyle name="Titre 1 11 2" xfId="7263"/>
    <cellStyle name="Titre 1 11 2 2" xfId="7264"/>
    <cellStyle name="Titre 1 11 3" xfId="7265"/>
    <cellStyle name="Titre 1 11 3 2" xfId="7266"/>
    <cellStyle name="Titre 1 11 4" xfId="7267"/>
    <cellStyle name="Titre 1 11 4 2" xfId="7268"/>
    <cellStyle name="Titre 1 11 5" xfId="7269"/>
    <cellStyle name="Titre 1 12" xfId="7270"/>
    <cellStyle name="Titre 1 12 2" xfId="7271"/>
    <cellStyle name="Titre 1 12 2 2" xfId="7272"/>
    <cellStyle name="Titre 1 12 3" xfId="7273"/>
    <cellStyle name="Titre 1 12 3 2" xfId="7274"/>
    <cellStyle name="Titre 1 12 4" xfId="7275"/>
    <cellStyle name="Titre 1 13" xfId="7276"/>
    <cellStyle name="Titre 1 13 2" xfId="7277"/>
    <cellStyle name="Titre 1 14" xfId="7278"/>
    <cellStyle name="Titre 1 14 2" xfId="7279"/>
    <cellStyle name="Titre 1 15" xfId="7280"/>
    <cellStyle name="Titre 1 15 2" xfId="7281"/>
    <cellStyle name="Titre 1 2" xfId="7282"/>
    <cellStyle name="Titre 1 2 2" xfId="7283"/>
    <cellStyle name="Titre 1 2 2 2" xfId="7284"/>
    <cellStyle name="Titre 1 2 3" xfId="7285"/>
    <cellStyle name="Titre 1 2 3 2" xfId="7286"/>
    <cellStyle name="Titre 1 2 4" xfId="7287"/>
    <cellStyle name="Titre 1 2 4 2" xfId="7288"/>
    <cellStyle name="Titre 1 2 5" xfId="7289"/>
    <cellStyle name="Titre 1 3" xfId="7290"/>
    <cellStyle name="Titre 1 3 2" xfId="7291"/>
    <cellStyle name="Titre 1 3 2 2" xfId="7292"/>
    <cellStyle name="Titre 1 3 3" xfId="7293"/>
    <cellStyle name="Titre 1 3 3 2" xfId="7294"/>
    <cellStyle name="Titre 1 3 4" xfId="7295"/>
    <cellStyle name="Titre 1 3 4 2" xfId="7296"/>
    <cellStyle name="Titre 1 3 5" xfId="7297"/>
    <cellStyle name="Titre 1 4" xfId="7298"/>
    <cellStyle name="Titre 1 4 2" xfId="7299"/>
    <cellStyle name="Titre 1 4 2 2" xfId="7300"/>
    <cellStyle name="Titre 1 4 3" xfId="7301"/>
    <cellStyle name="Titre 1 4 3 2" xfId="7302"/>
    <cellStyle name="Titre 1 4 4" xfId="7303"/>
    <cellStyle name="Titre 1 4 4 2" xfId="7304"/>
    <cellStyle name="Titre 1 4 5" xfId="7305"/>
    <cellStyle name="Titre 1 5" xfId="7306"/>
    <cellStyle name="Titre 1 5 2" xfId="7307"/>
    <cellStyle name="Titre 1 5 2 2" xfId="7308"/>
    <cellStyle name="Titre 1 5 3" xfId="7309"/>
    <cellStyle name="Titre 1 6" xfId="7310"/>
    <cellStyle name="Titre 1 6 2" xfId="7311"/>
    <cellStyle name="Titre 1 6 2 2" xfId="7312"/>
    <cellStyle name="Titre 1 6 3" xfId="7313"/>
    <cellStyle name="Titre 1 7" xfId="7314"/>
    <cellStyle name="Titre 1 7 2" xfId="7315"/>
    <cellStyle name="Titre 1 8" xfId="7316"/>
    <cellStyle name="Titre 1 8 2" xfId="7317"/>
    <cellStyle name="Titre 1 9" xfId="7318"/>
    <cellStyle name="Titre 1 9 2" xfId="7319"/>
    <cellStyle name="Titre 2 10" xfId="7320"/>
    <cellStyle name="Titre 2 10 2" xfId="7321"/>
    <cellStyle name="Titre 2 11" xfId="7322"/>
    <cellStyle name="Titre 2 11 2" xfId="7323"/>
    <cellStyle name="Titre 2 11 2 2" xfId="7324"/>
    <cellStyle name="Titre 2 11 3" xfId="7325"/>
    <cellStyle name="Titre 2 11 3 2" xfId="7326"/>
    <cellStyle name="Titre 2 11 4" xfId="7327"/>
    <cellStyle name="Titre 2 11 4 2" xfId="7328"/>
    <cellStyle name="Titre 2 11 5" xfId="7329"/>
    <cellStyle name="Titre 2 12" xfId="7330"/>
    <cellStyle name="Titre 2 12 2" xfId="7331"/>
    <cellStyle name="Titre 2 12 2 2" xfId="7332"/>
    <cellStyle name="Titre 2 12 3" xfId="7333"/>
    <cellStyle name="Titre 2 12 3 2" xfId="7334"/>
    <cellStyle name="Titre 2 12 4" xfId="7335"/>
    <cellStyle name="Titre 2 13" xfId="7336"/>
    <cellStyle name="Titre 2 13 2" xfId="7337"/>
    <cellStyle name="Titre 2 14" xfId="7338"/>
    <cellStyle name="Titre 2 14 2" xfId="7339"/>
    <cellStyle name="Titre 2 15" xfId="7340"/>
    <cellStyle name="Titre 2 15 2" xfId="7341"/>
    <cellStyle name="Titre 2 2" xfId="7342"/>
    <cellStyle name="Titre 2 2 2" xfId="7343"/>
    <cellStyle name="Titre 2 2 2 2" xfId="7344"/>
    <cellStyle name="Titre 2 2 3" xfId="7345"/>
    <cellStyle name="Titre 2 2 3 2" xfId="7346"/>
    <cellStyle name="Titre 2 2 4" xfId="7347"/>
    <cellStyle name="Titre 2 2 4 2" xfId="7348"/>
    <cellStyle name="Titre 2 2 5" xfId="7349"/>
    <cellStyle name="Titre 2 3" xfId="7350"/>
    <cellStyle name="Titre 2 3 2" xfId="7351"/>
    <cellStyle name="Titre 2 3 2 2" xfId="7352"/>
    <cellStyle name="Titre 2 3 3" xfId="7353"/>
    <cellStyle name="Titre 2 3 3 2" xfId="7354"/>
    <cellStyle name="Titre 2 3 4" xfId="7355"/>
    <cellStyle name="Titre 2 3 4 2" xfId="7356"/>
    <cellStyle name="Titre 2 3 5" xfId="7357"/>
    <cellStyle name="Titre 2 4" xfId="7358"/>
    <cellStyle name="Titre 2 4 2" xfId="7359"/>
    <cellStyle name="Titre 2 4 2 2" xfId="7360"/>
    <cellStyle name="Titre 2 4 3" xfId="7361"/>
    <cellStyle name="Titre 2 4 3 2" xfId="7362"/>
    <cellStyle name="Titre 2 4 4" xfId="7363"/>
    <cellStyle name="Titre 2 4 4 2" xfId="7364"/>
    <cellStyle name="Titre 2 4 5" xfId="7365"/>
    <cellStyle name="Titre 2 5" xfId="7366"/>
    <cellStyle name="Titre 2 5 2" xfId="7367"/>
    <cellStyle name="Titre 2 5 2 2" xfId="7368"/>
    <cellStyle name="Titre 2 5 3" xfId="7369"/>
    <cellStyle name="Titre 2 6" xfId="7370"/>
    <cellStyle name="Titre 2 6 2" xfId="7371"/>
    <cellStyle name="Titre 2 6 2 2" xfId="7372"/>
    <cellStyle name="Titre 2 6 3" xfId="7373"/>
    <cellStyle name="Titre 2 7" xfId="7374"/>
    <cellStyle name="Titre 2 7 2" xfId="7375"/>
    <cellStyle name="Titre 2 8" xfId="7376"/>
    <cellStyle name="Titre 2 8 2" xfId="7377"/>
    <cellStyle name="Titre 2 9" xfId="7378"/>
    <cellStyle name="Titre 2 9 2" xfId="7379"/>
    <cellStyle name="Titre 3 10" xfId="7380"/>
    <cellStyle name="Titre 3 10 2" xfId="7381"/>
    <cellStyle name="Titre 3 11" xfId="7382"/>
    <cellStyle name="Titre 3 11 2" xfId="7383"/>
    <cellStyle name="Titre 3 11 2 2" xfId="7384"/>
    <cellStyle name="Titre 3 11 3" xfId="7385"/>
    <cellStyle name="Titre 3 11 3 2" xfId="7386"/>
    <cellStyle name="Titre 3 11 4" xfId="7387"/>
    <cellStyle name="Titre 3 11 4 2" xfId="7388"/>
    <cellStyle name="Titre 3 11 5" xfId="7389"/>
    <cellStyle name="Titre 3 12" xfId="7390"/>
    <cellStyle name="Titre 3 12 2" xfId="7391"/>
    <cellStyle name="Titre 3 12 2 2" xfId="7392"/>
    <cellStyle name="Titre 3 12 3" xfId="7393"/>
    <cellStyle name="Titre 3 12 3 2" xfId="7394"/>
    <cellStyle name="Titre 3 12 4" xfId="7395"/>
    <cellStyle name="Titre 3 13" xfId="7396"/>
    <cellStyle name="Titre 3 13 2" xfId="7397"/>
    <cellStyle name="Titre 3 14" xfId="7398"/>
    <cellStyle name="Titre 3 14 2" xfId="7399"/>
    <cellStyle name="Titre 3 15" xfId="7400"/>
    <cellStyle name="Titre 3 15 2" xfId="7401"/>
    <cellStyle name="Titre 3 2" xfId="7402"/>
    <cellStyle name="Titre 3 2 2" xfId="7403"/>
    <cellStyle name="Titre 3 2 2 2" xfId="7404"/>
    <cellStyle name="Titre 3 2 3" xfId="7405"/>
    <cellStyle name="Titre 3 2 3 2" xfId="7406"/>
    <cellStyle name="Titre 3 2 4" xfId="7407"/>
    <cellStyle name="Titre 3 2 4 2" xfId="7408"/>
    <cellStyle name="Titre 3 2 5" xfId="7409"/>
    <cellStyle name="Titre 3 3" xfId="7410"/>
    <cellStyle name="Titre 3 3 2" xfId="7411"/>
    <cellStyle name="Titre 3 3 2 2" xfId="7412"/>
    <cellStyle name="Titre 3 3 3" xfId="7413"/>
    <cellStyle name="Titre 3 3 3 2" xfId="7414"/>
    <cellStyle name="Titre 3 3 4" xfId="7415"/>
    <cellStyle name="Titre 3 3 4 2" xfId="7416"/>
    <cellStyle name="Titre 3 3 5" xfId="7417"/>
    <cellStyle name="Titre 3 4" xfId="7418"/>
    <cellStyle name="Titre 3 4 2" xfId="7419"/>
    <cellStyle name="Titre 3 4 2 2" xfId="7420"/>
    <cellStyle name="Titre 3 4 3" xfId="7421"/>
    <cellStyle name="Titre 3 4 3 2" xfId="7422"/>
    <cellStyle name="Titre 3 4 4" xfId="7423"/>
    <cellStyle name="Titre 3 4 4 2" xfId="7424"/>
    <cellStyle name="Titre 3 4 5" xfId="7425"/>
    <cellStyle name="Titre 3 5" xfId="7426"/>
    <cellStyle name="Titre 3 5 2" xfId="7427"/>
    <cellStyle name="Titre 3 5 2 2" xfId="7428"/>
    <cellStyle name="Titre 3 5 3" xfId="7429"/>
    <cellStyle name="Titre 3 6" xfId="7430"/>
    <cellStyle name="Titre 3 6 2" xfId="7431"/>
    <cellStyle name="Titre 3 6 2 2" xfId="7432"/>
    <cellStyle name="Titre 3 6 3" xfId="7433"/>
    <cellStyle name="Titre 3 7" xfId="7434"/>
    <cellStyle name="Titre 3 7 2" xfId="7435"/>
    <cellStyle name="Titre 3 8" xfId="7436"/>
    <cellStyle name="Titre 3 8 2" xfId="7437"/>
    <cellStyle name="Titre 3 9" xfId="7438"/>
    <cellStyle name="Titre 3 9 2" xfId="7439"/>
    <cellStyle name="Titre 4 10" xfId="7440"/>
    <cellStyle name="Titre 4 10 2" xfId="7441"/>
    <cellStyle name="Titre 4 11" xfId="7442"/>
    <cellStyle name="Titre 4 11 2" xfId="7443"/>
    <cellStyle name="Titre 4 11 2 2" xfId="7444"/>
    <cellStyle name="Titre 4 11 3" xfId="7445"/>
    <cellStyle name="Titre 4 11 3 2" xfId="7446"/>
    <cellStyle name="Titre 4 11 4" xfId="7447"/>
    <cellStyle name="Titre 4 11 4 2" xfId="7448"/>
    <cellStyle name="Titre 4 11 5" xfId="7449"/>
    <cellStyle name="Titre 4 12" xfId="7450"/>
    <cellStyle name="Titre 4 12 2" xfId="7451"/>
    <cellStyle name="Titre 4 12 2 2" xfId="7452"/>
    <cellStyle name="Titre 4 12 3" xfId="7453"/>
    <cellStyle name="Titre 4 12 3 2" xfId="7454"/>
    <cellStyle name="Titre 4 12 4" xfId="7455"/>
    <cellStyle name="Titre 4 13" xfId="7456"/>
    <cellStyle name="Titre 4 13 2" xfId="7457"/>
    <cellStyle name="Titre 4 14" xfId="7458"/>
    <cellStyle name="Titre 4 14 2" xfId="7459"/>
    <cellStyle name="Titre 4 15" xfId="7460"/>
    <cellStyle name="Titre 4 15 2" xfId="7461"/>
    <cellStyle name="Titre 4 2" xfId="7462"/>
    <cellStyle name="Titre 4 2 2" xfId="7463"/>
    <cellStyle name="Titre 4 2 2 2" xfId="7464"/>
    <cellStyle name="Titre 4 2 3" xfId="7465"/>
    <cellStyle name="Titre 4 2 3 2" xfId="7466"/>
    <cellStyle name="Titre 4 2 4" xfId="7467"/>
    <cellStyle name="Titre 4 2 4 2" xfId="7468"/>
    <cellStyle name="Titre 4 2 5" xfId="7469"/>
    <cellStyle name="Titre 4 3" xfId="7470"/>
    <cellStyle name="Titre 4 3 2" xfId="7471"/>
    <cellStyle name="Titre 4 3 2 2" xfId="7472"/>
    <cellStyle name="Titre 4 3 3" xfId="7473"/>
    <cellStyle name="Titre 4 3 3 2" xfId="7474"/>
    <cellStyle name="Titre 4 3 4" xfId="7475"/>
    <cellStyle name="Titre 4 3 4 2" xfId="7476"/>
    <cellStyle name="Titre 4 3 5" xfId="7477"/>
    <cellStyle name="Titre 4 4" xfId="7478"/>
    <cellStyle name="Titre 4 4 2" xfId="7479"/>
    <cellStyle name="Titre 4 4 2 2" xfId="7480"/>
    <cellStyle name="Titre 4 4 3" xfId="7481"/>
    <cellStyle name="Titre 4 4 3 2" xfId="7482"/>
    <cellStyle name="Titre 4 4 4" xfId="7483"/>
    <cellStyle name="Titre 4 4 4 2" xfId="7484"/>
    <cellStyle name="Titre 4 4 5" xfId="7485"/>
    <cellStyle name="Titre 4 5" xfId="7486"/>
    <cellStyle name="Titre 4 5 2" xfId="7487"/>
    <cellStyle name="Titre 4 5 2 2" xfId="7488"/>
    <cellStyle name="Titre 4 5 3" xfId="7489"/>
    <cellStyle name="Titre 4 6" xfId="7490"/>
    <cellStyle name="Titre 4 6 2" xfId="7491"/>
    <cellStyle name="Titre 4 7" xfId="7492"/>
    <cellStyle name="Titre 4 7 2" xfId="7493"/>
    <cellStyle name="Titre 4 8" xfId="7494"/>
    <cellStyle name="Titre 4 8 2" xfId="7495"/>
    <cellStyle name="Titre 4 9" xfId="7496"/>
    <cellStyle name="Titre 4 9 2" xfId="7497"/>
    <cellStyle name="Total 10" xfId="7498"/>
    <cellStyle name="Total 10 2" xfId="7499"/>
    <cellStyle name="Total 10 2 2" xfId="7500"/>
    <cellStyle name="Total 10 3" xfId="7501"/>
    <cellStyle name="Total 11" xfId="7502"/>
    <cellStyle name="Total 11 2" xfId="7503"/>
    <cellStyle name="Total 11 2 2" xfId="7504"/>
    <cellStyle name="Total 11 2 2 2" xfId="7505"/>
    <cellStyle name="Total 11 2 3" xfId="7506"/>
    <cellStyle name="Total 11 3" xfId="7507"/>
    <cellStyle name="Total 11 3 2" xfId="7508"/>
    <cellStyle name="Total 11 4" xfId="7509"/>
    <cellStyle name="Total 11 4 2" xfId="7510"/>
    <cellStyle name="Total 11 5" xfId="7511"/>
    <cellStyle name="Total 12" xfId="7512"/>
    <cellStyle name="Total 12 2" xfId="7513"/>
    <cellStyle name="Total 12 2 2" xfId="7514"/>
    <cellStyle name="Total 12 2 2 2" xfId="7515"/>
    <cellStyle name="Total 12 2 3" xfId="7516"/>
    <cellStyle name="Total 12 3" xfId="7517"/>
    <cellStyle name="Total 12 3 2" xfId="7518"/>
    <cellStyle name="Total 12 4" xfId="7519"/>
    <cellStyle name="Total 13" xfId="7520"/>
    <cellStyle name="Total 13 2" xfId="7521"/>
    <cellStyle name="Total 13 2 2" xfId="7522"/>
    <cellStyle name="Total 13 3" xfId="7523"/>
    <cellStyle name="Total 14" xfId="7524"/>
    <cellStyle name="Total 14 2" xfId="7525"/>
    <cellStyle name="Total 14 2 2" xfId="7526"/>
    <cellStyle name="Total 14 3" xfId="7527"/>
    <cellStyle name="Total 15" xfId="7528"/>
    <cellStyle name="Total 15 2" xfId="7529"/>
    <cellStyle name="Total 15 2 2" xfId="7530"/>
    <cellStyle name="Total 15 3" xfId="7531"/>
    <cellStyle name="Total 16" xfId="7532"/>
    <cellStyle name="Total 16 2" xfId="7533"/>
    <cellStyle name="Total 16 2 2" xfId="7534"/>
    <cellStyle name="Total 16 3" xfId="7535"/>
    <cellStyle name="Total 17 2" xfId="7536"/>
    <cellStyle name="Total 17 2 2" xfId="7537"/>
    <cellStyle name="Total 18 2" xfId="7538"/>
    <cellStyle name="Total 18 2 2" xfId="7539"/>
    <cellStyle name="Total 19 2" xfId="7540"/>
    <cellStyle name="Total 19 2 2" xfId="7541"/>
    <cellStyle name="Total 2" xfId="7542"/>
    <cellStyle name="Total 2 2" xfId="7543"/>
    <cellStyle name="Total 2 2 2" xfId="7544"/>
    <cellStyle name="Total 2 3" xfId="7545"/>
    <cellStyle name="Total 2 3 2" xfId="7546"/>
    <cellStyle name="Total 2 4" xfId="7547"/>
    <cellStyle name="Total 20 2" xfId="7548"/>
    <cellStyle name="Total 20 2 2" xfId="7549"/>
    <cellStyle name="Total 21 2" xfId="7550"/>
    <cellStyle name="Total 21 2 2" xfId="7551"/>
    <cellStyle name="Total 22 2" xfId="7552"/>
    <cellStyle name="Total 22 2 2" xfId="7553"/>
    <cellStyle name="Total 23 2" xfId="7554"/>
    <cellStyle name="Total 23 2 2" xfId="7555"/>
    <cellStyle name="Total 24 2" xfId="7556"/>
    <cellStyle name="Total 24 2 2" xfId="7557"/>
    <cellStyle name="Total 25 2" xfId="7558"/>
    <cellStyle name="Total 25 2 2" xfId="7559"/>
    <cellStyle name="Total 26 2" xfId="7560"/>
    <cellStyle name="Total 26 2 2" xfId="7561"/>
    <cellStyle name="Total 27 2" xfId="7562"/>
    <cellStyle name="Total 27 2 2" xfId="7563"/>
    <cellStyle name="Total 28 2" xfId="7564"/>
    <cellStyle name="Total 28 2 2" xfId="7565"/>
    <cellStyle name="Total 29 2" xfId="7566"/>
    <cellStyle name="Total 29 2 2" xfId="7567"/>
    <cellStyle name="Total 3" xfId="7568"/>
    <cellStyle name="Total 3 2" xfId="7569"/>
    <cellStyle name="Total 3 2 2" xfId="7570"/>
    <cellStyle name="Total 3 2 2 2" xfId="7571"/>
    <cellStyle name="Total 3 2 3" xfId="7572"/>
    <cellStyle name="Total 3 3" xfId="7573"/>
    <cellStyle name="Total 3 3 2" xfId="7574"/>
    <cellStyle name="Total 3 4" xfId="7575"/>
    <cellStyle name="Total 30 2" xfId="7576"/>
    <cellStyle name="Total 30 2 2" xfId="7577"/>
    <cellStyle name="Total 31 2" xfId="7578"/>
    <cellStyle name="Total 31 2 2" xfId="7579"/>
    <cellStyle name="Total 32 2" xfId="7580"/>
    <cellStyle name="Total 32 2 2" xfId="7581"/>
    <cellStyle name="Total 33 2" xfId="7582"/>
    <cellStyle name="Total 33 2 2" xfId="7583"/>
    <cellStyle name="Total 34 2" xfId="7584"/>
    <cellStyle name="Total 34 2 2" xfId="7585"/>
    <cellStyle name="Total 35 2" xfId="7586"/>
    <cellStyle name="Total 35 2 2" xfId="7587"/>
    <cellStyle name="Total 36 2" xfId="7588"/>
    <cellStyle name="Total 36 2 2" xfId="7589"/>
    <cellStyle name="Total 37 2" xfId="7590"/>
    <cellStyle name="Total 37 2 2" xfId="7591"/>
    <cellStyle name="Total 38 2" xfId="7592"/>
    <cellStyle name="Total 38 2 2" xfId="7593"/>
    <cellStyle name="Total 39 2" xfId="7594"/>
    <cellStyle name="Total 39 2 2" xfId="7595"/>
    <cellStyle name="Total 4" xfId="7596"/>
    <cellStyle name="Total 4 2" xfId="7597"/>
    <cellStyle name="Total 4 2 2" xfId="7598"/>
    <cellStyle name="Total 4 2 2 2" xfId="7599"/>
    <cellStyle name="Total 4 2 3" xfId="7600"/>
    <cellStyle name="Total 4 3" xfId="7601"/>
    <cellStyle name="Total 4 3 2" xfId="7602"/>
    <cellStyle name="Total 4 4" xfId="7603"/>
    <cellStyle name="Total 40 2" xfId="7604"/>
    <cellStyle name="Total 40 2 2" xfId="7605"/>
    <cellStyle name="Total 41 2" xfId="7606"/>
    <cellStyle name="Total 41 2 2" xfId="7607"/>
    <cellStyle name="Total 42" xfId="7608"/>
    <cellStyle name="Total 42 2" xfId="7609"/>
    <cellStyle name="Total 43" xfId="7610"/>
    <cellStyle name="Total 43 2" xfId="7611"/>
    <cellStyle name="Total 5" xfId="7612"/>
    <cellStyle name="Total 5 2" xfId="7613"/>
    <cellStyle name="Total 5 2 2" xfId="7614"/>
    <cellStyle name="Total 5 2 2 2" xfId="7615"/>
    <cellStyle name="Total 5 2 3" xfId="7616"/>
    <cellStyle name="Total 5 3" xfId="7617"/>
    <cellStyle name="Total 5 3 2" xfId="7618"/>
    <cellStyle name="Total 5 4" xfId="7619"/>
    <cellStyle name="Total 5 4 2" xfId="7620"/>
    <cellStyle name="Total 5 5" xfId="7621"/>
    <cellStyle name="Total 6" xfId="7622"/>
    <cellStyle name="Total 6 2" xfId="7623"/>
    <cellStyle name="Total 6 2 2" xfId="7624"/>
    <cellStyle name="Total 6 2 2 2" xfId="7625"/>
    <cellStyle name="Total 6 2 3" xfId="7626"/>
    <cellStyle name="Total 6 3" xfId="7627"/>
    <cellStyle name="Total 6 3 2" xfId="7628"/>
    <cellStyle name="Total 6 4" xfId="7629"/>
    <cellStyle name="Total 7" xfId="7630"/>
    <cellStyle name="Total 7 2" xfId="7631"/>
    <cellStyle name="Total 7 2 2" xfId="7632"/>
    <cellStyle name="Total 7 3" xfId="7633"/>
    <cellStyle name="Total 7 3 2" xfId="7634"/>
    <cellStyle name="Total 7 4" xfId="7635"/>
    <cellStyle name="Total 8" xfId="7636"/>
    <cellStyle name="Total 8 2" xfId="7637"/>
    <cellStyle name="Total 8 2 2" xfId="7638"/>
    <cellStyle name="Total 8 3" xfId="7639"/>
    <cellStyle name="Total 9" xfId="7640"/>
    <cellStyle name="Total 9 2" xfId="7641"/>
    <cellStyle name="Total 9 2 2" xfId="7642"/>
    <cellStyle name="Total 9 3" xfId="7643"/>
    <cellStyle name="Vérification 10" xfId="7722"/>
    <cellStyle name="Vérification 10 2" xfId="7723"/>
    <cellStyle name="Vérification 11" xfId="7724"/>
    <cellStyle name="Vérification 11 2" xfId="7725"/>
    <cellStyle name="Vérification 11 2 2" xfId="7726"/>
    <cellStyle name="Vérification 11 3" xfId="7727"/>
    <cellStyle name="Vérification 12" xfId="7728"/>
    <cellStyle name="Vérification 12 2" xfId="7729"/>
    <cellStyle name="Vérification 13" xfId="7730"/>
    <cellStyle name="Vérification 13 2" xfId="7731"/>
    <cellStyle name="Vérification 2" xfId="7732"/>
    <cellStyle name="Vérification 2 2" xfId="7733"/>
    <cellStyle name="Vérification 2 2 2" xfId="7734"/>
    <cellStyle name="Vérification 2 3" xfId="7735"/>
    <cellStyle name="Vérification 2 3 2" xfId="7736"/>
    <cellStyle name="Vérification 2 4" xfId="7737"/>
    <cellStyle name="Vérification 2 4 2" xfId="7738"/>
    <cellStyle name="Vérification 2 5" xfId="7739"/>
    <cellStyle name="Vérification 3" xfId="7740"/>
    <cellStyle name="Vérification 3 2" xfId="7741"/>
    <cellStyle name="Vérification 3 2 2" xfId="7742"/>
    <cellStyle name="Vérification 3 3" xfId="7743"/>
    <cellStyle name="Vérification 3 3 2" xfId="7744"/>
    <cellStyle name="Vérification 3 4" xfId="7745"/>
    <cellStyle name="Vérification 3 4 2" xfId="7746"/>
    <cellStyle name="Vérification 3 5" xfId="7747"/>
    <cellStyle name="Vérification 4" xfId="7748"/>
    <cellStyle name="Vérification 4 2" xfId="7749"/>
    <cellStyle name="Vérification 4 2 2" xfId="7750"/>
    <cellStyle name="Vérification 4 3" xfId="7751"/>
    <cellStyle name="Vérification 4 3 2" xfId="7752"/>
    <cellStyle name="Vérification 4 4" xfId="7753"/>
    <cellStyle name="Vérification 4 4 2" xfId="7754"/>
    <cellStyle name="Vérification 4 5" xfId="7755"/>
    <cellStyle name="Vérification 5" xfId="7756"/>
    <cellStyle name="Vérification 5 2" xfId="7757"/>
    <cellStyle name="Vérification 5 2 2" xfId="7758"/>
    <cellStyle name="Vérification 5 3" xfId="7759"/>
    <cellStyle name="Vérification 6" xfId="7760"/>
    <cellStyle name="Vérification 6 2" xfId="7761"/>
    <cellStyle name="Vérification 7" xfId="7762"/>
    <cellStyle name="Vérification 7 2" xfId="7763"/>
    <cellStyle name="Vérification 8" xfId="7764"/>
    <cellStyle name="Vérification 8 2" xfId="7765"/>
    <cellStyle name="Vérification 9" xfId="7766"/>
    <cellStyle name="Vérification 9 2" xfId="7767"/>
    <cellStyle name="Virgule fixe" xfId="7644"/>
    <cellStyle name="Virgule fixe 10" xfId="7645"/>
    <cellStyle name="Virgule fixe 10 2" xfId="7646"/>
    <cellStyle name="Virgule fixe 11" xfId="7647"/>
    <cellStyle name="Virgule fixe 11 2" xfId="7648"/>
    <cellStyle name="Virgule fixe 12" xfId="7649"/>
    <cellStyle name="Virgule fixe 12 2" xfId="7650"/>
    <cellStyle name="Virgule fixe 13" xfId="7651"/>
    <cellStyle name="Virgule fixe 13 2" xfId="7652"/>
    <cellStyle name="Virgule fixe 14" xfId="7653"/>
    <cellStyle name="Virgule fixe 14 2" xfId="7654"/>
    <cellStyle name="Virgule fixe 15" xfId="7655"/>
    <cellStyle name="Virgule fixe 15 2" xfId="7656"/>
    <cellStyle name="Virgule fixe 16" xfId="7657"/>
    <cellStyle name="Virgule fixe 16 2" xfId="7658"/>
    <cellStyle name="Virgule fixe 17" xfId="7659"/>
    <cellStyle name="Virgule fixe 17 2" xfId="7660"/>
    <cellStyle name="Virgule fixe 18" xfId="7661"/>
    <cellStyle name="Virgule fixe 18 2" xfId="7662"/>
    <cellStyle name="Virgule fixe 19" xfId="7663"/>
    <cellStyle name="Virgule fixe 19 2" xfId="7664"/>
    <cellStyle name="Virgule fixe 2" xfId="7665"/>
    <cellStyle name="Virgule fixe 2 2" xfId="7666"/>
    <cellStyle name="Virgule fixe 2 2 2" xfId="7667"/>
    <cellStyle name="Virgule fixe 2 3" xfId="7668"/>
    <cellStyle name="Virgule fixe 20" xfId="7669"/>
    <cellStyle name="Virgule fixe 20 2" xfId="7670"/>
    <cellStyle name="Virgule fixe 21" xfId="7671"/>
    <cellStyle name="Virgule fixe 21 2" xfId="7672"/>
    <cellStyle name="Virgule fixe 22" xfId="7673"/>
    <cellStyle name="Virgule fixe 22 2" xfId="7674"/>
    <cellStyle name="Virgule fixe 23" xfId="7675"/>
    <cellStyle name="Virgule fixe 23 2" xfId="7676"/>
    <cellStyle name="Virgule fixe 24" xfId="7677"/>
    <cellStyle name="Virgule fixe 24 2" xfId="7678"/>
    <cellStyle name="Virgule fixe 25" xfId="7679"/>
    <cellStyle name="Virgule fixe 25 2" xfId="7680"/>
    <cellStyle name="Virgule fixe 26" xfId="7681"/>
    <cellStyle name="Virgule fixe 26 2" xfId="7682"/>
    <cellStyle name="Virgule fixe 27" xfId="7683"/>
    <cellStyle name="Virgule fixe 27 2" xfId="7684"/>
    <cellStyle name="Virgule fixe 28" xfId="7685"/>
    <cellStyle name="Virgule fixe 28 2" xfId="7686"/>
    <cellStyle name="Virgule fixe 29" xfId="7687"/>
    <cellStyle name="Virgule fixe 29 2" xfId="7688"/>
    <cellStyle name="Virgule fixe 3" xfId="7689"/>
    <cellStyle name="Virgule fixe 3 2" xfId="7690"/>
    <cellStyle name="Virgule fixe 30" xfId="7691"/>
    <cellStyle name="Virgule fixe 30 2" xfId="7692"/>
    <cellStyle name="Virgule fixe 31" xfId="7693"/>
    <cellStyle name="Virgule fixe 31 2" xfId="7694"/>
    <cellStyle name="Virgule fixe 32" xfId="7695"/>
    <cellStyle name="Virgule fixe 32 2" xfId="7696"/>
    <cellStyle name="Virgule fixe 33" xfId="7697"/>
    <cellStyle name="Virgule fixe 33 2" xfId="7698"/>
    <cellStyle name="Virgule fixe 34" xfId="7699"/>
    <cellStyle name="Virgule fixe 34 2" xfId="7700"/>
    <cellStyle name="Virgule fixe 35" xfId="7701"/>
    <cellStyle name="Virgule fixe 35 2" xfId="7702"/>
    <cellStyle name="Virgule fixe 36" xfId="7703"/>
    <cellStyle name="Virgule fixe 36 2" xfId="7704"/>
    <cellStyle name="Virgule fixe 37" xfId="7705"/>
    <cellStyle name="Virgule fixe 37 2" xfId="7706"/>
    <cellStyle name="Virgule fixe 38" xfId="7707"/>
    <cellStyle name="Virgule fixe 38 2" xfId="7708"/>
    <cellStyle name="Virgule fixe 39" xfId="7709"/>
    <cellStyle name="Virgule fixe 4" xfId="7710"/>
    <cellStyle name="Virgule fixe 4 2" xfId="7711"/>
    <cellStyle name="Virgule fixe 5" xfId="7712"/>
    <cellStyle name="Virgule fixe 5 2" xfId="7713"/>
    <cellStyle name="Virgule fixe 6" xfId="7714"/>
    <cellStyle name="Virgule fixe 6 2" xfId="7715"/>
    <cellStyle name="Virgule fixe 7" xfId="7716"/>
    <cellStyle name="Virgule fixe 7 2" xfId="7717"/>
    <cellStyle name="Virgule fixe 8" xfId="7718"/>
    <cellStyle name="Virgule fixe 8 2" xfId="7719"/>
    <cellStyle name="Virgule fixe 9" xfId="7720"/>
    <cellStyle name="Virgule fixe 9 2" xfId="7721"/>
    <cellStyle name="Währung [0]_Abweichung WCR__" xfId="7768"/>
    <cellStyle name="Währung_Abweichung WCR__" xfId="7769"/>
    <cellStyle name="XL3 Blue" xfId="7770"/>
    <cellStyle name="XL3 Blue 2" xfId="7771"/>
    <cellStyle name="XL3 Green" xfId="7772"/>
    <cellStyle name="XL3 Green 2" xfId="7773"/>
    <cellStyle name="XL3 Orange" xfId="7774"/>
    <cellStyle name="XL3 Orange 2" xfId="7775"/>
    <cellStyle name="XL3 Red" xfId="7776"/>
    <cellStyle name="XL3 Red 2" xfId="7777"/>
    <cellStyle name="XL3 Yellow" xfId="7778"/>
    <cellStyle name="XL3 Yellow 2" xfId="7779"/>
    <cellStyle name="Гиперссылка" xfId="7780"/>
    <cellStyle name="Гиперссылка 2" xfId="7781"/>
    <cellStyle name="Обычный_2++" xfId="7782"/>
    <cellStyle name="╟쵕ꜩ輲秛녜殝鱽푣㳳ﮧ৫䶈䐀ꌈӣъ辦疒촡骸ࠄ⛃⍍힢怡【挚옔愀奴ᆄ◛ㆶ鸥圊쬧钁藅ǩꓸ滜執忯叙㷄硾ꁤ좮ৡᙚ칏✏觡ᗴ춹ﭴ?쿣濛띯嶚師ኳ㉀簃퇴ᓖỉ雀㷎㎭䕻쭒嬉∑鋕︔쵢볟?禿讟䦚ꬕ榏瘃獰Ɫ䳐ꛘ䮥椱㑥⎒ᤈဗ瘿䀂죻玘ﳿ譨ꬵ麰애賗첁䑼荛鄽ꎍ⩎㨚镍㲼҅⌆ᝳ浪縲軄渪ↆ퀆" xfId="7783"/>
  </cellStyles>
  <dxfs count="566">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fill>
        <patternFill>
          <bgColor rgb="FFEC6625"/>
        </patternFill>
      </fill>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fill>
        <patternFill>
          <bgColor rgb="FFEC6625"/>
        </patternFill>
      </fill>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
      <numFmt numFmtId="170" formatCode="#,##0_ ;\-#,##0\ "/>
    </dxf>
  </dxfs>
  <tableStyles count="0" defaultTableStyle="TableStyleMedium2" defaultPivotStyle="PivotStyleLight16"/>
  <colors>
    <indexedColors>
      <rgbColor rgb="FF000000"/>
      <rgbColor rgb="FFFFFFFF"/>
      <rgbColor rgb="FFFF0000"/>
      <rgbColor rgb="FF00FF00"/>
      <rgbColor rgb="FF0000FF"/>
      <rgbColor rgb="FFFFFF00"/>
      <rgbColor rgb="FFF8CBAD"/>
      <rgbColor rgb="FFBDD7EE"/>
      <rgbColor rgb="FFFF8000"/>
      <rgbColor rgb="FFA7A6A8"/>
      <rgbColor rgb="FFE7E6E6"/>
      <rgbColor rgb="FF7F7F5A"/>
      <rgbColor rgb="FF840045"/>
      <rgbColor rgb="FF0070C0"/>
      <rgbColor rgb="FFC0C0C0"/>
      <rgbColor rgb="FF808080"/>
      <rgbColor rgb="FF9999FF"/>
      <rgbColor rgb="FF7F7F7F"/>
      <rgbColor rgb="FFFFFFCC"/>
      <rgbColor rgb="FFCCFFFF"/>
      <rgbColor rgb="FF393396"/>
      <rgbColor rgb="FFFF8080"/>
      <rgbColor rgb="FF0066CA"/>
      <rgbColor rgb="FFCCCCFF"/>
      <rgbColor rgb="FFF2F2F2"/>
      <rgbColor rgb="FFD8D7D7"/>
      <rgbColor rgb="FFFFC000"/>
      <rgbColor rgb="FFBFBFBF"/>
      <rgbColor rgb="FFD9D9DB"/>
      <rgbColor rgb="FFD6E3B4"/>
      <rgbColor rgb="FF309B80"/>
      <rgbColor rgb="FFDBE4F3"/>
      <rgbColor rgb="FF00B9F8"/>
      <rgbColor rgb="FFDDEAF7"/>
      <rgbColor rgb="FFCCFFCC"/>
      <rgbColor rgb="FFFFFF99"/>
      <rgbColor rgb="FF98CCFF"/>
      <rgbColor rgb="FFFF99CC"/>
      <rgbColor rgb="FFCC99FF"/>
      <rgbColor rgb="FFFFCC99"/>
      <rgbColor rgb="FF497BCA"/>
      <rgbColor rgb="FF33CCCC"/>
      <rgbColor rgb="FFA1B86B"/>
      <rgbColor rgb="FFFFCC00"/>
      <rgbColor rgb="FFFF9900"/>
      <rgbColor rgb="FFFF6600"/>
      <rgbColor rgb="FF666695"/>
      <rgbColor rgb="FF969696"/>
      <rgbColor rgb="FF003366"/>
      <rgbColor rgb="FF2A9A65"/>
      <rgbColor rgb="FF10523D"/>
      <rgbColor rgb="FF3F3F3F"/>
      <rgbColor rgb="FFED7D31"/>
      <rgbColor rgb="FF6666FF"/>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Mix</a:t>
            </a:r>
            <a:r>
              <a:rPr lang="fr-FR" baseline="0"/>
              <a:t> électrique en 2020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9525">
                <a:solidFill>
                  <a:schemeClr val="lt1"/>
                </a:solidFill>
              </a:ln>
              <a:effectLst/>
            </c:spPr>
            <c:extLst>
              <c:ext xmlns:c16="http://schemas.microsoft.com/office/drawing/2014/chart" uri="{C3380CC4-5D6E-409C-BE32-E72D297353CC}">
                <c16:uniqueId val="{00000001-3048-4153-A6D1-9A35FE67E46D}"/>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3048-4153-A6D1-9A35FE67E46D}"/>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3048-4153-A6D1-9A35FE67E46D}"/>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3048-4153-A6D1-9A35FE67E46D}"/>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3048-4153-A6D1-9A35FE67E46D}"/>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3048-4153-A6D1-9A35FE67E46D}"/>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3048-4153-A6D1-9A35FE67E46D}"/>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3048-4153-A6D1-9A35FE67E46D}"/>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3048-4153-A6D1-9A35FE67E46D}"/>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3048-4153-A6D1-9A35FE67E46D}"/>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'Prod Energie'!$A$31:$A$41</c15:sqref>
                  </c15:fullRef>
                </c:ext>
              </c:extLst>
              <c:f>'Prod Energie'!$A$32:$A$41</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extLst>
                <c:ext xmlns:c15="http://schemas.microsoft.com/office/drawing/2012/chart" uri="{02D57815-91ED-43cb-92C2-25804820EDAC}">
                  <c15:fullRef>
                    <c15:sqref>'Prod Energie'!$C$31:$C$41</c15:sqref>
                  </c15:fullRef>
                </c:ext>
              </c:extLst>
              <c:f>'Prod Energie'!$C$32:$C$41</c:f>
              <c:numCache>
                <c:formatCode>0\ %</c:formatCode>
                <c:ptCount val="10"/>
                <c:pt idx="0">
                  <c:v>0.30199999999999999</c:v>
                </c:pt>
                <c:pt idx="1">
                  <c:v>0.41599999999999998</c:v>
                </c:pt>
                <c:pt idx="2">
                  <c:v>0</c:v>
                </c:pt>
                <c:pt idx="3">
                  <c:v>0</c:v>
                </c:pt>
                <c:pt idx="4">
                  <c:v>0</c:v>
                </c:pt>
                <c:pt idx="5">
                  <c:v>2E-3</c:v>
                </c:pt>
                <c:pt idx="6">
                  <c:v>7.0000000000000007E-2</c:v>
                </c:pt>
                <c:pt idx="7">
                  <c:v>9.4E-2</c:v>
                </c:pt>
                <c:pt idx="8">
                  <c:v>0.11600000000000001</c:v>
                </c:pt>
                <c:pt idx="9">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3048-4153-A6D1-9A35FE67E4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AMS Mix</a:t>
            </a:r>
            <a:r>
              <a:rPr lang="fr-FR" baseline="0"/>
              <a:t> électrique en 2020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9525">
                <a:solidFill>
                  <a:schemeClr val="lt1"/>
                </a:solidFill>
              </a:ln>
              <a:effectLst/>
            </c:spPr>
            <c:extLst>
              <c:ext xmlns:c16="http://schemas.microsoft.com/office/drawing/2014/chart" uri="{C3380CC4-5D6E-409C-BE32-E72D297353CC}">
                <c16:uniqueId val="{00000001-074C-4A30-A3D9-991E468A92AC}"/>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074C-4A30-A3D9-991E468A92AC}"/>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074C-4A30-A3D9-991E468A92AC}"/>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074C-4A30-A3D9-991E468A92AC}"/>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074C-4A30-A3D9-991E468A92AC}"/>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074C-4A30-A3D9-991E468A92AC}"/>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074C-4A30-A3D9-991E468A92AC}"/>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074C-4A30-A3D9-991E468A92AC}"/>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074C-4A30-A3D9-991E468A92AC}"/>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074C-4A30-A3D9-991E468A92AC}"/>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'Prod Energie'!$A$52:$A$62</c15:sqref>
                  </c15:fullRef>
                </c:ext>
              </c:extLst>
              <c:f>'Prod Energie'!$A$53:$A$62</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extLst>
                <c:ext xmlns:c15="http://schemas.microsoft.com/office/drawing/2012/chart" uri="{02D57815-91ED-43cb-92C2-25804820EDAC}">
                  <c15:fullRef>
                    <c15:sqref>'Prod Energie'!$I$52:$I$62</c15:sqref>
                  </c15:fullRef>
                </c:ext>
              </c:extLst>
              <c:f>'Prod Energie'!$I$53:$I$62</c:f>
              <c:numCache>
                <c:formatCode>0\ %</c:formatCode>
                <c:ptCount val="10"/>
                <c:pt idx="0">
                  <c:v>0</c:v>
                </c:pt>
                <c:pt idx="1">
                  <c:v>0</c:v>
                </c:pt>
                <c:pt idx="2" formatCode="0%">
                  <c:v>0.21</c:v>
                </c:pt>
                <c:pt idx="3" formatCode="0%">
                  <c:v>6.9597600109845966E-3</c:v>
                </c:pt>
                <c:pt idx="4" formatCode="0%">
                  <c:v>4.8718320076892176E-2</c:v>
                </c:pt>
                <c:pt idx="5" formatCode="0%">
                  <c:v>0.15283558036193792</c:v>
                </c:pt>
                <c:pt idx="6" formatCode="0%">
                  <c:v>0.37621065935246251</c:v>
                </c:pt>
                <c:pt idx="7" formatCode="0%">
                  <c:v>0.08</c:v>
                </c:pt>
                <c:pt idx="8" formatCode="0%">
                  <c:v>0.11831592018673814</c:v>
                </c:pt>
                <c:pt idx="9" formatCode="0.00\ %">
                  <c:v>6.9597600109845966E-3</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4-074C-4A30-A3D9-991E468A92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AME Mix</a:t>
            </a:r>
            <a:r>
              <a:rPr lang="fr-FR" baseline="0"/>
              <a:t> électrique en 2050</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'Prod Energie'!$I$31</c:f>
              <c:strCache>
                <c:ptCount val="1"/>
              </c:strCache>
            </c:strRef>
          </c:tx>
          <c:dPt>
            <c:idx val="0"/>
            <c:bubble3D val="0"/>
            <c:spPr>
              <a:solidFill>
                <a:schemeClr val="accent1"/>
              </a:solidFill>
              <a:ln w="9525">
                <a:solidFill>
                  <a:schemeClr val="lt1"/>
                </a:solidFill>
              </a:ln>
              <a:effectLst/>
            </c:spPr>
            <c:extLst>
              <c:ext xmlns:c16="http://schemas.microsoft.com/office/drawing/2014/chart" uri="{C3380CC4-5D6E-409C-BE32-E72D297353CC}">
                <c16:uniqueId val="{00000001-AED4-4588-91F3-8D89EAEBD52B}"/>
              </c:ext>
            </c:extLst>
          </c:dPt>
          <c:dPt>
            <c:idx val="1"/>
            <c:bubble3D val="0"/>
            <c:spPr>
              <a:solidFill>
                <a:schemeClr val="accent2"/>
              </a:solidFill>
              <a:ln w="9525">
                <a:solidFill>
                  <a:schemeClr val="lt1"/>
                </a:solidFill>
              </a:ln>
              <a:effectLst/>
            </c:spPr>
            <c:extLst>
              <c:ext xmlns:c16="http://schemas.microsoft.com/office/drawing/2014/chart" uri="{C3380CC4-5D6E-409C-BE32-E72D297353CC}">
                <c16:uniqueId val="{00000003-AED4-4588-91F3-8D89EAEBD52B}"/>
              </c:ext>
            </c:extLst>
          </c:dPt>
          <c:dPt>
            <c:idx val="2"/>
            <c:bubble3D val="0"/>
            <c:spPr>
              <a:solidFill>
                <a:schemeClr val="accent3"/>
              </a:solidFill>
              <a:ln w="9525">
                <a:solidFill>
                  <a:schemeClr val="lt1"/>
                </a:solidFill>
              </a:ln>
              <a:effectLst/>
            </c:spPr>
            <c:extLst>
              <c:ext xmlns:c16="http://schemas.microsoft.com/office/drawing/2014/chart" uri="{C3380CC4-5D6E-409C-BE32-E72D297353CC}">
                <c16:uniqueId val="{00000005-AED4-4588-91F3-8D89EAEBD52B}"/>
              </c:ext>
            </c:extLst>
          </c:dPt>
          <c:dPt>
            <c:idx val="3"/>
            <c:bubble3D val="0"/>
            <c:spPr>
              <a:solidFill>
                <a:schemeClr val="accent4"/>
              </a:solidFill>
              <a:ln w="9525">
                <a:solidFill>
                  <a:schemeClr val="lt1"/>
                </a:solidFill>
              </a:ln>
              <a:effectLst/>
            </c:spPr>
            <c:extLst>
              <c:ext xmlns:c16="http://schemas.microsoft.com/office/drawing/2014/chart" uri="{C3380CC4-5D6E-409C-BE32-E72D297353CC}">
                <c16:uniqueId val="{00000007-AED4-4588-91F3-8D89EAEBD52B}"/>
              </c:ext>
            </c:extLst>
          </c:dPt>
          <c:dPt>
            <c:idx val="4"/>
            <c:bubble3D val="0"/>
            <c:spPr>
              <a:solidFill>
                <a:schemeClr val="accent5"/>
              </a:solidFill>
              <a:ln w="9525">
                <a:solidFill>
                  <a:schemeClr val="lt1"/>
                </a:solidFill>
              </a:ln>
              <a:effectLst/>
            </c:spPr>
            <c:extLst>
              <c:ext xmlns:c16="http://schemas.microsoft.com/office/drawing/2014/chart" uri="{C3380CC4-5D6E-409C-BE32-E72D297353CC}">
                <c16:uniqueId val="{00000009-AED4-4588-91F3-8D89EAEBD52B}"/>
              </c:ext>
            </c:extLst>
          </c:dPt>
          <c:dPt>
            <c:idx val="5"/>
            <c:bubble3D val="0"/>
            <c:spPr>
              <a:solidFill>
                <a:schemeClr val="accent6"/>
              </a:solidFill>
              <a:ln w="9525">
                <a:solidFill>
                  <a:schemeClr val="lt1"/>
                </a:solidFill>
              </a:ln>
              <a:effectLst/>
            </c:spPr>
            <c:extLst>
              <c:ext xmlns:c16="http://schemas.microsoft.com/office/drawing/2014/chart" uri="{C3380CC4-5D6E-409C-BE32-E72D297353CC}">
                <c16:uniqueId val="{0000000B-AED4-4588-91F3-8D89EAEBD52B}"/>
              </c:ext>
            </c:extLst>
          </c:dPt>
          <c:dPt>
            <c:idx val="6"/>
            <c:bubble3D val="0"/>
            <c:spPr>
              <a:solidFill>
                <a:schemeClr val="accent1">
                  <a:lumMod val="60000"/>
                </a:schemeClr>
              </a:solidFill>
              <a:ln w="9525">
                <a:solidFill>
                  <a:schemeClr val="lt1"/>
                </a:solidFill>
              </a:ln>
              <a:effectLst/>
            </c:spPr>
            <c:extLst>
              <c:ext xmlns:c16="http://schemas.microsoft.com/office/drawing/2014/chart" uri="{C3380CC4-5D6E-409C-BE32-E72D297353CC}">
                <c16:uniqueId val="{0000000D-AED4-4588-91F3-8D89EAEBD52B}"/>
              </c:ext>
            </c:extLst>
          </c:dPt>
          <c:dPt>
            <c:idx val="7"/>
            <c:bubble3D val="0"/>
            <c:spPr>
              <a:solidFill>
                <a:schemeClr val="accent2">
                  <a:lumMod val="60000"/>
                </a:schemeClr>
              </a:solidFill>
              <a:ln w="9525">
                <a:solidFill>
                  <a:schemeClr val="lt1"/>
                </a:solidFill>
              </a:ln>
              <a:effectLst/>
            </c:spPr>
            <c:extLst>
              <c:ext xmlns:c16="http://schemas.microsoft.com/office/drawing/2014/chart" uri="{C3380CC4-5D6E-409C-BE32-E72D297353CC}">
                <c16:uniqueId val="{0000000F-AED4-4588-91F3-8D89EAEBD52B}"/>
              </c:ext>
            </c:extLst>
          </c:dPt>
          <c:dPt>
            <c:idx val="8"/>
            <c:bubble3D val="0"/>
            <c:spPr>
              <a:solidFill>
                <a:schemeClr val="accent3">
                  <a:lumMod val="60000"/>
                </a:schemeClr>
              </a:solidFill>
              <a:ln w="9525">
                <a:solidFill>
                  <a:schemeClr val="lt1"/>
                </a:solidFill>
              </a:ln>
              <a:effectLst/>
            </c:spPr>
            <c:extLst>
              <c:ext xmlns:c16="http://schemas.microsoft.com/office/drawing/2014/chart" uri="{C3380CC4-5D6E-409C-BE32-E72D297353CC}">
                <c16:uniqueId val="{00000011-AED4-4588-91F3-8D89EAEBD52B}"/>
              </c:ext>
            </c:extLst>
          </c:dPt>
          <c:dPt>
            <c:idx val="9"/>
            <c:bubble3D val="0"/>
            <c:spPr>
              <a:solidFill>
                <a:schemeClr val="accent4">
                  <a:lumMod val="60000"/>
                </a:schemeClr>
              </a:solidFill>
              <a:ln w="9525">
                <a:solidFill>
                  <a:schemeClr val="lt1"/>
                </a:solidFill>
              </a:ln>
              <a:effectLst/>
            </c:spPr>
            <c:extLst>
              <c:ext xmlns:c16="http://schemas.microsoft.com/office/drawing/2014/chart" uri="{C3380CC4-5D6E-409C-BE32-E72D297353CC}">
                <c16:uniqueId val="{00000013-AED4-4588-91F3-8D89EAEBD52B}"/>
              </c:ext>
            </c:extLst>
          </c:dPt>
          <c:dLbls>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lt1"/>
                    </a:solidFill>
                    <a:latin typeface="+mn-lt"/>
                    <a:ea typeface="+mn-ea"/>
                    <a:cs typeface="+mn-cs"/>
                  </a:defRPr>
                </a:pPr>
                <a:endParaRPr lang="fr-FR"/>
              </a:p>
            </c:txPr>
            <c:showLegendKey val="0"/>
            <c:showVal val="0"/>
            <c:showCatName val="1"/>
            <c:showSerName val="0"/>
            <c:showPercent val="1"/>
            <c:showBubbleSize val="0"/>
            <c:showLeaderLines val="1"/>
            <c:leaderLines>
              <c:spPr>
                <a:ln>
                  <a:noFill/>
                </a:ln>
                <a:effectLst/>
              </c:spPr>
            </c:leaderLines>
            <c:extLst>
              <c:ext xmlns:c15="http://schemas.microsoft.com/office/drawing/2012/chart" uri="{CE6537A1-D6FC-4f65-9D91-7224C49458BB}"/>
            </c:extLst>
          </c:dLbls>
          <c:cat>
            <c:strRef>
              <c:f>'Prod Energie'!$A$32:$A$41</c:f>
              <c:strCache>
                <c:ptCount val="10"/>
                <c:pt idx="0">
                  <c:v>Charbon</c:v>
                </c:pt>
                <c:pt idx="1">
                  <c:v>Produits pétroliers raffinés</c:v>
                </c:pt>
                <c:pt idx="2">
                  <c:v>Photovoltaïque</c:v>
                </c:pt>
                <c:pt idx="3">
                  <c:v>Géothermie</c:v>
                </c:pt>
                <c:pt idx="4">
                  <c:v>Déchets</c:v>
                </c:pt>
                <c:pt idx="5">
                  <c:v>Biocarburants</c:v>
                </c:pt>
                <c:pt idx="6">
                  <c:v>Biomasse solide</c:v>
                </c:pt>
                <c:pt idx="7">
                  <c:v>Eolien</c:v>
                </c:pt>
                <c:pt idx="8">
                  <c:v>Hydraulique</c:v>
                </c:pt>
                <c:pt idx="9">
                  <c:v>Gaz Renouvelable</c:v>
                </c:pt>
              </c:strCache>
            </c:strRef>
          </c:cat>
          <c:val>
            <c:numRef>
              <c:f>'Prod Energie'!$I$32:$I$41</c:f>
              <c:numCache>
                <c:formatCode>0.00\ %</c:formatCode>
                <c:ptCount val="10"/>
                <c:pt idx="0">
                  <c:v>0</c:v>
                </c:pt>
                <c:pt idx="1">
                  <c:v>0</c:v>
                </c:pt>
                <c:pt idx="2" formatCode="0%">
                  <c:v>0.18</c:v>
                </c:pt>
                <c:pt idx="3" formatCode="0%">
                  <c:v>0</c:v>
                </c:pt>
                <c:pt idx="4" formatCode="0%">
                  <c:v>4.9712576700368535E-2</c:v>
                </c:pt>
                <c:pt idx="5" formatCode="0%">
                  <c:v>0.1918975362599197</c:v>
                </c:pt>
                <c:pt idx="6" formatCode="0%">
                  <c:v>0.41765934362453111</c:v>
                </c:pt>
                <c:pt idx="7" formatCode="0%">
                  <c:v>0.04</c:v>
                </c:pt>
                <c:pt idx="8" formatCode="0%">
                  <c:v>0.11362874674369949</c:v>
                </c:pt>
                <c:pt idx="9" formatCode="0%">
                  <c:v>7.1017966714812183E-3</c:v>
                </c:pt>
              </c:numCache>
            </c:numRef>
          </c:val>
          <c:extLst>
            <c:ext xmlns:c16="http://schemas.microsoft.com/office/drawing/2014/chart" uri="{C3380CC4-5D6E-409C-BE32-E72D297353CC}">
              <c16:uniqueId val="{00000014-AED4-4588-91F3-8D89EAEBD5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démographique (Projections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Calculs!$B$4:$S$4</c:f>
              <c:numCache>
                <c:formatCode>General</c:formatCode>
                <c:ptCount val="18"/>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2025</c:v>
                </c:pt>
                <c:pt idx="13">
                  <c:v>2030</c:v>
                </c:pt>
                <c:pt idx="14">
                  <c:v>2035</c:v>
                </c:pt>
                <c:pt idx="15">
                  <c:v>2040</c:v>
                </c:pt>
                <c:pt idx="16">
                  <c:v>2045</c:v>
                </c:pt>
                <c:pt idx="17">
                  <c:v>2050</c:v>
                </c:pt>
              </c:numCache>
            </c:numRef>
          </c:xVal>
          <c:yVal>
            <c:numRef>
              <c:f>Calculs!$B$5:$S$5</c:f>
              <c:numCache>
                <c:formatCode>#,##0</c:formatCode>
                <c:ptCount val="18"/>
                <c:pt idx="0">
                  <c:v>821136</c:v>
                </c:pt>
                <c:pt idx="1">
                  <c:v>828581</c:v>
                </c:pt>
                <c:pt idx="2">
                  <c:v>833944</c:v>
                </c:pt>
                <c:pt idx="3">
                  <c:v>835103</c:v>
                </c:pt>
                <c:pt idx="4">
                  <c:v>842767</c:v>
                </c:pt>
                <c:pt idx="5">
                  <c:v>850727</c:v>
                </c:pt>
                <c:pt idx="6">
                  <c:v>852924</c:v>
                </c:pt>
                <c:pt idx="7">
                  <c:v>853659</c:v>
                </c:pt>
                <c:pt idx="8">
                  <c:v>855961</c:v>
                </c:pt>
                <c:pt idx="9">
                  <c:v>861210</c:v>
                </c:pt>
                <c:pt idx="10">
                  <c:v>863197</c:v>
                </c:pt>
                <c:pt idx="11" formatCode="General">
                  <c:v>866000</c:v>
                </c:pt>
                <c:pt idx="12" formatCode="General">
                  <c:v>879000</c:v>
                </c:pt>
                <c:pt idx="13" formatCode="General">
                  <c:v>893000</c:v>
                </c:pt>
                <c:pt idx="14" formatCode="General">
                  <c:v>904000</c:v>
                </c:pt>
                <c:pt idx="15" formatCode="General">
                  <c:v>913000</c:v>
                </c:pt>
                <c:pt idx="16" formatCode="General">
                  <c:v>917000</c:v>
                </c:pt>
                <c:pt idx="17" formatCode="General">
                  <c:v>918000</c:v>
                </c:pt>
              </c:numCache>
            </c:numRef>
          </c:yVal>
          <c:smooth val="1"/>
          <c:extLst>
            <c:ext xmlns:c16="http://schemas.microsoft.com/office/drawing/2014/chart" uri="{C3380CC4-5D6E-409C-BE32-E72D297353CC}">
              <c16:uniqueId val="{00000000-1375-4196-AE9E-03222A97C0D8}"/>
            </c:ext>
          </c:extLst>
        </c:ser>
        <c:dLbls>
          <c:showLegendKey val="0"/>
          <c:showVal val="0"/>
          <c:showCatName val="0"/>
          <c:showSerName val="0"/>
          <c:showPercent val="0"/>
          <c:showBubbleSize val="0"/>
        </c:dLbls>
        <c:axId val="746369311"/>
        <c:axId val="746371391"/>
      </c:scatterChart>
      <c:valAx>
        <c:axId val="74636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71391"/>
        <c:crosses val="autoZero"/>
        <c:crossBetween val="midCat"/>
      </c:valAx>
      <c:valAx>
        <c:axId val="7463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6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6.5473009086050193E-2"/>
          <c:y val="6.8965517241379296E-2"/>
          <c:w val="0.92080883662925295"/>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F30-4B6C-B19B-BAC82E82D01E}"/>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F30-4B6C-B19B-BAC82E82D01E}"/>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F30-4B6C-B19B-BAC82E82D01E}"/>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F30-4B6C-B19B-BAC82E82D01E}"/>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F30-4B6C-B19B-BAC82E82D01E}"/>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F30-4B6C-B19B-BAC82E82D01E}"/>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F30-4B6C-B19B-BAC82E82D01E}"/>
            </c:ext>
          </c:extLst>
        </c:ser>
        <c:dLbls>
          <c:showLegendKey val="0"/>
          <c:showVal val="0"/>
          <c:showCatName val="0"/>
          <c:showSerName val="0"/>
          <c:showPercent val="0"/>
          <c:showBubbleSize val="0"/>
        </c:dLbls>
        <c:axId val="20603512"/>
        <c:axId val="53501863"/>
      </c:areaChart>
      <c:catAx>
        <c:axId val="20603512"/>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53501863"/>
        <c:crosses val="autoZero"/>
        <c:auto val="1"/>
        <c:lblAlgn val="ctr"/>
        <c:lblOffset val="100"/>
        <c:noMultiLvlLbl val="1"/>
      </c:catAx>
      <c:valAx>
        <c:axId val="53501863"/>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milliers de tonnes</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20603512"/>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autoTitleDeleted val="1"/>
    <c:plotArea>
      <c:layout>
        <c:manualLayout>
          <c:layoutTarget val="inner"/>
          <c:xMode val="edge"/>
          <c:yMode val="edge"/>
          <c:x val="8.1863531088544494E-2"/>
          <c:y val="6.8965517241379296E-2"/>
          <c:w val="0.90441831462675903"/>
          <c:h val="0.74712643678160895"/>
        </c:manualLayout>
      </c:layout>
      <c:areaChart>
        <c:grouping val="stacked"/>
        <c:varyColors val="1"/>
        <c:ser>
          <c:idx val="0"/>
          <c:order val="0"/>
          <c:spPr>
            <a:solidFill>
              <a:srgbClr val="D6DCE5"/>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0-7D1F-42BE-BB77-43BAABB51D52}"/>
            </c:ext>
          </c:extLst>
        </c:ser>
        <c:ser>
          <c:idx val="1"/>
          <c:order val="1"/>
          <c:spPr>
            <a:solidFill>
              <a:srgbClr val="0070C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1-7D1F-42BE-BB77-43BAABB51D52}"/>
            </c:ext>
          </c:extLst>
        </c:ser>
        <c:ser>
          <c:idx val="2"/>
          <c:order val="2"/>
          <c:spPr>
            <a:solidFill>
              <a:srgbClr val="FFD966"/>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2-7D1F-42BE-BB77-43BAABB51D52}"/>
            </c:ext>
          </c:extLst>
        </c:ser>
        <c:ser>
          <c:idx val="3"/>
          <c:order val="3"/>
          <c:spPr>
            <a:solidFill>
              <a:srgbClr val="E0E5B3"/>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3-7D1F-42BE-BB77-43BAABB51D52}"/>
            </c:ext>
          </c:extLst>
        </c:ser>
        <c:ser>
          <c:idx val="4"/>
          <c:order val="4"/>
          <c:spPr>
            <a:solidFill>
              <a:srgbClr val="92D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4-7D1F-42BE-BB77-43BAABB51D52}"/>
            </c:ext>
          </c:extLst>
        </c:ser>
        <c:ser>
          <c:idx val="5"/>
          <c:order val="5"/>
          <c:spPr>
            <a:solidFill>
              <a:srgbClr val="7030A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5</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5-7D1F-42BE-BB77-43BAABB51D52}"/>
            </c:ext>
          </c:extLst>
        </c:ser>
        <c:ser>
          <c:idx val="6"/>
          <c:order val="6"/>
          <c:spPr>
            <a:solidFill>
              <a:srgbClr val="00B050"/>
            </a:solidFill>
            <a:ln>
              <a:solidFill>
                <a:srgbClr val="FFFFFF"/>
              </a:solidFill>
            </a:ln>
          </c:spPr>
          <c:dLbls>
            <c:spPr>
              <a:noFill/>
              <a:ln>
                <a:noFill/>
              </a:ln>
              <a:effectLst/>
            </c:spPr>
            <c:txPr>
              <a:bodyPr/>
              <a:lstStyle/>
              <a:p>
                <a:pPr>
                  <a:defRPr sz="1000" b="0" strike="noStrike" spc="-1">
                    <a:solidFill>
                      <a:srgbClr val="000000"/>
                    </a:solidFill>
                    <a:latin typeface="Calibri"/>
                    <a:ea typeface="Calibri"/>
                  </a:defRPr>
                </a:pPr>
                <a:endParaRPr lang="fr-FR"/>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6</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5="http://schemas.microsoft.com/office/drawing/2012/chart" uri="{02D57815-91ED-43cb-92C2-25804820EDAC}">
              <c15:filteredCategoryTitle>
                <c15:cat>
                  <c:strRef>
                    <c:extLst>
                      <c:ext uri="{02D57815-91ED-43cb-92C2-25804820EDAC}">
                        <c15:formulaRef>
                          <c15:sqref>categories</c15:sqref>
                        </c15:formulaRef>
                      </c:ext>
                    </c:extLst>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15:cat>
              </c15:filteredCategoryTitle>
            </c:ext>
            <c:ext xmlns:c16="http://schemas.microsoft.com/office/drawing/2014/chart" uri="{C3380CC4-5D6E-409C-BE32-E72D297353CC}">
              <c16:uniqueId val="{00000006-7D1F-42BE-BB77-43BAABB51D52}"/>
            </c:ext>
          </c:extLst>
        </c:ser>
        <c:dLbls>
          <c:showLegendKey val="0"/>
          <c:showVal val="0"/>
          <c:showCatName val="0"/>
          <c:showSerName val="0"/>
          <c:showPercent val="0"/>
          <c:showBubbleSize val="0"/>
        </c:dLbls>
        <c:axId val="1141313"/>
        <c:axId val="43706692"/>
      </c:areaChart>
      <c:catAx>
        <c:axId val="1141313"/>
        <c:scaling>
          <c:orientation val="minMax"/>
        </c:scaling>
        <c:delete val="0"/>
        <c:axPos val="b"/>
        <c:numFmt formatCode="General" sourceLinked="1"/>
        <c:majorTickMark val="out"/>
        <c:minorTickMark val="none"/>
        <c:tickLblPos val="low"/>
        <c:spPr>
          <a:ln w="3240">
            <a:solidFill>
              <a:srgbClr val="8B8B8B"/>
            </a:solidFill>
            <a:round/>
          </a:ln>
        </c:spPr>
        <c:txPr>
          <a:bodyPr rot="-5400000"/>
          <a:lstStyle/>
          <a:p>
            <a:pPr>
              <a:defRPr sz="800" b="0" strike="noStrike" spc="-1">
                <a:solidFill>
                  <a:srgbClr val="000000"/>
                </a:solidFill>
                <a:latin typeface="Trebuchet MS"/>
                <a:ea typeface="Trebuchet MS"/>
              </a:defRPr>
            </a:pPr>
            <a:endParaRPr lang="fr-FR"/>
          </a:p>
        </c:txPr>
        <c:crossAx val="43706692"/>
        <c:crosses val="autoZero"/>
        <c:auto val="1"/>
        <c:lblAlgn val="ctr"/>
        <c:lblOffset val="100"/>
        <c:noMultiLvlLbl val="1"/>
      </c:catAx>
      <c:valAx>
        <c:axId val="43706692"/>
        <c:scaling>
          <c:orientation val="minMax"/>
        </c:scaling>
        <c:delete val="0"/>
        <c:axPos val="l"/>
        <c:majorGridlines>
          <c:spPr>
            <a:ln w="1800">
              <a:solidFill>
                <a:srgbClr val="D9D9D9"/>
              </a:solidFill>
              <a:round/>
            </a:ln>
          </c:spPr>
        </c:majorGridlines>
        <c:title>
          <c:tx>
            <c:rich>
              <a:bodyPr rot="-5400000"/>
              <a:lstStyle/>
              <a:p>
                <a:pPr>
                  <a:defRPr sz="800" b="0" strike="noStrike" spc="-1">
                    <a:solidFill>
                      <a:srgbClr val="000000"/>
                    </a:solidFill>
                    <a:latin typeface="Trebuchet MS"/>
                    <a:ea typeface="Calibri"/>
                  </a:defRPr>
                </a:pPr>
                <a:r>
                  <a:rPr lang="fr-FR" sz="800" b="0" strike="noStrike" spc="-1">
                    <a:solidFill>
                      <a:srgbClr val="000000"/>
                    </a:solidFill>
                    <a:latin typeface="Trebuchet MS"/>
                    <a:ea typeface="Calibri"/>
                  </a:rPr>
                  <a:t>tonnes équivalent CO2</a:t>
                </a:r>
              </a:p>
            </c:rich>
          </c:tx>
          <c:overlay val="0"/>
          <c:spPr>
            <a:noFill/>
            <a:ln>
              <a:noFill/>
            </a:ln>
          </c:spPr>
        </c:title>
        <c:numFmt formatCode="#,##0" sourceLinked="0"/>
        <c:majorTickMark val="out"/>
        <c:minorTickMark val="none"/>
        <c:tickLblPos val="nextTo"/>
        <c:spPr>
          <a:ln w="3240">
            <a:solidFill>
              <a:srgbClr val="8B8B8B"/>
            </a:solidFill>
            <a:round/>
          </a:ln>
        </c:spPr>
        <c:txPr>
          <a:bodyPr/>
          <a:lstStyle/>
          <a:p>
            <a:pPr>
              <a:defRPr sz="800" b="0" strike="noStrike" spc="-1">
                <a:solidFill>
                  <a:srgbClr val="000000"/>
                </a:solidFill>
                <a:latin typeface="Trebuchet MS"/>
                <a:ea typeface="Trebuchet MS"/>
              </a:defRPr>
            </a:pPr>
            <a:endParaRPr lang="fr-FR"/>
          </a:p>
        </c:txPr>
        <c:crossAx val="1141313"/>
        <c:crosses val="autoZero"/>
        <c:crossBetween val="midCat"/>
      </c:valAx>
      <c:spPr>
        <a:solidFill>
          <a:srgbClr val="FFFFFF"/>
        </a:solidFill>
        <a:ln>
          <a:noFill/>
        </a:ln>
      </c:spPr>
    </c:plotArea>
    <c:plotVisOnly val="1"/>
    <c:dispBlanksAs val="gap"/>
    <c:showDLblsOverMax val="1"/>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démographique (Projections INSEE)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Calculs!$B$4:$S$4</c:f>
              <c:numCache>
                <c:formatCode>General</c:formatCode>
                <c:ptCount val="18"/>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2025</c:v>
                </c:pt>
                <c:pt idx="13">
                  <c:v>2030</c:v>
                </c:pt>
                <c:pt idx="14">
                  <c:v>2035</c:v>
                </c:pt>
                <c:pt idx="15">
                  <c:v>2040</c:v>
                </c:pt>
                <c:pt idx="16">
                  <c:v>2045</c:v>
                </c:pt>
                <c:pt idx="17">
                  <c:v>2050</c:v>
                </c:pt>
              </c:numCache>
            </c:numRef>
          </c:xVal>
          <c:yVal>
            <c:numRef>
              <c:f>Calculs!$B$5:$S$5</c:f>
              <c:numCache>
                <c:formatCode>#,##0</c:formatCode>
                <c:ptCount val="18"/>
                <c:pt idx="0">
                  <c:v>821136</c:v>
                </c:pt>
                <c:pt idx="1">
                  <c:v>828581</c:v>
                </c:pt>
                <c:pt idx="2">
                  <c:v>833944</c:v>
                </c:pt>
                <c:pt idx="3">
                  <c:v>835103</c:v>
                </c:pt>
                <c:pt idx="4">
                  <c:v>842767</c:v>
                </c:pt>
                <c:pt idx="5">
                  <c:v>850727</c:v>
                </c:pt>
                <c:pt idx="6">
                  <c:v>852924</c:v>
                </c:pt>
                <c:pt idx="7">
                  <c:v>853659</c:v>
                </c:pt>
                <c:pt idx="8">
                  <c:v>855961</c:v>
                </c:pt>
                <c:pt idx="9">
                  <c:v>861210</c:v>
                </c:pt>
                <c:pt idx="10">
                  <c:v>863197</c:v>
                </c:pt>
                <c:pt idx="11" formatCode="General">
                  <c:v>866000</c:v>
                </c:pt>
                <c:pt idx="12" formatCode="General">
                  <c:v>879000</c:v>
                </c:pt>
                <c:pt idx="13" formatCode="General">
                  <c:v>893000</c:v>
                </c:pt>
                <c:pt idx="14" formatCode="General">
                  <c:v>904000</c:v>
                </c:pt>
                <c:pt idx="15" formatCode="General">
                  <c:v>913000</c:v>
                </c:pt>
                <c:pt idx="16" formatCode="General">
                  <c:v>917000</c:v>
                </c:pt>
                <c:pt idx="17" formatCode="General">
                  <c:v>918000</c:v>
                </c:pt>
              </c:numCache>
            </c:numRef>
          </c:yVal>
          <c:smooth val="1"/>
          <c:extLst>
            <c:ext xmlns:c16="http://schemas.microsoft.com/office/drawing/2014/chart" uri="{C3380CC4-5D6E-409C-BE32-E72D297353CC}">
              <c16:uniqueId val="{00000000-604C-41E0-80EE-8C31DD4740EE}"/>
            </c:ext>
          </c:extLst>
        </c:ser>
        <c:dLbls>
          <c:showLegendKey val="0"/>
          <c:showVal val="0"/>
          <c:showCatName val="0"/>
          <c:showSerName val="0"/>
          <c:showPercent val="0"/>
          <c:showBubbleSize val="0"/>
        </c:dLbls>
        <c:axId val="746369311"/>
        <c:axId val="746371391"/>
      </c:scatterChart>
      <c:valAx>
        <c:axId val="74636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71391"/>
        <c:crosses val="autoZero"/>
        <c:crossBetween val="midCat"/>
      </c:valAx>
      <c:valAx>
        <c:axId val="74637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636931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413657</xdr:colOff>
      <xdr:row>24</xdr:row>
      <xdr:rowOff>87087</xdr:rowOff>
    </xdr:from>
    <xdr:to>
      <xdr:col>12</xdr:col>
      <xdr:colOff>772887</xdr:colOff>
      <xdr:row>54</xdr:row>
      <xdr:rowOff>130628</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54428</xdr:colOff>
      <xdr:row>56</xdr:row>
      <xdr:rowOff>152400</xdr:rowOff>
    </xdr:from>
    <xdr:to>
      <xdr:col>23</xdr:col>
      <xdr:colOff>391887</xdr:colOff>
      <xdr:row>86</xdr:row>
      <xdr:rowOff>130628</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402772</xdr:colOff>
      <xdr:row>56</xdr:row>
      <xdr:rowOff>152401</xdr:rowOff>
    </xdr:from>
    <xdr:to>
      <xdr:col>12</xdr:col>
      <xdr:colOff>740230</xdr:colOff>
      <xdr:row>86</xdr:row>
      <xdr:rowOff>130629</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381001</xdr:colOff>
      <xdr:row>5</xdr:row>
      <xdr:rowOff>32657</xdr:rowOff>
    </xdr:from>
    <xdr:to>
      <xdr:col>8</xdr:col>
      <xdr:colOff>185058</xdr:colOff>
      <xdr:row>20</xdr:row>
      <xdr:rowOff>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173100</xdr:colOff>
      <xdr:row>0</xdr:row>
      <xdr:rowOff>30960</xdr:rowOff>
    </xdr:to>
    <xdr:graphicFrame macro="">
      <xdr:nvGraphicFramePr>
        <xdr:cNvPr id="6"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20</xdr:row>
      <xdr:rowOff>0</xdr:rowOff>
    </xdr:from>
    <xdr:to>
      <xdr:col>9</xdr:col>
      <xdr:colOff>173100</xdr:colOff>
      <xdr:row>20</xdr:row>
      <xdr:rowOff>30960</xdr:rowOff>
    </xdr:to>
    <xdr:graphicFrame macro="">
      <xdr:nvGraphicFramePr>
        <xdr:cNvPr id="7"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403860</xdr:colOff>
      <xdr:row>7</xdr:row>
      <xdr:rowOff>156210</xdr:rowOff>
    </xdr:from>
    <xdr:to>
      <xdr:col>17</xdr:col>
      <xdr:colOff>220980</xdr:colOff>
      <xdr:row>22</xdr:row>
      <xdr:rowOff>156210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_Inventaires%20d'&#233;missions,%20prospective%20et%20&#233;valuation/42_Prospective/421_Sc&#233;narios%20prospectifs%20DGEC/4215_Sc&#233;narios%202023/22-Outre%20mer/Hypoth&#232;ses%20OM_run2/Hypoth&#232;ses%20AME_AMS%202023%20Martiniq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ur Enerdata"/>
      <sheetName val="Cadrage macroéconomique "/>
      <sheetName val="GES"/>
      <sheetName val="Prod Energie"/>
      <sheetName val="Bilan de l'énergie "/>
      <sheetName val="Transports"/>
      <sheetName val="Industrie"/>
      <sheetName val="Résidentiel-tertiaire"/>
      <sheetName val="Résidentiel-Tertiaire 2"/>
      <sheetName val="Agriculture"/>
      <sheetName val="UTCATF"/>
      <sheetName val="Déchets"/>
    </sheetNames>
    <sheetDataSet>
      <sheetData sheetId="0"/>
      <sheetData sheetId="1"/>
      <sheetData sheetId="2"/>
      <sheetData sheetId="3"/>
      <sheetData sheetId="4"/>
      <sheetData sheetId="5"/>
      <sheetData sheetId="6"/>
      <sheetData sheetId="7"/>
      <sheetData sheetId="8">
        <row r="152">
          <cell r="D152">
            <v>760.85335631030102</v>
          </cell>
        </row>
        <row r="159">
          <cell r="D159">
            <v>673.34922536957004</v>
          </cell>
        </row>
      </sheetData>
      <sheetData sheetId="9">
        <row r="29">
          <cell r="J29">
            <v>155.597883335208</v>
          </cell>
        </row>
      </sheetData>
      <sheetData sheetId="10"/>
      <sheetData sheetId="1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68"/>
  <sheetViews>
    <sheetView topLeftCell="A193" zoomScale="70" zoomScaleNormal="70" workbookViewId="0">
      <selection activeCell="C10" sqref="C10"/>
    </sheetView>
  </sheetViews>
  <sheetFormatPr baseColWidth="10" defaultColWidth="8.88671875" defaultRowHeight="14.4"/>
  <cols>
    <col min="1" max="1032" width="10.44140625" customWidth="1"/>
  </cols>
  <sheetData>
    <row r="2" spans="2:30" ht="18">
      <c r="B2" s="395" t="s">
        <v>0</v>
      </c>
      <c r="C2" s="395"/>
      <c r="D2" s="395"/>
    </row>
    <row r="4" spans="2:30">
      <c r="B4" t="s">
        <v>1</v>
      </c>
      <c r="V4" t="s">
        <v>2</v>
      </c>
    </row>
    <row r="5" spans="2:30">
      <c r="B5" t="s">
        <v>3</v>
      </c>
      <c r="C5" s="1">
        <v>2019</v>
      </c>
      <c r="D5" s="1">
        <v>2020</v>
      </c>
      <c r="E5" s="1">
        <v>2025</v>
      </c>
      <c r="F5" s="1">
        <v>2030</v>
      </c>
      <c r="G5" s="1">
        <v>2035</v>
      </c>
      <c r="H5" s="1">
        <v>2040</v>
      </c>
      <c r="I5" s="1">
        <v>2045</v>
      </c>
      <c r="J5" s="1">
        <v>2050</v>
      </c>
      <c r="K5" s="30"/>
      <c r="L5" s="30"/>
      <c r="M5" s="30"/>
      <c r="N5" s="30"/>
      <c r="V5" t="s">
        <v>3</v>
      </c>
      <c r="W5" s="1">
        <v>2019</v>
      </c>
      <c r="X5" s="1">
        <v>2020</v>
      </c>
      <c r="Y5" s="1">
        <v>2025</v>
      </c>
      <c r="Z5" s="1">
        <v>2030</v>
      </c>
      <c r="AA5" s="1">
        <v>2035</v>
      </c>
      <c r="AB5" s="1">
        <v>2040</v>
      </c>
      <c r="AC5" s="1">
        <v>2045</v>
      </c>
      <c r="AD5" s="1">
        <v>2050</v>
      </c>
    </row>
    <row r="6" spans="2:30">
      <c r="B6" s="2" t="s">
        <v>4</v>
      </c>
      <c r="C6" s="2">
        <f t="shared" ref="C6:G6" si="0">C7+C8</f>
        <v>150.29300000000001</v>
      </c>
      <c r="D6" s="2">
        <f t="shared" si="0"/>
        <v>150.91590248699271</v>
      </c>
      <c r="E6" s="2">
        <f t="shared" si="0"/>
        <v>154.01534437044745</v>
      </c>
      <c r="F6" s="2">
        <f t="shared" si="0"/>
        <v>157.08966866805412</v>
      </c>
      <c r="G6" s="2">
        <f t="shared" si="0"/>
        <v>160.1388753798127</v>
      </c>
      <c r="H6" s="2">
        <f>H7+H8</f>
        <v>163.16296450572318</v>
      </c>
      <c r="I6" s="2">
        <f>I7+I8</f>
        <v>166.16193604578561</v>
      </c>
      <c r="J6" s="2">
        <f>J7+J8</f>
        <v>169.13578999999999</v>
      </c>
      <c r="K6" s="2"/>
      <c r="L6" s="2"/>
      <c r="M6" s="2"/>
      <c r="N6" s="2"/>
      <c r="V6" s="2" t="s">
        <v>4</v>
      </c>
      <c r="W6" s="2">
        <f t="shared" ref="W6:AD6" si="1">W7+W8</f>
        <v>150.29300000000001</v>
      </c>
      <c r="X6" s="2">
        <f t="shared" si="1"/>
        <v>150.08811992351718</v>
      </c>
      <c r="Y6" s="2">
        <f t="shared" si="1"/>
        <v>148.92906563371488</v>
      </c>
      <c r="Z6" s="2">
        <f t="shared" si="1"/>
        <v>147.54558816493238</v>
      </c>
      <c r="AA6" s="2">
        <f t="shared" si="1"/>
        <v>145.93768751716959</v>
      </c>
      <c r="AB6" s="2">
        <f t="shared" si="1"/>
        <v>144.1053636904266</v>
      </c>
      <c r="AC6" s="2">
        <f t="shared" si="1"/>
        <v>142.0486166847034</v>
      </c>
      <c r="AD6" s="2">
        <f t="shared" si="1"/>
        <v>139.76744649999998</v>
      </c>
    </row>
    <row r="7" spans="2:30">
      <c r="B7" s="2" t="s">
        <v>5</v>
      </c>
      <c r="C7" s="2">
        <f>Agriculture!D19</f>
        <v>64.367999999999995</v>
      </c>
      <c r="D7" s="2">
        <f>Agriculture!G19</f>
        <v>64.57513635796046</v>
      </c>
      <c r="E7" s="2">
        <f>Agriculture!J19</f>
        <v>65.595747596253901</v>
      </c>
      <c r="F7" s="2">
        <f>Agriculture!M19</f>
        <v>66.591241248699262</v>
      </c>
      <c r="G7" s="2">
        <f>Agriculture!P19</f>
        <v>67.561617315296559</v>
      </c>
      <c r="H7" s="2">
        <f>Agriculture!S19</f>
        <v>68.506875796045776</v>
      </c>
      <c r="I7" s="2">
        <f>Agriculture!V19</f>
        <v>69.427016690946914</v>
      </c>
      <c r="J7" s="2">
        <f>Agriculture!Y19</f>
        <v>70.322039999999987</v>
      </c>
      <c r="K7" s="2"/>
      <c r="L7" s="2"/>
      <c r="M7" s="2"/>
      <c r="N7" s="2"/>
      <c r="V7" s="2" t="s">
        <v>5</v>
      </c>
      <c r="W7" s="2">
        <f>Agriculture!D35</f>
        <v>64.367999999999995</v>
      </c>
      <c r="X7" s="2">
        <f>Agriculture!G35</f>
        <v>63.886613094693026</v>
      </c>
      <c r="Y7" s="2">
        <f>Agriculture!J35</f>
        <v>61.36514237669094</v>
      </c>
      <c r="Z7" s="2">
        <f>Agriculture!M35</f>
        <v>58.652778006243494</v>
      </c>
      <c r="AA7" s="2">
        <f>Agriculture!P35</f>
        <v>55.749519983350673</v>
      </c>
      <c r="AB7" s="2">
        <f>Agriculture!S35</f>
        <v>52.655368308012484</v>
      </c>
      <c r="AC7" s="2">
        <f>Agriculture!V35</f>
        <v>49.37032298022892</v>
      </c>
      <c r="AD7" s="2">
        <f>Agriculture!Y35</f>
        <v>45.894383999999995</v>
      </c>
    </row>
    <row r="8" spans="2:30">
      <c r="B8" s="2" t="s">
        <v>6</v>
      </c>
      <c r="C8" s="2">
        <f>Agriculture!D20</f>
        <v>85.924999999999997</v>
      </c>
      <c r="D8" s="2">
        <f>Agriculture!G20</f>
        <v>86.340766129032261</v>
      </c>
      <c r="E8" s="2">
        <f>Agriculture!J20</f>
        <v>88.41959677419355</v>
      </c>
      <c r="F8" s="2">
        <f>Agriculture!M20</f>
        <v>90.49842741935484</v>
      </c>
      <c r="G8" s="2">
        <f>Agriculture!P20</f>
        <v>92.57725806451613</v>
      </c>
      <c r="H8" s="2">
        <f>Agriculture!S20</f>
        <v>94.656088709677405</v>
      </c>
      <c r="I8" s="2">
        <f>Agriculture!V20</f>
        <v>96.734919354838695</v>
      </c>
      <c r="J8" s="2">
        <f>Agriculture!Y20</f>
        <v>98.813749999999985</v>
      </c>
      <c r="K8" s="2"/>
      <c r="L8" s="2"/>
      <c r="M8" s="2"/>
      <c r="N8" s="2"/>
      <c r="V8" s="2" t="s">
        <v>6</v>
      </c>
      <c r="W8" s="2">
        <f>Agriculture!D36</f>
        <v>85.924999999999997</v>
      </c>
      <c r="X8" s="2">
        <f>Agriculture!G36</f>
        <v>86.201506828824151</v>
      </c>
      <c r="Y8" s="2">
        <f>Agriculture!J36</f>
        <v>87.563923257023944</v>
      </c>
      <c r="Z8" s="2">
        <f>Agriculture!M36</f>
        <v>88.892810158688874</v>
      </c>
      <c r="AA8" s="2">
        <f>Agriculture!P36</f>
        <v>90.188167533818927</v>
      </c>
      <c r="AB8" s="2">
        <f>Agriculture!S36</f>
        <v>91.44999538241413</v>
      </c>
      <c r="AC8" s="2">
        <f>Agriculture!V36</f>
        <v>92.678293704474484</v>
      </c>
      <c r="AD8" s="2">
        <f>Agriculture!Y36</f>
        <v>93.873062499999975</v>
      </c>
    </row>
    <row r="9" spans="2:30">
      <c r="B9" s="2" t="s">
        <v>7</v>
      </c>
      <c r="C9" s="2">
        <f>Déchets!B21</f>
        <v>117.96690475680499</v>
      </c>
      <c r="D9" s="2">
        <f>Déchets!C21</f>
        <v>120.90787854697898</v>
      </c>
      <c r="E9" s="2">
        <f>Déchets!D21</f>
        <v>120.40533749829669</v>
      </c>
      <c r="F9" s="2">
        <f>Déchets!E21</f>
        <v>119.27513950194393</v>
      </c>
      <c r="G9" s="2">
        <f>Déchets!F21</f>
        <v>117.65891313429874</v>
      </c>
      <c r="H9" s="2">
        <f>Déchets!G21</f>
        <v>115.71411702501202</v>
      </c>
      <c r="I9" s="2">
        <f>Déchets!H21</f>
        <v>113.09124762618808</v>
      </c>
      <c r="J9" s="2">
        <f>Déchets!I21</f>
        <v>110.08133035303436</v>
      </c>
      <c r="K9" s="2"/>
      <c r="L9" s="2"/>
      <c r="M9" s="2"/>
      <c r="N9" s="2"/>
      <c r="V9" s="2" t="s">
        <v>7</v>
      </c>
      <c r="W9" s="2">
        <f>Déchets!B34</f>
        <v>117.96690475680499</v>
      </c>
      <c r="X9" s="2">
        <f>Déchets!C34</f>
        <v>117.60814975513901</v>
      </c>
      <c r="Y9" s="2">
        <f>Déchets!D34</f>
        <v>101.16577494230481</v>
      </c>
      <c r="Z9" s="2">
        <f>Déchets!E34</f>
        <v>85.243347212330633</v>
      </c>
      <c r="AA9" s="2">
        <f>Déchets!F34</f>
        <v>70.20253219946315</v>
      </c>
      <c r="AB9" s="2">
        <f>Déchets!G34</f>
        <v>56.325774807159675</v>
      </c>
      <c r="AC9" s="2">
        <f>Déchets!H34</f>
        <v>43.615717451356893</v>
      </c>
      <c r="AD9" s="2">
        <f>Déchets!I34</f>
        <v>32.376861868539521</v>
      </c>
    </row>
    <row r="10" spans="2:30">
      <c r="B10" s="2" t="s">
        <v>8</v>
      </c>
      <c r="C10" s="2">
        <f>UTCATF!B10</f>
        <v>94.935672080342201</v>
      </c>
      <c r="D10" s="2">
        <f>UTCATF!C10</f>
        <v>92.626618142266651</v>
      </c>
      <c r="E10" s="2">
        <f>UTCATF!D10</f>
        <v>81.081348451888871</v>
      </c>
      <c r="F10" s="2">
        <f>UTCATF!E10</f>
        <v>69.536078761511106</v>
      </c>
      <c r="G10" s="2">
        <f>UTCATF!F10</f>
        <v>57.990809071133327</v>
      </c>
      <c r="H10" s="2">
        <f>UTCATF!G10</f>
        <v>46.445539380755555</v>
      </c>
      <c r="I10" s="2">
        <f>UTCATF!H10</f>
        <v>34.900269690377776</v>
      </c>
      <c r="J10" s="2">
        <f>UTCATF!I10</f>
        <v>23.355</v>
      </c>
      <c r="K10" s="2"/>
      <c r="L10" s="2"/>
      <c r="M10" s="2"/>
      <c r="N10" s="2"/>
      <c r="V10" s="2" t="s">
        <v>8</v>
      </c>
      <c r="W10" s="2">
        <f>UTCATF!B16</f>
        <v>94.935672080342201</v>
      </c>
      <c r="X10" s="2">
        <f>UTCATF!C16</f>
        <v>91.873231045492446</v>
      </c>
      <c r="Y10" s="2">
        <f>UTCATF!D16</f>
        <v>76.561025871243714</v>
      </c>
      <c r="Z10" s="2">
        <f>UTCATF!E16</f>
        <v>61.248820696994969</v>
      </c>
      <c r="AA10" s="2">
        <f>UTCATF!F16</f>
        <v>45.936615522746223</v>
      </c>
      <c r="AB10" s="2">
        <f>UTCATF!G16</f>
        <v>30.624410348497491</v>
      </c>
      <c r="AC10" s="2">
        <f>UTCATF!H16</f>
        <v>15.312205174248732</v>
      </c>
      <c r="AD10" s="2">
        <f>UTCATF!I16</f>
        <v>0</v>
      </c>
    </row>
    <row r="13" spans="2:30" ht="18">
      <c r="B13" s="395" t="s">
        <v>9</v>
      </c>
      <c r="C13" s="395"/>
      <c r="D13" s="395"/>
    </row>
    <row r="16" spans="2:30">
      <c r="C16" s="3" t="s">
        <v>10</v>
      </c>
      <c r="V16" s="3" t="s">
        <v>11</v>
      </c>
    </row>
    <row r="17" spans="2:31">
      <c r="C17" t="s">
        <v>12</v>
      </c>
      <c r="V17" t="s">
        <v>12</v>
      </c>
    </row>
    <row r="18" spans="2:31">
      <c r="C18" t="s">
        <v>13</v>
      </c>
      <c r="V18" s="4" t="s">
        <v>13</v>
      </c>
    </row>
    <row r="19" spans="2:31" ht="57.6">
      <c r="B19" s="5"/>
      <c r="C19" s="6" t="s">
        <v>14</v>
      </c>
      <c r="D19" s="6" t="s">
        <v>15</v>
      </c>
      <c r="E19" s="6" t="s">
        <v>16</v>
      </c>
      <c r="F19" s="6" t="s">
        <v>17</v>
      </c>
      <c r="G19" s="6" t="s">
        <v>18</v>
      </c>
      <c r="H19" s="251" t="s">
        <v>384</v>
      </c>
      <c r="I19" s="251" t="s">
        <v>150</v>
      </c>
      <c r="J19" s="251" t="s">
        <v>385</v>
      </c>
      <c r="K19" s="251" t="s">
        <v>7</v>
      </c>
      <c r="L19" s="251" t="s">
        <v>386</v>
      </c>
      <c r="M19" s="251" t="s">
        <v>149</v>
      </c>
      <c r="N19" s="251" t="s">
        <v>387</v>
      </c>
      <c r="O19" s="254" t="s">
        <v>19</v>
      </c>
      <c r="P19" s="6" t="s">
        <v>20</v>
      </c>
      <c r="Q19" s="6" t="s">
        <v>21</v>
      </c>
      <c r="R19" s="7" t="s">
        <v>22</v>
      </c>
      <c r="S19" s="6" t="s">
        <v>23</v>
      </c>
      <c r="U19" s="5"/>
      <c r="V19" s="6" t="s">
        <v>14</v>
      </c>
      <c r="W19" s="6" t="s">
        <v>15</v>
      </c>
      <c r="X19" s="6" t="s">
        <v>16</v>
      </c>
      <c r="Y19" s="6" t="s">
        <v>17</v>
      </c>
      <c r="Z19" s="6" t="s">
        <v>18</v>
      </c>
      <c r="AA19" s="6" t="s">
        <v>19</v>
      </c>
      <c r="AB19" s="6" t="s">
        <v>20</v>
      </c>
      <c r="AC19" s="6" t="s">
        <v>21</v>
      </c>
      <c r="AD19" s="7" t="s">
        <v>22</v>
      </c>
      <c r="AE19" s="6" t="s">
        <v>23</v>
      </c>
    </row>
    <row r="20" spans="2:31">
      <c r="B20" s="8" t="s">
        <v>24</v>
      </c>
      <c r="C20" s="9">
        <v>0</v>
      </c>
      <c r="D20" s="9">
        <v>0</v>
      </c>
      <c r="E20" s="9">
        <v>0</v>
      </c>
      <c r="F20" s="9">
        <v>0</v>
      </c>
      <c r="G20" s="9">
        <v>678</v>
      </c>
      <c r="H20" s="252">
        <v>873.30980373516763</v>
      </c>
      <c r="I20" s="252">
        <v>70.756794291068672</v>
      </c>
      <c r="J20" s="252">
        <v>0</v>
      </c>
      <c r="K20" s="252">
        <v>90.647752968071387</v>
      </c>
      <c r="L20" s="252">
        <v>379.83668363960567</v>
      </c>
      <c r="M20" s="252">
        <v>485.31857264308019</v>
      </c>
      <c r="N20" s="252">
        <v>0</v>
      </c>
      <c r="O20" s="255">
        <v>1910</v>
      </c>
      <c r="P20" s="9">
        <v>0</v>
      </c>
      <c r="Q20" s="9">
        <v>0</v>
      </c>
      <c r="R20" s="11">
        <v>0</v>
      </c>
      <c r="S20" s="9">
        <v>2588</v>
      </c>
      <c r="U20" s="8" t="s">
        <v>24</v>
      </c>
      <c r="V20" s="9">
        <v>0</v>
      </c>
      <c r="W20" s="9">
        <v>0</v>
      </c>
      <c r="X20" s="9">
        <v>0</v>
      </c>
      <c r="Y20" s="9">
        <v>0</v>
      </c>
      <c r="Z20" s="9">
        <v>678</v>
      </c>
      <c r="AA20" s="10">
        <v>1910</v>
      </c>
      <c r="AB20" s="9">
        <v>0</v>
      </c>
      <c r="AC20" s="9">
        <v>0</v>
      </c>
      <c r="AD20" s="11">
        <v>0</v>
      </c>
      <c r="AE20" s="9">
        <v>2588</v>
      </c>
    </row>
    <row r="21" spans="2:31">
      <c r="B21" s="8" t="s">
        <v>25</v>
      </c>
      <c r="C21" s="9">
        <v>0</v>
      </c>
      <c r="D21" s="9">
        <v>0</v>
      </c>
      <c r="E21" s="9">
        <v>0</v>
      </c>
      <c r="F21" s="9">
        <v>0</v>
      </c>
      <c r="G21" s="9">
        <v>422</v>
      </c>
      <c r="H21" s="252">
        <v>0</v>
      </c>
      <c r="I21" s="252">
        <v>0</v>
      </c>
      <c r="J21" s="252">
        <v>0</v>
      </c>
      <c r="K21" s="252">
        <v>0</v>
      </c>
      <c r="L21" s="252">
        <v>0</v>
      </c>
      <c r="M21" s="252">
        <v>0</v>
      </c>
      <c r="N21" s="252">
        <v>0</v>
      </c>
      <c r="O21" s="255">
        <v>0</v>
      </c>
      <c r="P21" s="9">
        <v>0</v>
      </c>
      <c r="Q21" s="9">
        <v>0</v>
      </c>
      <c r="R21" s="11">
        <v>0</v>
      </c>
      <c r="S21" s="9">
        <v>422</v>
      </c>
      <c r="U21" s="8" t="s">
        <v>25</v>
      </c>
      <c r="V21" s="9">
        <v>0</v>
      </c>
      <c r="W21" s="9">
        <v>0</v>
      </c>
      <c r="X21" s="9">
        <v>0</v>
      </c>
      <c r="Y21" s="9">
        <v>0</v>
      </c>
      <c r="Z21" s="9">
        <v>422</v>
      </c>
      <c r="AA21" s="10">
        <v>0</v>
      </c>
      <c r="AB21" s="9">
        <v>0</v>
      </c>
      <c r="AC21" s="9">
        <v>0</v>
      </c>
      <c r="AD21" s="11">
        <v>0</v>
      </c>
      <c r="AE21" s="9">
        <v>422</v>
      </c>
    </row>
    <row r="22" spans="2:31">
      <c r="B22" s="8" t="s">
        <v>26</v>
      </c>
      <c r="C22" s="9">
        <v>0</v>
      </c>
      <c r="D22" s="9">
        <v>0</v>
      </c>
      <c r="E22" s="9">
        <v>0</v>
      </c>
      <c r="F22" s="9">
        <v>0</v>
      </c>
      <c r="G22" s="9">
        <v>12</v>
      </c>
      <c r="H22" s="252">
        <v>0</v>
      </c>
      <c r="I22" s="252">
        <v>0</v>
      </c>
      <c r="J22" s="252">
        <v>0</v>
      </c>
      <c r="K22" s="252">
        <v>0</v>
      </c>
      <c r="L22" s="252">
        <v>0</v>
      </c>
      <c r="M22" s="252">
        <v>0</v>
      </c>
      <c r="N22" s="252">
        <v>0</v>
      </c>
      <c r="O22" s="255">
        <v>0</v>
      </c>
      <c r="P22" s="9">
        <v>0</v>
      </c>
      <c r="Q22" s="9">
        <v>0</v>
      </c>
      <c r="R22" s="11">
        <v>0</v>
      </c>
      <c r="S22" s="9">
        <v>12</v>
      </c>
      <c r="U22" s="8" t="s">
        <v>26</v>
      </c>
      <c r="V22" s="9">
        <v>0</v>
      </c>
      <c r="W22" s="9">
        <v>0</v>
      </c>
      <c r="X22" s="9">
        <v>0</v>
      </c>
      <c r="Y22" s="9">
        <v>0</v>
      </c>
      <c r="Z22" s="9">
        <v>12</v>
      </c>
      <c r="AA22" s="10">
        <v>0</v>
      </c>
      <c r="AB22" s="9">
        <v>0</v>
      </c>
      <c r="AC22" s="9">
        <v>0</v>
      </c>
      <c r="AD22" s="11">
        <v>0</v>
      </c>
      <c r="AE22" s="9">
        <v>12</v>
      </c>
    </row>
    <row r="23" spans="2:31">
      <c r="B23" s="8" t="s">
        <v>27</v>
      </c>
      <c r="C23" s="9">
        <v>0</v>
      </c>
      <c r="D23" s="9">
        <v>0</v>
      </c>
      <c r="E23" s="9">
        <v>0</v>
      </c>
      <c r="F23" s="9">
        <v>0</v>
      </c>
      <c r="G23" s="9">
        <v>244</v>
      </c>
      <c r="H23" s="252">
        <v>0</v>
      </c>
      <c r="I23" s="252">
        <v>0</v>
      </c>
      <c r="J23" s="252">
        <v>0</v>
      </c>
      <c r="K23" s="252">
        <v>0</v>
      </c>
      <c r="L23" s="252">
        <v>0</v>
      </c>
      <c r="M23" s="252">
        <v>0</v>
      </c>
      <c r="N23" s="252">
        <v>0</v>
      </c>
      <c r="O23" s="255">
        <v>0</v>
      </c>
      <c r="P23" s="9">
        <v>0</v>
      </c>
      <c r="Q23" s="9">
        <v>0</v>
      </c>
      <c r="R23" s="11">
        <v>0</v>
      </c>
      <c r="S23" s="9">
        <v>244</v>
      </c>
      <c r="U23" s="8" t="s">
        <v>27</v>
      </c>
      <c r="V23" s="9">
        <v>0</v>
      </c>
      <c r="W23" s="9">
        <v>0</v>
      </c>
      <c r="X23" s="9">
        <v>0</v>
      </c>
      <c r="Y23" s="9">
        <v>0</v>
      </c>
      <c r="Z23" s="9">
        <v>244</v>
      </c>
      <c r="AA23" s="10">
        <v>0</v>
      </c>
      <c r="AB23" s="9">
        <v>0</v>
      </c>
      <c r="AC23" s="9">
        <v>0</v>
      </c>
      <c r="AD23" s="11">
        <v>0</v>
      </c>
      <c r="AE23" s="9">
        <v>244</v>
      </c>
    </row>
    <row r="24" spans="2:31">
      <c r="B24" s="8" t="s">
        <v>28</v>
      </c>
      <c r="C24" s="9">
        <v>3907</v>
      </c>
      <c r="D24" s="9">
        <v>0</v>
      </c>
      <c r="E24" s="9">
        <v>11017</v>
      </c>
      <c r="F24" s="9">
        <v>0</v>
      </c>
      <c r="G24" s="9">
        <v>0</v>
      </c>
      <c r="H24" s="252">
        <v>0</v>
      </c>
      <c r="I24" s="252">
        <v>0</v>
      </c>
      <c r="J24" s="252">
        <v>0</v>
      </c>
      <c r="K24" s="252">
        <v>0</v>
      </c>
      <c r="L24" s="252">
        <v>0</v>
      </c>
      <c r="M24" s="252">
        <v>0</v>
      </c>
      <c r="N24" s="252">
        <v>0</v>
      </c>
      <c r="O24" s="255">
        <v>0</v>
      </c>
      <c r="P24" s="9">
        <v>0</v>
      </c>
      <c r="Q24" s="9">
        <v>0</v>
      </c>
      <c r="R24" s="11">
        <v>0</v>
      </c>
      <c r="S24" s="9">
        <v>14923</v>
      </c>
      <c r="U24" s="8" t="s">
        <v>28</v>
      </c>
      <c r="V24" s="9">
        <v>3907</v>
      </c>
      <c r="W24" s="9">
        <v>0</v>
      </c>
      <c r="X24" s="9">
        <v>11017</v>
      </c>
      <c r="Y24" s="9">
        <v>0</v>
      </c>
      <c r="Z24" s="9">
        <v>0</v>
      </c>
      <c r="AA24" s="10">
        <v>0</v>
      </c>
      <c r="AB24" s="9">
        <v>0</v>
      </c>
      <c r="AC24" s="9">
        <v>0</v>
      </c>
      <c r="AD24" s="11">
        <v>0</v>
      </c>
      <c r="AE24" s="9">
        <v>14923</v>
      </c>
    </row>
    <row r="25" spans="2:31">
      <c r="B25" s="8" t="s">
        <v>29</v>
      </c>
      <c r="C25" s="9">
        <v>0</v>
      </c>
      <c r="D25" s="9">
        <v>0</v>
      </c>
      <c r="E25" s="9">
        <v>-23</v>
      </c>
      <c r="F25" s="9">
        <v>0</v>
      </c>
      <c r="G25" s="9">
        <v>0</v>
      </c>
      <c r="H25" s="252">
        <v>0</v>
      </c>
      <c r="I25" s="252">
        <v>0</v>
      </c>
      <c r="J25" s="252">
        <v>0</v>
      </c>
      <c r="K25" s="252">
        <v>0</v>
      </c>
      <c r="L25" s="252">
        <v>0</v>
      </c>
      <c r="M25" s="252">
        <v>0</v>
      </c>
      <c r="N25" s="252">
        <v>0</v>
      </c>
      <c r="O25" s="255">
        <v>0</v>
      </c>
      <c r="P25" s="9">
        <v>0</v>
      </c>
      <c r="Q25" s="9">
        <v>0</v>
      </c>
      <c r="R25" s="11">
        <v>0</v>
      </c>
      <c r="S25" s="9">
        <v>-23</v>
      </c>
      <c r="U25" s="8" t="s">
        <v>29</v>
      </c>
      <c r="V25" s="9">
        <v>0</v>
      </c>
      <c r="W25" s="9">
        <v>0</v>
      </c>
      <c r="X25" s="9">
        <v>-23</v>
      </c>
      <c r="Y25" s="9">
        <v>0</v>
      </c>
      <c r="Z25" s="9">
        <v>0</v>
      </c>
      <c r="AA25" s="10">
        <v>0</v>
      </c>
      <c r="AB25" s="9">
        <v>0</v>
      </c>
      <c r="AC25" s="9">
        <v>0</v>
      </c>
      <c r="AD25" s="11">
        <v>0</v>
      </c>
      <c r="AE25" s="9">
        <v>-23</v>
      </c>
    </row>
    <row r="26" spans="2:31">
      <c r="B26" s="8" t="s">
        <v>30</v>
      </c>
      <c r="C26" s="9">
        <v>0</v>
      </c>
      <c r="D26" s="9">
        <v>0</v>
      </c>
      <c r="E26" s="9">
        <v>0</v>
      </c>
      <c r="F26" s="9">
        <v>0</v>
      </c>
      <c r="G26" s="9">
        <v>0</v>
      </c>
      <c r="H26" s="252">
        <v>0</v>
      </c>
      <c r="I26" s="252">
        <v>0</v>
      </c>
      <c r="J26" s="252">
        <v>0</v>
      </c>
      <c r="K26" s="252">
        <v>0</v>
      </c>
      <c r="L26" s="252">
        <v>0</v>
      </c>
      <c r="M26" s="252">
        <v>0</v>
      </c>
      <c r="N26" s="252">
        <v>0</v>
      </c>
      <c r="O26" s="255">
        <v>0</v>
      </c>
      <c r="P26" s="9">
        <v>0</v>
      </c>
      <c r="Q26" s="9">
        <v>0</v>
      </c>
      <c r="R26" s="11">
        <v>0</v>
      </c>
      <c r="S26" s="9">
        <v>0</v>
      </c>
      <c r="U26" s="8" t="s">
        <v>30</v>
      </c>
      <c r="V26" s="9">
        <v>0</v>
      </c>
      <c r="W26" s="9">
        <v>0</v>
      </c>
      <c r="X26" s="9">
        <v>0</v>
      </c>
      <c r="Y26" s="9">
        <v>0</v>
      </c>
      <c r="Z26" s="9">
        <v>0</v>
      </c>
      <c r="AA26" s="10">
        <v>0</v>
      </c>
      <c r="AB26" s="9">
        <v>0</v>
      </c>
      <c r="AC26" s="9">
        <v>0</v>
      </c>
      <c r="AD26" s="11">
        <v>0</v>
      </c>
      <c r="AE26" s="9">
        <v>0</v>
      </c>
    </row>
    <row r="27" spans="2:31">
      <c r="B27" s="8" t="s">
        <v>31</v>
      </c>
      <c r="C27" s="9">
        <v>0</v>
      </c>
      <c r="D27" s="9">
        <v>0</v>
      </c>
      <c r="E27" s="9">
        <v>-2459</v>
      </c>
      <c r="F27" s="9">
        <v>0</v>
      </c>
      <c r="G27" s="9">
        <v>0</v>
      </c>
      <c r="H27" s="252">
        <v>0</v>
      </c>
      <c r="I27" s="252">
        <v>0</v>
      </c>
      <c r="J27" s="252">
        <v>0</v>
      </c>
      <c r="K27" s="252">
        <v>0</v>
      </c>
      <c r="L27" s="252">
        <v>0</v>
      </c>
      <c r="M27" s="252">
        <v>0</v>
      </c>
      <c r="N27" s="252">
        <v>0</v>
      </c>
      <c r="O27" s="255">
        <v>0</v>
      </c>
      <c r="P27" s="9">
        <v>0</v>
      </c>
      <c r="Q27" s="9">
        <v>0</v>
      </c>
      <c r="R27" s="11">
        <v>0</v>
      </c>
      <c r="S27" s="9">
        <v>-2459</v>
      </c>
      <c r="U27" s="8" t="s">
        <v>31</v>
      </c>
      <c r="V27" s="9">
        <v>0</v>
      </c>
      <c r="W27" s="9">
        <v>0</v>
      </c>
      <c r="X27" s="9">
        <v>-2459</v>
      </c>
      <c r="Y27" s="9">
        <v>0</v>
      </c>
      <c r="Z27" s="9">
        <v>0</v>
      </c>
      <c r="AA27" s="10">
        <v>0</v>
      </c>
      <c r="AB27" s="9">
        <v>0</v>
      </c>
      <c r="AC27" s="9">
        <v>0</v>
      </c>
      <c r="AD27" s="11">
        <v>0</v>
      </c>
      <c r="AE27" s="9">
        <v>-2459</v>
      </c>
    </row>
    <row r="28" spans="2:31">
      <c r="B28" s="8" t="s">
        <v>32</v>
      </c>
      <c r="C28" s="9">
        <v>271</v>
      </c>
      <c r="D28" s="9">
        <v>0</v>
      </c>
      <c r="E28" s="9">
        <v>0</v>
      </c>
      <c r="F28" s="9">
        <v>0</v>
      </c>
      <c r="G28" s="9">
        <v>0</v>
      </c>
      <c r="H28" s="252">
        <v>0</v>
      </c>
      <c r="I28" s="252">
        <v>0</v>
      </c>
      <c r="J28" s="252">
        <v>0</v>
      </c>
      <c r="K28" s="252">
        <v>0</v>
      </c>
      <c r="L28" s="252">
        <v>0</v>
      </c>
      <c r="M28" s="252">
        <v>0</v>
      </c>
      <c r="N28" s="252">
        <v>0</v>
      </c>
      <c r="O28" s="255">
        <v>0</v>
      </c>
      <c r="P28" s="9">
        <v>0</v>
      </c>
      <c r="Q28" s="9">
        <v>0</v>
      </c>
      <c r="R28" s="11">
        <v>0</v>
      </c>
      <c r="S28" s="9">
        <v>271</v>
      </c>
      <c r="U28" s="8" t="s">
        <v>32</v>
      </c>
      <c r="V28" s="9">
        <v>271</v>
      </c>
      <c r="W28" s="9">
        <v>0</v>
      </c>
      <c r="X28" s="9">
        <v>0</v>
      </c>
      <c r="Y28" s="9">
        <v>0</v>
      </c>
      <c r="Z28" s="9">
        <v>0</v>
      </c>
      <c r="AA28" s="10">
        <v>0</v>
      </c>
      <c r="AB28" s="9">
        <v>0</v>
      </c>
      <c r="AC28" s="9">
        <v>0</v>
      </c>
      <c r="AD28" s="11">
        <v>0</v>
      </c>
      <c r="AE28" s="9">
        <v>271</v>
      </c>
    </row>
    <row r="29" spans="2:31">
      <c r="B29" s="12" t="s">
        <v>33</v>
      </c>
      <c r="C29" s="13">
        <v>4177</v>
      </c>
      <c r="D29" s="13">
        <v>0</v>
      </c>
      <c r="E29" s="13">
        <v>8535</v>
      </c>
      <c r="F29" s="13">
        <v>0</v>
      </c>
      <c r="G29" s="13">
        <v>678</v>
      </c>
      <c r="H29" s="13"/>
      <c r="I29" s="13"/>
      <c r="J29" s="13"/>
      <c r="K29" s="13"/>
      <c r="L29" s="13"/>
      <c r="M29" s="13"/>
      <c r="N29" s="13"/>
      <c r="O29" s="256">
        <v>1910</v>
      </c>
      <c r="P29" s="13">
        <v>0</v>
      </c>
      <c r="Q29" s="13">
        <v>0</v>
      </c>
      <c r="R29" s="15">
        <v>0</v>
      </c>
      <c r="S29" s="13">
        <v>15300</v>
      </c>
      <c r="U29" s="12" t="s">
        <v>33</v>
      </c>
      <c r="V29" s="13">
        <v>4177</v>
      </c>
      <c r="W29" s="13">
        <v>0</v>
      </c>
      <c r="X29" s="13">
        <v>8535</v>
      </c>
      <c r="Y29" s="13">
        <v>0</v>
      </c>
      <c r="Z29" s="13">
        <v>678</v>
      </c>
      <c r="AA29" s="14">
        <v>1910</v>
      </c>
      <c r="AB29" s="13">
        <v>0</v>
      </c>
      <c r="AC29" s="13">
        <v>0</v>
      </c>
      <c r="AD29" s="15">
        <v>0</v>
      </c>
      <c r="AE29" s="13">
        <v>15300</v>
      </c>
    </row>
    <row r="30" spans="2:31">
      <c r="B30" s="8" t="s">
        <v>34</v>
      </c>
      <c r="C30" s="9">
        <v>0</v>
      </c>
      <c r="D30" s="9">
        <v>0</v>
      </c>
      <c r="E30" s="9">
        <v>-459</v>
      </c>
      <c r="F30" s="9">
        <v>0</v>
      </c>
      <c r="G30" s="9">
        <v>0</v>
      </c>
      <c r="H30" s="252">
        <v>0</v>
      </c>
      <c r="I30" s="252">
        <v>0</v>
      </c>
      <c r="J30" s="252">
        <v>0</v>
      </c>
      <c r="K30" s="252">
        <v>0</v>
      </c>
      <c r="L30" s="252">
        <v>0</v>
      </c>
      <c r="M30" s="252">
        <v>0</v>
      </c>
      <c r="N30" s="252">
        <v>0</v>
      </c>
      <c r="O30" s="255">
        <v>0</v>
      </c>
      <c r="P30" s="9">
        <v>195</v>
      </c>
      <c r="Q30" s="9">
        <v>0</v>
      </c>
      <c r="R30" s="11">
        <v>0</v>
      </c>
      <c r="S30" s="9">
        <v>-289</v>
      </c>
      <c r="U30" s="8" t="s">
        <v>34</v>
      </c>
      <c r="V30" s="9">
        <v>0</v>
      </c>
      <c r="W30" s="9">
        <v>0</v>
      </c>
      <c r="X30" s="9">
        <v>-459</v>
      </c>
      <c r="Y30" s="9">
        <v>0</v>
      </c>
      <c r="Z30" s="9">
        <v>0</v>
      </c>
      <c r="AA30" s="10">
        <v>0</v>
      </c>
      <c r="AB30" s="9">
        <v>195</v>
      </c>
      <c r="AC30" s="9">
        <v>0</v>
      </c>
      <c r="AD30" s="11">
        <v>0</v>
      </c>
      <c r="AE30" s="9">
        <v>-289</v>
      </c>
    </row>
    <row r="31" spans="2:31">
      <c r="B31" s="8" t="s">
        <v>35</v>
      </c>
      <c r="C31" s="9">
        <v>4177</v>
      </c>
      <c r="D31" s="9">
        <v>0</v>
      </c>
      <c r="E31" s="9">
        <v>2289</v>
      </c>
      <c r="F31" s="9">
        <v>0</v>
      </c>
      <c r="G31" s="9">
        <v>678</v>
      </c>
      <c r="H31" s="252">
        <v>671.31942338672661</v>
      </c>
      <c r="I31" s="252">
        <v>52.63824397353865</v>
      </c>
      <c r="J31" s="252">
        <v>0</v>
      </c>
      <c r="K31" s="252">
        <v>65.650901767194625</v>
      </c>
      <c r="L31" s="252">
        <v>0</v>
      </c>
      <c r="M31" s="252">
        <v>404.99600473519394</v>
      </c>
      <c r="N31" s="252">
        <v>0</v>
      </c>
      <c r="O31" s="255">
        <v>1203</v>
      </c>
      <c r="P31" s="9">
        <v>-3179</v>
      </c>
      <c r="Q31" s="9">
        <v>-473</v>
      </c>
      <c r="R31" s="11">
        <v>0</v>
      </c>
      <c r="S31" s="9">
        <v>4697</v>
      </c>
      <c r="U31" s="8" t="s">
        <v>35</v>
      </c>
      <c r="V31" s="9">
        <v>4177</v>
      </c>
      <c r="W31" s="9">
        <v>0</v>
      </c>
      <c r="X31" s="9">
        <v>2289</v>
      </c>
      <c r="Y31" s="9">
        <v>0</v>
      </c>
      <c r="Z31" s="9">
        <v>678</v>
      </c>
      <c r="AA31" s="10">
        <v>1203</v>
      </c>
      <c r="AB31" s="9">
        <v>-3179</v>
      </c>
      <c r="AC31" s="9">
        <v>-473</v>
      </c>
      <c r="AD31" s="11">
        <v>0</v>
      </c>
      <c r="AE31" s="9">
        <v>4697</v>
      </c>
    </row>
    <row r="32" spans="2:31">
      <c r="B32" s="8" t="s">
        <v>36</v>
      </c>
      <c r="C32" s="9">
        <v>0</v>
      </c>
      <c r="D32" s="9">
        <v>0</v>
      </c>
      <c r="E32" s="9">
        <v>0</v>
      </c>
      <c r="F32" s="9">
        <v>0</v>
      </c>
      <c r="G32" s="9">
        <v>0</v>
      </c>
      <c r="H32" s="252">
        <v>0</v>
      </c>
      <c r="I32" s="252">
        <v>0</v>
      </c>
      <c r="J32" s="252">
        <v>0</v>
      </c>
      <c r="K32" s="252">
        <v>0</v>
      </c>
      <c r="L32" s="252">
        <v>0</v>
      </c>
      <c r="M32" s="252">
        <v>0</v>
      </c>
      <c r="N32" s="252">
        <v>0</v>
      </c>
      <c r="O32" s="255">
        <v>0</v>
      </c>
      <c r="P32" s="9">
        <v>0</v>
      </c>
      <c r="Q32" s="9">
        <v>0</v>
      </c>
      <c r="R32" s="11">
        <v>0</v>
      </c>
      <c r="S32" s="9">
        <v>0</v>
      </c>
      <c r="U32" s="8" t="s">
        <v>36</v>
      </c>
      <c r="V32" s="9">
        <v>0</v>
      </c>
      <c r="W32" s="9">
        <v>0</v>
      </c>
      <c r="X32" s="9">
        <v>0</v>
      </c>
      <c r="Y32" s="9">
        <v>0</v>
      </c>
      <c r="Z32" s="9">
        <v>0</v>
      </c>
      <c r="AA32" s="10">
        <v>0</v>
      </c>
      <c r="AB32" s="9">
        <v>0</v>
      </c>
      <c r="AC32" s="9">
        <v>0</v>
      </c>
      <c r="AD32" s="11">
        <v>0</v>
      </c>
      <c r="AE32" s="9">
        <v>0</v>
      </c>
    </row>
    <row r="33" spans="2:31">
      <c r="B33" s="8" t="s">
        <v>37</v>
      </c>
      <c r="C33" s="9">
        <v>0</v>
      </c>
      <c r="D33" s="9">
        <v>0</v>
      </c>
      <c r="E33" s="9">
        <v>0</v>
      </c>
      <c r="F33" s="9">
        <v>0</v>
      </c>
      <c r="G33" s="9">
        <v>0</v>
      </c>
      <c r="H33" s="252">
        <v>0</v>
      </c>
      <c r="I33" s="252">
        <v>0</v>
      </c>
      <c r="J33" s="252">
        <v>0</v>
      </c>
      <c r="K33" s="252">
        <v>0</v>
      </c>
      <c r="L33" s="252">
        <v>0</v>
      </c>
      <c r="M33" s="252">
        <v>0</v>
      </c>
      <c r="N33" s="252">
        <v>0</v>
      </c>
      <c r="O33" s="255">
        <v>0</v>
      </c>
      <c r="P33" s="9">
        <v>0</v>
      </c>
      <c r="Q33" s="9">
        <v>0</v>
      </c>
      <c r="R33" s="11">
        <v>0</v>
      </c>
      <c r="S33" s="9">
        <v>0</v>
      </c>
      <c r="U33" s="8" t="s">
        <v>37</v>
      </c>
      <c r="V33" s="9">
        <v>0</v>
      </c>
      <c r="W33" s="9">
        <v>0</v>
      </c>
      <c r="X33" s="9">
        <v>0</v>
      </c>
      <c r="Y33" s="9">
        <v>0</v>
      </c>
      <c r="Z33" s="9">
        <v>0</v>
      </c>
      <c r="AA33" s="10">
        <v>0</v>
      </c>
      <c r="AB33" s="9">
        <v>0</v>
      </c>
      <c r="AC33" s="9">
        <v>0</v>
      </c>
      <c r="AD33" s="11">
        <v>0</v>
      </c>
      <c r="AE33" s="9">
        <v>0</v>
      </c>
    </row>
    <row r="34" spans="2:31">
      <c r="B34" s="8" t="s">
        <v>38</v>
      </c>
      <c r="C34" s="9">
        <v>0</v>
      </c>
      <c r="D34" s="9">
        <v>0</v>
      </c>
      <c r="E34" s="9">
        <v>0</v>
      </c>
      <c r="F34" s="9">
        <v>0</v>
      </c>
      <c r="G34" s="9">
        <v>0</v>
      </c>
      <c r="H34" s="252">
        <v>0</v>
      </c>
      <c r="I34" s="252">
        <v>0</v>
      </c>
      <c r="J34" s="252">
        <v>0</v>
      </c>
      <c r="K34" s="252">
        <v>0</v>
      </c>
      <c r="L34" s="252">
        <v>0</v>
      </c>
      <c r="M34" s="252">
        <v>0</v>
      </c>
      <c r="N34" s="252">
        <v>0</v>
      </c>
      <c r="O34" s="255">
        <v>0</v>
      </c>
      <c r="P34" s="9">
        <v>35</v>
      </c>
      <c r="Q34" s="9">
        <v>0</v>
      </c>
      <c r="R34" s="11">
        <v>0</v>
      </c>
      <c r="S34" s="9">
        <v>35</v>
      </c>
      <c r="U34" s="8" t="s">
        <v>38</v>
      </c>
      <c r="V34" s="9">
        <v>0</v>
      </c>
      <c r="W34" s="9">
        <v>0</v>
      </c>
      <c r="X34" s="9">
        <v>0</v>
      </c>
      <c r="Y34" s="9">
        <v>0</v>
      </c>
      <c r="Z34" s="9">
        <v>0</v>
      </c>
      <c r="AA34" s="10">
        <v>0</v>
      </c>
      <c r="AB34" s="9">
        <v>35</v>
      </c>
      <c r="AC34" s="9">
        <v>0</v>
      </c>
      <c r="AD34" s="11">
        <v>0</v>
      </c>
      <c r="AE34" s="9">
        <v>35</v>
      </c>
    </row>
    <row r="35" spans="2:31">
      <c r="B35" s="8" t="s">
        <v>39</v>
      </c>
      <c r="C35" s="9">
        <v>0</v>
      </c>
      <c r="D35" s="9">
        <v>0</v>
      </c>
      <c r="E35" s="9">
        <v>0</v>
      </c>
      <c r="F35" s="9">
        <v>0</v>
      </c>
      <c r="G35" s="9">
        <v>0</v>
      </c>
      <c r="H35" s="252">
        <v>0</v>
      </c>
      <c r="I35" s="252">
        <v>0</v>
      </c>
      <c r="J35" s="252">
        <v>0</v>
      </c>
      <c r="K35" s="252">
        <v>0</v>
      </c>
      <c r="L35" s="252">
        <v>0</v>
      </c>
      <c r="M35" s="252">
        <v>0</v>
      </c>
      <c r="N35" s="252">
        <v>0</v>
      </c>
      <c r="O35" s="255">
        <v>0</v>
      </c>
      <c r="P35" s="9">
        <v>204</v>
      </c>
      <c r="Q35" s="9">
        <v>37</v>
      </c>
      <c r="R35" s="11">
        <v>0</v>
      </c>
      <c r="S35" s="9">
        <v>266</v>
      </c>
      <c r="U35" s="8" t="s">
        <v>39</v>
      </c>
      <c r="V35" s="9">
        <v>0</v>
      </c>
      <c r="W35" s="9">
        <v>0</v>
      </c>
      <c r="X35" s="9">
        <v>0</v>
      </c>
      <c r="Y35" s="9">
        <v>0</v>
      </c>
      <c r="Z35" s="9">
        <v>0</v>
      </c>
      <c r="AA35" s="10">
        <v>0</v>
      </c>
      <c r="AB35" s="9">
        <v>204</v>
      </c>
      <c r="AC35" s="9">
        <v>37</v>
      </c>
      <c r="AD35" s="11">
        <v>0</v>
      </c>
      <c r="AE35" s="9">
        <v>266</v>
      </c>
    </row>
    <row r="36" spans="2:31">
      <c r="B36" s="12" t="s">
        <v>40</v>
      </c>
      <c r="C36" s="13">
        <v>4177</v>
      </c>
      <c r="D36" s="13">
        <v>0</v>
      </c>
      <c r="E36" s="13">
        <v>1830</v>
      </c>
      <c r="F36" s="13">
        <v>0</v>
      </c>
      <c r="G36" s="13">
        <v>678</v>
      </c>
      <c r="H36" s="13"/>
      <c r="I36" s="13"/>
      <c r="J36" s="13"/>
      <c r="K36" s="13"/>
      <c r="L36" s="13"/>
      <c r="M36" s="13"/>
      <c r="N36" s="13"/>
      <c r="O36" s="256">
        <v>1203</v>
      </c>
      <c r="P36" s="13">
        <v>-2745</v>
      </c>
      <c r="Q36" s="13">
        <v>-436</v>
      </c>
      <c r="R36" s="15">
        <v>0</v>
      </c>
      <c r="S36" s="13">
        <v>4708</v>
      </c>
      <c r="U36" s="12" t="s">
        <v>40</v>
      </c>
      <c r="V36" s="13">
        <v>4177</v>
      </c>
      <c r="W36" s="13">
        <v>0</v>
      </c>
      <c r="X36" s="13">
        <v>1830</v>
      </c>
      <c r="Y36" s="13">
        <v>0</v>
      </c>
      <c r="Z36" s="13">
        <v>678</v>
      </c>
      <c r="AA36" s="14">
        <v>1203</v>
      </c>
      <c r="AB36" s="13">
        <v>-2745</v>
      </c>
      <c r="AC36" s="13">
        <v>-436</v>
      </c>
      <c r="AD36" s="15">
        <v>0</v>
      </c>
      <c r="AE36" s="13">
        <v>4708</v>
      </c>
    </row>
    <row r="37" spans="2:31">
      <c r="B37" s="8" t="s">
        <v>41</v>
      </c>
      <c r="C37" s="9">
        <v>0</v>
      </c>
      <c r="D37" s="9">
        <v>0</v>
      </c>
      <c r="E37" s="9">
        <v>289</v>
      </c>
      <c r="F37" s="9">
        <v>0</v>
      </c>
      <c r="G37" s="9">
        <v>0</v>
      </c>
      <c r="H37" s="252">
        <v>23.767778734832124</v>
      </c>
      <c r="I37" s="252">
        <v>3.9638354669455418</v>
      </c>
      <c r="J37" s="252">
        <v>0</v>
      </c>
      <c r="K37" s="252">
        <v>0.2060607988509226</v>
      </c>
      <c r="L37" s="252">
        <v>8.0809279371498566E-2</v>
      </c>
      <c r="M37" s="252">
        <v>0</v>
      </c>
      <c r="N37" s="252">
        <v>0</v>
      </c>
      <c r="O37" s="255">
        <v>28</v>
      </c>
      <c r="P37" s="9">
        <v>308</v>
      </c>
      <c r="Q37" s="9">
        <v>436</v>
      </c>
      <c r="R37" s="11">
        <v>0</v>
      </c>
      <c r="S37" s="9">
        <v>1061</v>
      </c>
      <c r="U37" s="8" t="s">
        <v>41</v>
      </c>
      <c r="V37" s="9">
        <v>0</v>
      </c>
      <c r="W37" s="9">
        <v>0</v>
      </c>
      <c r="X37" s="9">
        <v>289</v>
      </c>
      <c r="Y37" s="9">
        <v>0</v>
      </c>
      <c r="Z37" s="9">
        <v>0</v>
      </c>
      <c r="AA37" s="10">
        <v>28</v>
      </c>
      <c r="AB37" s="9">
        <v>308</v>
      </c>
      <c r="AC37" s="9">
        <v>436</v>
      </c>
      <c r="AD37" s="11">
        <v>0</v>
      </c>
      <c r="AE37" s="9">
        <v>1061</v>
      </c>
    </row>
    <row r="38" spans="2:31">
      <c r="B38" s="8" t="s">
        <v>42</v>
      </c>
      <c r="C38" s="9">
        <v>0</v>
      </c>
      <c r="D38" s="9">
        <v>0</v>
      </c>
      <c r="E38" s="9">
        <v>5620</v>
      </c>
      <c r="F38" s="9">
        <v>0</v>
      </c>
      <c r="G38" s="9">
        <v>0</v>
      </c>
      <c r="H38" s="252">
        <v>0</v>
      </c>
      <c r="I38" s="252">
        <v>0</v>
      </c>
      <c r="J38" s="252">
        <v>0</v>
      </c>
      <c r="K38" s="252">
        <v>0</v>
      </c>
      <c r="L38" s="252">
        <v>0</v>
      </c>
      <c r="M38" s="252">
        <v>0</v>
      </c>
      <c r="N38" s="252">
        <v>0</v>
      </c>
      <c r="O38" s="255">
        <v>0</v>
      </c>
      <c r="P38" s="9">
        <v>0</v>
      </c>
      <c r="Q38" s="9">
        <v>0</v>
      </c>
      <c r="R38" s="11">
        <v>0</v>
      </c>
      <c r="S38" s="9">
        <v>5620</v>
      </c>
      <c r="U38" s="8" t="s">
        <v>42</v>
      </c>
      <c r="V38" s="9">
        <v>0</v>
      </c>
      <c r="W38" s="9">
        <v>0</v>
      </c>
      <c r="X38" s="9">
        <v>5620</v>
      </c>
      <c r="Y38" s="9">
        <v>0</v>
      </c>
      <c r="Z38" s="9">
        <v>0</v>
      </c>
      <c r="AA38" s="10">
        <v>0</v>
      </c>
      <c r="AB38" s="9">
        <v>0</v>
      </c>
      <c r="AC38" s="9">
        <v>0</v>
      </c>
      <c r="AD38" s="11">
        <v>0</v>
      </c>
      <c r="AE38" s="9">
        <v>5620</v>
      </c>
    </row>
    <row r="39" spans="2:31">
      <c r="B39" s="8" t="s">
        <v>43</v>
      </c>
      <c r="C39" s="9">
        <v>0</v>
      </c>
      <c r="D39" s="9">
        <v>0</v>
      </c>
      <c r="E39" s="9">
        <v>92</v>
      </c>
      <c r="F39" s="9">
        <v>0</v>
      </c>
      <c r="G39" s="9">
        <v>0</v>
      </c>
      <c r="H39" s="252">
        <v>0</v>
      </c>
      <c r="I39" s="252">
        <v>0</v>
      </c>
      <c r="J39" s="252">
        <v>0</v>
      </c>
      <c r="K39" s="252">
        <v>0</v>
      </c>
      <c r="L39" s="252">
        <v>633.16894990000003</v>
      </c>
      <c r="M39" s="252">
        <v>0</v>
      </c>
      <c r="N39" s="252">
        <v>0</v>
      </c>
      <c r="O39" s="255">
        <v>633</v>
      </c>
      <c r="P39" s="9">
        <v>1230</v>
      </c>
      <c r="Q39" s="9">
        <v>0</v>
      </c>
      <c r="R39" s="11">
        <v>0</v>
      </c>
      <c r="S39" s="9">
        <v>1955</v>
      </c>
      <c r="U39" s="8" t="s">
        <v>43</v>
      </c>
      <c r="V39" s="9">
        <v>0</v>
      </c>
      <c r="W39" s="9">
        <v>0</v>
      </c>
      <c r="X39" s="9">
        <v>92</v>
      </c>
      <c r="Y39" s="9">
        <v>0</v>
      </c>
      <c r="Z39" s="9">
        <v>0</v>
      </c>
      <c r="AA39" s="10">
        <v>633</v>
      </c>
      <c r="AB39" s="9">
        <v>1230</v>
      </c>
      <c r="AC39" s="9">
        <v>0</v>
      </c>
      <c r="AD39" s="11">
        <v>0</v>
      </c>
      <c r="AE39" s="9">
        <v>1955</v>
      </c>
    </row>
    <row r="40" spans="2:31">
      <c r="B40" s="8" t="s">
        <v>44</v>
      </c>
      <c r="C40" s="9">
        <v>0</v>
      </c>
      <c r="D40" s="9">
        <v>0</v>
      </c>
      <c r="E40" s="9">
        <v>333</v>
      </c>
      <c r="F40" s="9">
        <v>0</v>
      </c>
      <c r="G40" s="9">
        <v>0</v>
      </c>
      <c r="H40" s="252">
        <v>0</v>
      </c>
      <c r="I40" s="252">
        <v>0</v>
      </c>
      <c r="J40" s="252">
        <v>0</v>
      </c>
      <c r="K40" s="252">
        <v>0.94548943890085779</v>
      </c>
      <c r="L40" s="252">
        <v>9.0697041099142284E-2</v>
      </c>
      <c r="M40" s="252">
        <v>0</v>
      </c>
      <c r="N40" s="252">
        <v>0</v>
      </c>
      <c r="O40" s="255">
        <v>1</v>
      </c>
      <c r="P40" s="9">
        <v>1187</v>
      </c>
      <c r="Q40" s="9">
        <v>0</v>
      </c>
      <c r="R40" s="11">
        <v>0</v>
      </c>
      <c r="S40" s="9">
        <v>1521</v>
      </c>
      <c r="U40" s="8" t="s">
        <v>44</v>
      </c>
      <c r="V40" s="9">
        <v>0</v>
      </c>
      <c r="W40" s="9">
        <v>0</v>
      </c>
      <c r="X40" s="9">
        <v>333</v>
      </c>
      <c r="Y40" s="9">
        <v>0</v>
      </c>
      <c r="Z40" s="9">
        <v>0</v>
      </c>
      <c r="AA40" s="10">
        <v>1</v>
      </c>
      <c r="AB40" s="9">
        <v>1187</v>
      </c>
      <c r="AC40" s="9">
        <v>0</v>
      </c>
      <c r="AD40" s="11">
        <v>0</v>
      </c>
      <c r="AE40" s="9">
        <v>1521</v>
      </c>
    </row>
    <row r="41" spans="2:31">
      <c r="B41" s="8" t="s">
        <v>4</v>
      </c>
      <c r="C41" s="9">
        <v>0</v>
      </c>
      <c r="D41" s="9">
        <v>0</v>
      </c>
      <c r="E41" s="9">
        <v>102</v>
      </c>
      <c r="F41" s="9">
        <v>0</v>
      </c>
      <c r="G41" s="9">
        <v>0</v>
      </c>
      <c r="H41" s="252">
        <v>44.642446280000001</v>
      </c>
      <c r="I41" s="252">
        <v>0</v>
      </c>
      <c r="J41" s="252">
        <v>0</v>
      </c>
      <c r="K41" s="252">
        <v>0</v>
      </c>
      <c r="L41" s="252">
        <v>0</v>
      </c>
      <c r="M41" s="252">
        <v>0</v>
      </c>
      <c r="N41" s="252">
        <v>0</v>
      </c>
      <c r="O41" s="255">
        <v>45</v>
      </c>
      <c r="P41" s="9">
        <v>20</v>
      </c>
      <c r="Q41" s="9">
        <v>0</v>
      </c>
      <c r="R41" s="11">
        <v>0</v>
      </c>
      <c r="S41" s="9">
        <v>166</v>
      </c>
      <c r="U41" s="8" t="s">
        <v>4</v>
      </c>
      <c r="V41" s="9">
        <v>0</v>
      </c>
      <c r="W41" s="9">
        <v>0</v>
      </c>
      <c r="X41" s="9">
        <v>102</v>
      </c>
      <c r="Y41" s="9">
        <v>0</v>
      </c>
      <c r="Z41" s="9">
        <v>0</v>
      </c>
      <c r="AA41" s="10">
        <v>45</v>
      </c>
      <c r="AB41" s="9">
        <v>20</v>
      </c>
      <c r="AC41" s="9">
        <v>0</v>
      </c>
      <c r="AD41" s="11">
        <v>0</v>
      </c>
      <c r="AE41" s="9">
        <v>166</v>
      </c>
    </row>
    <row r="42" spans="2:31">
      <c r="B42" s="16" t="s">
        <v>45</v>
      </c>
      <c r="C42" s="17">
        <v>0</v>
      </c>
      <c r="D42" s="17">
        <v>0</v>
      </c>
      <c r="E42" s="17">
        <v>6437</v>
      </c>
      <c r="F42" s="17">
        <v>0</v>
      </c>
      <c r="G42" s="17">
        <v>0</v>
      </c>
      <c r="H42" s="253">
        <v>68.410225014832122</v>
      </c>
      <c r="I42" s="253">
        <v>3.9638354669455418</v>
      </c>
      <c r="J42" s="253">
        <v>0</v>
      </c>
      <c r="K42" s="253">
        <v>1.1515502377517803</v>
      </c>
      <c r="L42" s="253">
        <v>633.34045622047063</v>
      </c>
      <c r="M42" s="253">
        <v>0</v>
      </c>
      <c r="N42" s="253">
        <v>0</v>
      </c>
      <c r="O42" s="257">
        <v>707</v>
      </c>
      <c r="P42" s="17">
        <v>2745</v>
      </c>
      <c r="Q42" s="17">
        <v>436</v>
      </c>
      <c r="R42" s="19">
        <v>0</v>
      </c>
      <c r="S42" s="17">
        <v>10324</v>
      </c>
      <c r="U42" s="16" t="s">
        <v>45</v>
      </c>
      <c r="V42" s="17">
        <v>0</v>
      </c>
      <c r="W42" s="17">
        <v>0</v>
      </c>
      <c r="X42" s="17">
        <v>6437</v>
      </c>
      <c r="Y42" s="17">
        <v>0</v>
      </c>
      <c r="Z42" s="17">
        <v>0</v>
      </c>
      <c r="AA42" s="18">
        <v>707</v>
      </c>
      <c r="AB42" s="17">
        <v>2745</v>
      </c>
      <c r="AC42" s="17">
        <v>436</v>
      </c>
      <c r="AD42" s="19">
        <v>0</v>
      </c>
      <c r="AE42" s="17">
        <v>10324</v>
      </c>
    </row>
    <row r="43" spans="2:31">
      <c r="B43" s="16" t="s">
        <v>46</v>
      </c>
      <c r="C43" s="17">
        <v>0</v>
      </c>
      <c r="D43" s="17">
        <v>0</v>
      </c>
      <c r="E43" s="17">
        <v>268</v>
      </c>
      <c r="F43" s="17">
        <v>0</v>
      </c>
      <c r="G43" s="17">
        <v>0</v>
      </c>
      <c r="H43" s="253">
        <v>0</v>
      </c>
      <c r="I43" s="253">
        <v>0</v>
      </c>
      <c r="J43" s="253">
        <v>0</v>
      </c>
      <c r="K43" s="253">
        <v>0</v>
      </c>
      <c r="L43" s="253">
        <v>0</v>
      </c>
      <c r="M43" s="253">
        <v>0</v>
      </c>
      <c r="N43" s="253">
        <v>0</v>
      </c>
      <c r="O43" s="257">
        <v>0</v>
      </c>
      <c r="P43" s="17">
        <v>0</v>
      </c>
      <c r="Q43" s="17">
        <v>0</v>
      </c>
      <c r="R43" s="19">
        <v>0</v>
      </c>
      <c r="S43" s="17">
        <v>268</v>
      </c>
      <c r="U43" s="16" t="s">
        <v>46</v>
      </c>
      <c r="V43" s="17">
        <v>0</v>
      </c>
      <c r="W43" s="17">
        <v>0</v>
      </c>
      <c r="X43" s="17">
        <v>268</v>
      </c>
      <c r="Y43" s="17">
        <v>0</v>
      </c>
      <c r="Z43" s="17">
        <v>0</v>
      </c>
      <c r="AA43" s="18">
        <v>0</v>
      </c>
      <c r="AB43" s="17">
        <v>0</v>
      </c>
      <c r="AC43" s="17">
        <v>0</v>
      </c>
      <c r="AD43" s="19">
        <v>0</v>
      </c>
      <c r="AE43" s="17">
        <v>268</v>
      </c>
    </row>
    <row r="44" spans="2:31">
      <c r="B44" s="12" t="s">
        <v>47</v>
      </c>
      <c r="C44" s="13">
        <v>0</v>
      </c>
      <c r="D44" s="13">
        <v>0</v>
      </c>
      <c r="E44" s="13">
        <v>6705</v>
      </c>
      <c r="F44" s="13">
        <v>0</v>
      </c>
      <c r="G44" s="13">
        <v>0</v>
      </c>
      <c r="H44" s="13"/>
      <c r="I44" s="13"/>
      <c r="J44" s="13"/>
      <c r="K44" s="13"/>
      <c r="L44" s="13"/>
      <c r="M44" s="13"/>
      <c r="N44" s="13"/>
      <c r="O44" s="256">
        <v>707</v>
      </c>
      <c r="P44" s="13">
        <v>2745</v>
      </c>
      <c r="Q44" s="13">
        <v>436</v>
      </c>
      <c r="R44" s="15">
        <v>0</v>
      </c>
      <c r="S44" s="13">
        <v>10592</v>
      </c>
      <c r="U44" s="12" t="s">
        <v>47</v>
      </c>
      <c r="V44" s="13">
        <v>0</v>
      </c>
      <c r="W44" s="13">
        <v>0</v>
      </c>
      <c r="X44" s="13">
        <v>6705</v>
      </c>
      <c r="Y44" s="13">
        <v>0</v>
      </c>
      <c r="Z44" s="13">
        <v>0</v>
      </c>
      <c r="AA44" s="14">
        <v>707</v>
      </c>
      <c r="AB44" s="13">
        <v>2745</v>
      </c>
      <c r="AC44" s="13">
        <v>436</v>
      </c>
      <c r="AD44" s="15">
        <v>0</v>
      </c>
      <c r="AE44" s="13">
        <v>10592</v>
      </c>
    </row>
    <row r="45" spans="2:31">
      <c r="P45" t="s">
        <v>48</v>
      </c>
      <c r="Q45" t="s">
        <v>49</v>
      </c>
    </row>
    <row r="46" spans="2:31">
      <c r="C46" t="s">
        <v>50</v>
      </c>
      <c r="D46">
        <f>Q35/Q31</f>
        <v>-7.8224101479915431E-2</v>
      </c>
      <c r="E46">
        <v>0</v>
      </c>
      <c r="G46" t="s">
        <v>51</v>
      </c>
      <c r="O46">
        <v>2019</v>
      </c>
      <c r="P46">
        <f>P34/P31</f>
        <v>-1.1009751494180559E-2</v>
      </c>
      <c r="Q46">
        <f>P35/P31</f>
        <v>-6.4171122994652413E-2</v>
      </c>
      <c r="S46">
        <f>1+P46+Q46</f>
        <v>0.92481912551116696</v>
      </c>
      <c r="T46">
        <f>(P36-P30)/P31</f>
        <v>0.92481912551116707</v>
      </c>
      <c r="V46" t="s">
        <v>52</v>
      </c>
      <c r="X46">
        <f>(SUM(C31:O31)-SUM(H31:N31))/(P31+Q31)</f>
        <v>-2.2855969331872945</v>
      </c>
    </row>
    <row r="47" spans="2:31">
      <c r="D47">
        <f>Q67/Q63</f>
        <v>-9.0909090909090912E-2</v>
      </c>
      <c r="E47">
        <v>0</v>
      </c>
      <c r="O47">
        <v>2020</v>
      </c>
      <c r="P47">
        <f>P66/P63</f>
        <v>-1.2872841444270016E-2</v>
      </c>
      <c r="Q47">
        <f>P67/P63</f>
        <v>-6.3736263736263732E-2</v>
      </c>
      <c r="X47">
        <f>SUM(C63:O63)/(P63+Q63)</f>
        <v>-2.3666206896551722</v>
      </c>
    </row>
    <row r="48" spans="2:31">
      <c r="D48">
        <f>AVERAGE(D46:D47)</f>
        <v>-8.4566596194503171E-2</v>
      </c>
      <c r="E48">
        <v>0</v>
      </c>
      <c r="O48" t="s">
        <v>53</v>
      </c>
      <c r="P48">
        <f>AVERAGE(P46:P47)</f>
        <v>-1.1941296469225288E-2</v>
      </c>
      <c r="Q48">
        <f>AVERAGE(Q46:Q47)</f>
        <v>-6.3953693365458072E-2</v>
      </c>
      <c r="X48">
        <f>AVERAGE(X46:X47)</f>
        <v>-2.3261088114212334</v>
      </c>
    </row>
    <row r="50" spans="2:31">
      <c r="C50" t="s">
        <v>13</v>
      </c>
      <c r="V50" s="4" t="s">
        <v>13</v>
      </c>
    </row>
    <row r="51" spans="2:31" ht="43.2">
      <c r="B51" s="5"/>
      <c r="C51" s="6" t="s">
        <v>14</v>
      </c>
      <c r="D51" s="6" t="s">
        <v>15</v>
      </c>
      <c r="E51" s="6" t="s">
        <v>16</v>
      </c>
      <c r="F51" s="6" t="s">
        <v>17</v>
      </c>
      <c r="G51" s="6" t="s">
        <v>18</v>
      </c>
      <c r="H51" s="251" t="s">
        <v>384</v>
      </c>
      <c r="I51" s="251" t="s">
        <v>150</v>
      </c>
      <c r="J51" s="251" t="s">
        <v>385</v>
      </c>
      <c r="K51" s="251" t="s">
        <v>7</v>
      </c>
      <c r="L51" s="251" t="s">
        <v>386</v>
      </c>
      <c r="M51" s="251" t="s">
        <v>149</v>
      </c>
      <c r="N51" s="251" t="s">
        <v>387</v>
      </c>
      <c r="O51" s="6" t="s">
        <v>19</v>
      </c>
      <c r="P51" s="6" t="s">
        <v>20</v>
      </c>
      <c r="Q51" s="6" t="s">
        <v>21</v>
      </c>
      <c r="R51" s="7" t="s">
        <v>22</v>
      </c>
      <c r="S51" s="6" t="s">
        <v>23</v>
      </c>
      <c r="U51" s="5"/>
      <c r="V51" s="6" t="s">
        <v>14</v>
      </c>
      <c r="W51" s="6" t="s">
        <v>15</v>
      </c>
      <c r="X51" s="6" t="s">
        <v>16</v>
      </c>
      <c r="Y51" s="6" t="s">
        <v>17</v>
      </c>
      <c r="Z51" s="6" t="s">
        <v>18</v>
      </c>
      <c r="AA51" s="6" t="s">
        <v>19</v>
      </c>
      <c r="AB51" s="6" t="s">
        <v>20</v>
      </c>
      <c r="AC51" s="6" t="s">
        <v>21</v>
      </c>
      <c r="AD51" s="7" t="s">
        <v>22</v>
      </c>
      <c r="AE51" s="6" t="s">
        <v>23</v>
      </c>
    </row>
    <row r="52" spans="2:31">
      <c r="B52" s="8" t="s">
        <v>24</v>
      </c>
      <c r="C52" s="9">
        <v>0</v>
      </c>
      <c r="D52" s="9">
        <v>0</v>
      </c>
      <c r="E52" s="9">
        <v>0</v>
      </c>
      <c r="F52" s="9">
        <v>0</v>
      </c>
      <c r="G52" s="9">
        <v>665</v>
      </c>
      <c r="H52" s="11"/>
      <c r="I52" s="11"/>
      <c r="J52" s="11"/>
      <c r="K52" s="11"/>
      <c r="L52" s="11"/>
      <c r="M52" s="11"/>
      <c r="N52" s="11"/>
      <c r="O52" s="10">
        <v>2108</v>
      </c>
      <c r="P52" s="9">
        <v>0</v>
      </c>
      <c r="Q52" s="9">
        <v>0</v>
      </c>
      <c r="R52" s="11">
        <v>0</v>
      </c>
      <c r="S52" s="9">
        <v>2773</v>
      </c>
      <c r="U52" s="8" t="s">
        <v>24</v>
      </c>
      <c r="V52" s="9">
        <v>0</v>
      </c>
      <c r="W52" s="9">
        <v>0</v>
      </c>
      <c r="X52" s="9">
        <v>0</v>
      </c>
      <c r="Y52" s="9">
        <v>0</v>
      </c>
      <c r="Z52" s="9">
        <v>665</v>
      </c>
      <c r="AA52" s="10">
        <v>2108</v>
      </c>
      <c r="AB52" s="9">
        <v>0</v>
      </c>
      <c r="AC52" s="9">
        <v>0</v>
      </c>
      <c r="AD52" s="11">
        <v>0</v>
      </c>
      <c r="AE52" s="9">
        <v>2773</v>
      </c>
    </row>
    <row r="53" spans="2:31">
      <c r="B53" s="8" t="s">
        <v>25</v>
      </c>
      <c r="C53" s="9">
        <v>0</v>
      </c>
      <c r="D53" s="9">
        <v>0</v>
      </c>
      <c r="E53" s="9">
        <v>0</v>
      </c>
      <c r="F53" s="9">
        <v>0</v>
      </c>
      <c r="G53" s="9">
        <v>423</v>
      </c>
      <c r="H53" s="11"/>
      <c r="I53" s="11"/>
      <c r="J53" s="11"/>
      <c r="K53" s="11"/>
      <c r="L53" s="11"/>
      <c r="M53" s="11"/>
      <c r="N53" s="11"/>
      <c r="O53" s="10">
        <v>0</v>
      </c>
      <c r="P53" s="9">
        <v>0</v>
      </c>
      <c r="Q53" s="9">
        <v>0</v>
      </c>
      <c r="R53" s="11">
        <v>0</v>
      </c>
      <c r="S53" s="9">
        <v>423</v>
      </c>
      <c r="U53" s="8" t="s">
        <v>25</v>
      </c>
      <c r="V53" s="9">
        <v>0</v>
      </c>
      <c r="W53" s="9">
        <v>0</v>
      </c>
      <c r="X53" s="9">
        <v>0</v>
      </c>
      <c r="Y53" s="9">
        <v>0</v>
      </c>
      <c r="Z53" s="9">
        <v>423</v>
      </c>
      <c r="AA53" s="10">
        <v>0</v>
      </c>
      <c r="AB53" s="9">
        <v>0</v>
      </c>
      <c r="AC53" s="9">
        <v>0</v>
      </c>
      <c r="AD53" s="11">
        <v>0</v>
      </c>
      <c r="AE53" s="9">
        <v>423</v>
      </c>
    </row>
    <row r="54" spans="2:31">
      <c r="B54" s="8" t="s">
        <v>26</v>
      </c>
      <c r="C54" s="9">
        <v>0</v>
      </c>
      <c r="D54" s="9">
        <v>0</v>
      </c>
      <c r="E54" s="9">
        <v>0</v>
      </c>
      <c r="F54" s="9">
        <v>0</v>
      </c>
      <c r="G54" s="9">
        <v>10</v>
      </c>
      <c r="H54" s="11"/>
      <c r="I54" s="11"/>
      <c r="J54" s="11"/>
      <c r="K54" s="11"/>
      <c r="L54" s="11"/>
      <c r="M54" s="11"/>
      <c r="N54" s="11"/>
      <c r="O54" s="10">
        <v>0</v>
      </c>
      <c r="P54" s="9">
        <v>0</v>
      </c>
      <c r="Q54" s="9">
        <v>0</v>
      </c>
      <c r="R54" s="11">
        <v>0</v>
      </c>
      <c r="S54" s="9">
        <v>10</v>
      </c>
      <c r="U54" s="8" t="s">
        <v>26</v>
      </c>
      <c r="V54" s="9">
        <v>0</v>
      </c>
      <c r="W54" s="9">
        <v>0</v>
      </c>
      <c r="X54" s="9">
        <v>0</v>
      </c>
      <c r="Y54" s="9">
        <v>0</v>
      </c>
      <c r="Z54" s="9">
        <v>10</v>
      </c>
      <c r="AA54" s="10">
        <v>0</v>
      </c>
      <c r="AB54" s="9">
        <v>0</v>
      </c>
      <c r="AC54" s="9">
        <v>0</v>
      </c>
      <c r="AD54" s="11">
        <v>0</v>
      </c>
      <c r="AE54" s="9">
        <v>10</v>
      </c>
    </row>
    <row r="55" spans="2:31">
      <c r="B55" s="8" t="s">
        <v>27</v>
      </c>
      <c r="C55" s="9">
        <v>0</v>
      </c>
      <c r="D55" s="9">
        <v>0</v>
      </c>
      <c r="E55" s="9">
        <v>0</v>
      </c>
      <c r="F55" s="9">
        <v>0</v>
      </c>
      <c r="G55" s="9">
        <v>232</v>
      </c>
      <c r="H55" s="11"/>
      <c r="I55" s="11"/>
      <c r="J55" s="11"/>
      <c r="K55" s="11"/>
      <c r="L55" s="11"/>
      <c r="M55" s="11"/>
      <c r="N55" s="11"/>
      <c r="O55" s="10">
        <v>0</v>
      </c>
      <c r="P55" s="9">
        <v>0</v>
      </c>
      <c r="Q55" s="9">
        <v>0</v>
      </c>
      <c r="R55" s="11">
        <v>0</v>
      </c>
      <c r="S55" s="9">
        <v>232</v>
      </c>
      <c r="U55" s="8" t="s">
        <v>27</v>
      </c>
      <c r="V55" s="9">
        <v>0</v>
      </c>
      <c r="W55" s="9">
        <v>0</v>
      </c>
      <c r="X55" s="9">
        <v>0</v>
      </c>
      <c r="Y55" s="9">
        <v>0</v>
      </c>
      <c r="Z55" s="9">
        <v>232</v>
      </c>
      <c r="AA55" s="10">
        <v>0</v>
      </c>
      <c r="AB55" s="9">
        <v>0</v>
      </c>
      <c r="AC55" s="9">
        <v>0</v>
      </c>
      <c r="AD55" s="11">
        <v>0</v>
      </c>
      <c r="AE55" s="9">
        <v>232</v>
      </c>
    </row>
    <row r="56" spans="2:31">
      <c r="B56" s="8" t="s">
        <v>28</v>
      </c>
      <c r="C56" s="9">
        <v>4389</v>
      </c>
      <c r="D56" s="9">
        <v>0</v>
      </c>
      <c r="E56" s="9">
        <v>9239</v>
      </c>
      <c r="F56" s="9">
        <v>0</v>
      </c>
      <c r="G56" s="9">
        <v>0</v>
      </c>
      <c r="H56" s="11"/>
      <c r="I56" s="11"/>
      <c r="J56" s="11"/>
      <c r="K56" s="11"/>
      <c r="L56" s="11"/>
      <c r="M56" s="11"/>
      <c r="N56" s="11"/>
      <c r="O56" s="10">
        <v>0</v>
      </c>
      <c r="P56" s="9">
        <v>0</v>
      </c>
      <c r="Q56" s="9">
        <v>0</v>
      </c>
      <c r="R56" s="11">
        <v>0</v>
      </c>
      <c r="S56" s="9">
        <v>13627</v>
      </c>
      <c r="U56" s="8" t="s">
        <v>28</v>
      </c>
      <c r="V56" s="9">
        <v>4389</v>
      </c>
      <c r="W56" s="9">
        <v>0</v>
      </c>
      <c r="X56" s="9">
        <v>9239</v>
      </c>
      <c r="Y56" s="9">
        <v>0</v>
      </c>
      <c r="Z56" s="9">
        <v>0</v>
      </c>
      <c r="AA56" s="10">
        <v>0</v>
      </c>
      <c r="AB56" s="9">
        <v>0</v>
      </c>
      <c r="AC56" s="9">
        <v>0</v>
      </c>
      <c r="AD56" s="11">
        <v>0</v>
      </c>
      <c r="AE56" s="9">
        <v>13627</v>
      </c>
    </row>
    <row r="57" spans="2:31">
      <c r="B57" s="8" t="s">
        <v>29</v>
      </c>
      <c r="C57" s="9">
        <v>0</v>
      </c>
      <c r="D57" s="9">
        <v>0</v>
      </c>
      <c r="E57" s="9">
        <v>-20</v>
      </c>
      <c r="F57" s="9">
        <v>0</v>
      </c>
      <c r="G57" s="9">
        <v>0</v>
      </c>
      <c r="H57" s="11"/>
      <c r="I57" s="11"/>
      <c r="J57" s="11"/>
      <c r="K57" s="11"/>
      <c r="L57" s="11"/>
      <c r="M57" s="11"/>
      <c r="N57" s="11"/>
      <c r="O57" s="10">
        <v>0</v>
      </c>
      <c r="P57" s="9">
        <v>0</v>
      </c>
      <c r="Q57" s="9">
        <v>0</v>
      </c>
      <c r="R57" s="11">
        <v>0</v>
      </c>
      <c r="S57" s="9">
        <v>-20</v>
      </c>
      <c r="U57" s="8" t="s">
        <v>29</v>
      </c>
      <c r="V57" s="9">
        <v>0</v>
      </c>
      <c r="W57" s="9">
        <v>0</v>
      </c>
      <c r="X57" s="9">
        <v>-20</v>
      </c>
      <c r="Y57" s="9">
        <v>0</v>
      </c>
      <c r="Z57" s="9">
        <v>0</v>
      </c>
      <c r="AA57" s="10">
        <v>0</v>
      </c>
      <c r="AB57" s="9">
        <v>0</v>
      </c>
      <c r="AC57" s="9">
        <v>0</v>
      </c>
      <c r="AD57" s="11">
        <v>0</v>
      </c>
      <c r="AE57" s="9">
        <v>-20</v>
      </c>
    </row>
    <row r="58" spans="2:31">
      <c r="B58" s="8" t="s">
        <v>30</v>
      </c>
      <c r="C58" s="9">
        <v>0</v>
      </c>
      <c r="D58" s="9">
        <v>0</v>
      </c>
      <c r="E58" s="9">
        <v>0</v>
      </c>
      <c r="F58" s="9">
        <v>0</v>
      </c>
      <c r="G58" s="9">
        <v>0</v>
      </c>
      <c r="H58" s="11"/>
      <c r="I58" s="11"/>
      <c r="J58" s="11"/>
      <c r="K58" s="11"/>
      <c r="L58" s="11"/>
      <c r="M58" s="11"/>
      <c r="N58" s="11"/>
      <c r="O58" s="10">
        <v>0</v>
      </c>
      <c r="P58" s="9">
        <v>0</v>
      </c>
      <c r="Q58" s="9">
        <v>0</v>
      </c>
      <c r="R58" s="11">
        <v>0</v>
      </c>
      <c r="S58" s="9">
        <v>0</v>
      </c>
      <c r="U58" s="8" t="s">
        <v>30</v>
      </c>
      <c r="V58" s="9">
        <v>0</v>
      </c>
      <c r="W58" s="9">
        <v>0</v>
      </c>
      <c r="X58" s="9">
        <v>0</v>
      </c>
      <c r="Y58" s="9">
        <v>0</v>
      </c>
      <c r="Z58" s="9">
        <v>0</v>
      </c>
      <c r="AA58" s="10">
        <v>0</v>
      </c>
      <c r="AB58" s="9">
        <v>0</v>
      </c>
      <c r="AC58" s="9">
        <v>0</v>
      </c>
      <c r="AD58" s="11">
        <v>0</v>
      </c>
      <c r="AE58" s="9">
        <v>0</v>
      </c>
    </row>
    <row r="59" spans="2:31">
      <c r="B59" s="8" t="s">
        <v>31</v>
      </c>
      <c r="C59" s="9">
        <v>0</v>
      </c>
      <c r="D59" s="9">
        <v>0</v>
      </c>
      <c r="E59" s="9">
        <v>-1607</v>
      </c>
      <c r="F59" s="9">
        <v>0</v>
      </c>
      <c r="G59" s="9">
        <v>0</v>
      </c>
      <c r="H59" s="11"/>
      <c r="I59" s="11"/>
      <c r="J59" s="11"/>
      <c r="K59" s="11"/>
      <c r="L59" s="11"/>
      <c r="M59" s="11"/>
      <c r="N59" s="11"/>
      <c r="O59" s="10">
        <v>0</v>
      </c>
      <c r="P59" s="9">
        <v>0</v>
      </c>
      <c r="Q59" s="9">
        <v>0</v>
      </c>
      <c r="R59" s="11">
        <v>0</v>
      </c>
      <c r="S59" s="9">
        <v>-1607</v>
      </c>
      <c r="U59" s="8" t="s">
        <v>31</v>
      </c>
      <c r="V59" s="9">
        <v>0</v>
      </c>
      <c r="W59" s="9">
        <v>0</v>
      </c>
      <c r="X59" s="9">
        <v>-1607</v>
      </c>
      <c r="Y59" s="9">
        <v>0</v>
      </c>
      <c r="Z59" s="9">
        <v>0</v>
      </c>
      <c r="AA59" s="10">
        <v>0</v>
      </c>
      <c r="AB59" s="9">
        <v>0</v>
      </c>
      <c r="AC59" s="9">
        <v>0</v>
      </c>
      <c r="AD59" s="11">
        <v>0</v>
      </c>
      <c r="AE59" s="9">
        <v>-1607</v>
      </c>
    </row>
    <row r="60" spans="2:31">
      <c r="B60" s="8" t="s">
        <v>32</v>
      </c>
      <c r="C60" s="9">
        <v>-53</v>
      </c>
      <c r="D60" s="9">
        <v>0</v>
      </c>
      <c r="E60" s="9">
        <v>125</v>
      </c>
      <c r="F60" s="9">
        <v>0</v>
      </c>
      <c r="G60" s="9">
        <v>0</v>
      </c>
      <c r="H60" s="11"/>
      <c r="I60" s="11"/>
      <c r="J60" s="11"/>
      <c r="K60" s="11"/>
      <c r="L60" s="11"/>
      <c r="M60" s="11"/>
      <c r="N60" s="11"/>
      <c r="O60" s="10">
        <v>0</v>
      </c>
      <c r="P60" s="9">
        <v>0</v>
      </c>
      <c r="Q60" s="9">
        <v>0</v>
      </c>
      <c r="R60" s="11">
        <v>0</v>
      </c>
      <c r="S60" s="9">
        <v>72</v>
      </c>
      <c r="U60" s="8" t="s">
        <v>32</v>
      </c>
      <c r="V60" s="9">
        <v>-53</v>
      </c>
      <c r="W60" s="9">
        <v>0</v>
      </c>
      <c r="X60" s="9">
        <v>125</v>
      </c>
      <c r="Y60" s="9">
        <v>0</v>
      </c>
      <c r="Z60" s="9">
        <v>0</v>
      </c>
      <c r="AA60" s="10">
        <v>0</v>
      </c>
      <c r="AB60" s="9">
        <v>0</v>
      </c>
      <c r="AC60" s="9">
        <v>0</v>
      </c>
      <c r="AD60" s="11">
        <v>0</v>
      </c>
      <c r="AE60" s="9">
        <v>72</v>
      </c>
    </row>
    <row r="61" spans="2:31">
      <c r="B61" s="12" t="s">
        <v>33</v>
      </c>
      <c r="C61" s="13">
        <v>4336</v>
      </c>
      <c r="D61" s="13">
        <v>0</v>
      </c>
      <c r="E61" s="13">
        <v>7736</v>
      </c>
      <c r="F61" s="13">
        <v>0</v>
      </c>
      <c r="G61" s="13">
        <v>665</v>
      </c>
      <c r="H61" s="13"/>
      <c r="I61" s="13"/>
      <c r="J61" s="13"/>
      <c r="K61" s="13"/>
      <c r="L61" s="13"/>
      <c r="M61" s="13"/>
      <c r="N61" s="13"/>
      <c r="O61" s="14">
        <v>2108</v>
      </c>
      <c r="P61" s="13">
        <v>0</v>
      </c>
      <c r="Q61" s="13">
        <v>0</v>
      </c>
      <c r="R61" s="15">
        <v>0</v>
      </c>
      <c r="S61" s="13">
        <v>14845</v>
      </c>
      <c r="U61" s="12" t="s">
        <v>33</v>
      </c>
      <c r="V61" s="13">
        <v>4336</v>
      </c>
      <c r="W61" s="13">
        <v>0</v>
      </c>
      <c r="X61" s="13">
        <v>7736</v>
      </c>
      <c r="Y61" s="13">
        <v>0</v>
      </c>
      <c r="Z61" s="13">
        <v>665</v>
      </c>
      <c r="AA61" s="14">
        <v>2108</v>
      </c>
      <c r="AB61" s="13">
        <v>0</v>
      </c>
      <c r="AC61" s="13">
        <v>0</v>
      </c>
      <c r="AD61" s="15">
        <v>0</v>
      </c>
      <c r="AE61" s="13">
        <v>14845</v>
      </c>
    </row>
    <row r="62" spans="2:31">
      <c r="B62" s="8" t="s">
        <v>34</v>
      </c>
      <c r="C62" s="9">
        <v>0</v>
      </c>
      <c r="D62" s="9">
        <v>0</v>
      </c>
      <c r="E62" s="9">
        <v>-491</v>
      </c>
      <c r="F62" s="9">
        <v>0</v>
      </c>
      <c r="G62" s="9">
        <v>0</v>
      </c>
      <c r="H62" s="11"/>
      <c r="I62" s="11"/>
      <c r="J62" s="11"/>
      <c r="K62" s="11"/>
      <c r="L62" s="11"/>
      <c r="M62" s="11"/>
      <c r="N62" s="11"/>
      <c r="O62" s="10">
        <v>0</v>
      </c>
      <c r="P62" s="9">
        <v>221</v>
      </c>
      <c r="Q62" s="9">
        <v>0</v>
      </c>
      <c r="R62" s="11">
        <v>0</v>
      </c>
      <c r="S62" s="9">
        <v>-270</v>
      </c>
      <c r="U62" s="8" t="s">
        <v>34</v>
      </c>
      <c r="V62" s="9">
        <v>0</v>
      </c>
      <c r="W62" s="9">
        <v>0</v>
      </c>
      <c r="X62" s="9">
        <v>-491</v>
      </c>
      <c r="Y62" s="9">
        <v>0</v>
      </c>
      <c r="Z62" s="9">
        <v>0</v>
      </c>
      <c r="AA62" s="10">
        <v>0</v>
      </c>
      <c r="AB62" s="9">
        <v>221</v>
      </c>
      <c r="AC62" s="9">
        <v>0</v>
      </c>
      <c r="AD62" s="11">
        <v>0</v>
      </c>
      <c r="AE62" s="9">
        <v>-270</v>
      </c>
    </row>
    <row r="63" spans="2:31">
      <c r="B63" s="8" t="s">
        <v>35</v>
      </c>
      <c r="C63" s="9">
        <v>4336</v>
      </c>
      <c r="D63" s="9">
        <v>0</v>
      </c>
      <c r="E63" s="9">
        <v>2173</v>
      </c>
      <c r="F63" s="9">
        <v>0</v>
      </c>
      <c r="G63" s="9">
        <v>665</v>
      </c>
      <c r="H63" s="11"/>
      <c r="I63" s="11"/>
      <c r="J63" s="11"/>
      <c r="K63" s="11"/>
      <c r="L63" s="11"/>
      <c r="M63" s="11"/>
      <c r="N63" s="11"/>
      <c r="O63" s="10">
        <v>1405</v>
      </c>
      <c r="P63" s="9">
        <v>-3185</v>
      </c>
      <c r="Q63" s="9">
        <v>-440</v>
      </c>
      <c r="R63" s="11">
        <v>0</v>
      </c>
      <c r="S63" s="9">
        <v>4954</v>
      </c>
      <c r="U63" s="8" t="s">
        <v>35</v>
      </c>
      <c r="V63" s="9">
        <v>4336</v>
      </c>
      <c r="W63" s="9">
        <v>0</v>
      </c>
      <c r="X63" s="9">
        <v>2173</v>
      </c>
      <c r="Y63" s="9">
        <v>0</v>
      </c>
      <c r="Z63" s="9">
        <v>665</v>
      </c>
      <c r="AA63" s="10">
        <v>1405</v>
      </c>
      <c r="AB63" s="9">
        <v>-3185</v>
      </c>
      <c r="AC63" s="9">
        <v>-440</v>
      </c>
      <c r="AD63" s="11">
        <v>0</v>
      </c>
      <c r="AE63" s="9">
        <v>4954</v>
      </c>
    </row>
    <row r="64" spans="2:31">
      <c r="B64" s="8" t="s">
        <v>36</v>
      </c>
      <c r="C64" s="9">
        <v>0</v>
      </c>
      <c r="D64" s="9">
        <v>0</v>
      </c>
      <c r="E64" s="9">
        <v>0</v>
      </c>
      <c r="F64" s="9">
        <v>0</v>
      </c>
      <c r="G64" s="9">
        <v>0</v>
      </c>
      <c r="H64" s="11"/>
      <c r="I64" s="11"/>
      <c r="J64" s="11"/>
      <c r="K64" s="11"/>
      <c r="L64" s="11"/>
      <c r="M64" s="11"/>
      <c r="N64" s="11"/>
      <c r="O64" s="10">
        <v>0</v>
      </c>
      <c r="P64" s="9">
        <v>0</v>
      </c>
      <c r="Q64" s="9">
        <v>0</v>
      </c>
      <c r="R64" s="11">
        <v>0</v>
      </c>
      <c r="S64" s="9">
        <v>0</v>
      </c>
      <c r="U64" s="8" t="s">
        <v>36</v>
      </c>
      <c r="V64" s="9">
        <v>0</v>
      </c>
      <c r="W64" s="9">
        <v>0</v>
      </c>
      <c r="X64" s="9">
        <v>0</v>
      </c>
      <c r="Y64" s="9">
        <v>0</v>
      </c>
      <c r="Z64" s="9">
        <v>0</v>
      </c>
      <c r="AA64" s="10">
        <v>0</v>
      </c>
      <c r="AB64" s="9">
        <v>0</v>
      </c>
      <c r="AC64" s="9">
        <v>0</v>
      </c>
      <c r="AD64" s="11">
        <v>0</v>
      </c>
      <c r="AE64" s="9">
        <v>0</v>
      </c>
    </row>
    <row r="65" spans="2:31">
      <c r="B65" s="8" t="s">
        <v>37</v>
      </c>
      <c r="C65" s="9">
        <v>0</v>
      </c>
      <c r="D65" s="9">
        <v>0</v>
      </c>
      <c r="E65" s="9">
        <v>0</v>
      </c>
      <c r="F65" s="9">
        <v>0</v>
      </c>
      <c r="G65" s="9">
        <v>0</v>
      </c>
      <c r="H65" s="11"/>
      <c r="I65" s="11"/>
      <c r="J65" s="11"/>
      <c r="K65" s="11"/>
      <c r="L65" s="11"/>
      <c r="M65" s="11"/>
      <c r="N65" s="11"/>
      <c r="O65" s="10">
        <v>0</v>
      </c>
      <c r="P65" s="9">
        <v>0</v>
      </c>
      <c r="Q65" s="9">
        <v>0</v>
      </c>
      <c r="R65" s="11">
        <v>0</v>
      </c>
      <c r="S65" s="9">
        <v>0</v>
      </c>
      <c r="U65" s="8" t="s">
        <v>37</v>
      </c>
      <c r="V65" s="9">
        <v>0</v>
      </c>
      <c r="W65" s="9">
        <v>0</v>
      </c>
      <c r="X65" s="9">
        <v>0</v>
      </c>
      <c r="Y65" s="9">
        <v>0</v>
      </c>
      <c r="Z65" s="9">
        <v>0</v>
      </c>
      <c r="AA65" s="10">
        <v>0</v>
      </c>
      <c r="AB65" s="9">
        <v>0</v>
      </c>
      <c r="AC65" s="9">
        <v>0</v>
      </c>
      <c r="AD65" s="11">
        <v>0</v>
      </c>
      <c r="AE65" s="9">
        <v>0</v>
      </c>
    </row>
    <row r="66" spans="2:31">
      <c r="B66" s="8" t="s">
        <v>38</v>
      </c>
      <c r="C66" s="9">
        <v>0</v>
      </c>
      <c r="D66" s="9">
        <v>0</v>
      </c>
      <c r="E66" s="9">
        <v>0</v>
      </c>
      <c r="F66" s="9">
        <v>0</v>
      </c>
      <c r="G66" s="9">
        <v>0</v>
      </c>
      <c r="H66" s="11"/>
      <c r="I66" s="11"/>
      <c r="J66" s="11"/>
      <c r="K66" s="11"/>
      <c r="L66" s="11"/>
      <c r="M66" s="11"/>
      <c r="N66" s="11"/>
      <c r="O66" s="10">
        <v>0</v>
      </c>
      <c r="P66" s="9">
        <v>41</v>
      </c>
      <c r="Q66" s="9">
        <v>0</v>
      </c>
      <c r="R66" s="11">
        <v>0</v>
      </c>
      <c r="S66" s="9">
        <v>41</v>
      </c>
      <c r="U66" s="8" t="s">
        <v>38</v>
      </c>
      <c r="V66" s="9">
        <v>0</v>
      </c>
      <c r="W66" s="9">
        <v>0</v>
      </c>
      <c r="X66" s="9">
        <v>0</v>
      </c>
      <c r="Y66" s="9">
        <v>0</v>
      </c>
      <c r="Z66" s="9">
        <v>0</v>
      </c>
      <c r="AA66" s="10">
        <v>0</v>
      </c>
      <c r="AB66" s="9">
        <v>41</v>
      </c>
      <c r="AC66" s="9">
        <v>0</v>
      </c>
      <c r="AD66" s="11">
        <v>0</v>
      </c>
      <c r="AE66" s="9">
        <v>41</v>
      </c>
    </row>
    <row r="67" spans="2:31">
      <c r="B67" s="8" t="s">
        <v>39</v>
      </c>
      <c r="C67" s="9">
        <v>0</v>
      </c>
      <c r="D67" s="9">
        <v>0</v>
      </c>
      <c r="E67" s="9">
        <v>0</v>
      </c>
      <c r="F67" s="9">
        <v>0</v>
      </c>
      <c r="G67" s="9">
        <v>0</v>
      </c>
      <c r="H67" s="11"/>
      <c r="I67" s="11"/>
      <c r="J67" s="11"/>
      <c r="K67" s="11"/>
      <c r="L67" s="11"/>
      <c r="M67" s="11"/>
      <c r="N67" s="11"/>
      <c r="O67" s="10">
        <v>0</v>
      </c>
      <c r="P67" s="9">
        <v>203</v>
      </c>
      <c r="Q67" s="9">
        <v>40</v>
      </c>
      <c r="R67" s="11">
        <v>0</v>
      </c>
      <c r="S67" s="9">
        <v>243</v>
      </c>
      <c r="U67" s="8" t="s">
        <v>39</v>
      </c>
      <c r="V67" s="9">
        <v>0</v>
      </c>
      <c r="W67" s="9">
        <v>0</v>
      </c>
      <c r="X67" s="9">
        <v>0</v>
      </c>
      <c r="Y67" s="9">
        <v>0</v>
      </c>
      <c r="Z67" s="9">
        <v>0</v>
      </c>
      <c r="AA67" s="10">
        <v>0</v>
      </c>
      <c r="AB67" s="9">
        <v>203</v>
      </c>
      <c r="AC67" s="9">
        <v>40</v>
      </c>
      <c r="AD67" s="11">
        <v>0</v>
      </c>
      <c r="AE67" s="9">
        <v>243</v>
      </c>
    </row>
    <row r="68" spans="2:31">
      <c r="B68" s="12" t="s">
        <v>40</v>
      </c>
      <c r="C68" s="13">
        <v>4336</v>
      </c>
      <c r="D68" s="13">
        <v>0</v>
      </c>
      <c r="E68" s="13">
        <v>1682</v>
      </c>
      <c r="F68" s="13">
        <v>0</v>
      </c>
      <c r="G68" s="13">
        <v>665</v>
      </c>
      <c r="H68" s="13"/>
      <c r="I68" s="13"/>
      <c r="J68" s="13"/>
      <c r="K68" s="13"/>
      <c r="L68" s="13"/>
      <c r="M68" s="13"/>
      <c r="N68" s="13"/>
      <c r="O68" s="14">
        <v>1405</v>
      </c>
      <c r="P68" s="13">
        <v>-2721</v>
      </c>
      <c r="Q68" s="13">
        <v>-400</v>
      </c>
      <c r="R68" s="15">
        <v>0</v>
      </c>
      <c r="S68" s="13">
        <v>4967</v>
      </c>
      <c r="U68" s="12" t="s">
        <v>40</v>
      </c>
      <c r="V68" s="13">
        <v>4336</v>
      </c>
      <c r="W68" s="13">
        <v>0</v>
      </c>
      <c r="X68" s="13">
        <v>1682</v>
      </c>
      <c r="Y68" s="13">
        <v>0</v>
      </c>
      <c r="Z68" s="13">
        <v>665</v>
      </c>
      <c r="AA68" s="14">
        <v>1405</v>
      </c>
      <c r="AB68" s="13">
        <v>-2721</v>
      </c>
      <c r="AC68" s="13">
        <v>-400</v>
      </c>
      <c r="AD68" s="15">
        <v>0</v>
      </c>
      <c r="AE68" s="13">
        <v>4967</v>
      </c>
    </row>
    <row r="69" spans="2:31">
      <c r="B69" s="8" t="s">
        <v>41</v>
      </c>
      <c r="C69" s="9">
        <v>0</v>
      </c>
      <c r="D69" s="9">
        <v>0</v>
      </c>
      <c r="E69" s="9">
        <v>237</v>
      </c>
      <c r="F69" s="9">
        <v>0</v>
      </c>
      <c r="G69" s="9">
        <v>0</v>
      </c>
      <c r="H69" s="11"/>
      <c r="I69" s="11"/>
      <c r="J69" s="11"/>
      <c r="K69" s="11"/>
      <c r="L69" s="11"/>
      <c r="M69" s="11"/>
      <c r="N69" s="11"/>
      <c r="O69" s="10">
        <v>0</v>
      </c>
      <c r="P69" s="9">
        <v>289</v>
      </c>
      <c r="Q69" s="9">
        <v>400</v>
      </c>
      <c r="R69" s="11">
        <v>0</v>
      </c>
      <c r="S69" s="9">
        <v>927</v>
      </c>
      <c r="U69" s="8" t="s">
        <v>41</v>
      </c>
      <c r="V69" s="9">
        <v>0</v>
      </c>
      <c r="W69" s="9">
        <v>0</v>
      </c>
      <c r="X69" s="9">
        <v>237</v>
      </c>
      <c r="Y69" s="9">
        <v>0</v>
      </c>
      <c r="Z69" s="9">
        <v>0</v>
      </c>
      <c r="AA69" s="10">
        <v>0</v>
      </c>
      <c r="AB69" s="9">
        <v>289</v>
      </c>
      <c r="AC69" s="9">
        <v>400</v>
      </c>
      <c r="AD69" s="11">
        <v>0</v>
      </c>
      <c r="AE69" s="9">
        <v>927</v>
      </c>
    </row>
    <row r="70" spans="2:31">
      <c r="B70" s="8" t="s">
        <v>42</v>
      </c>
      <c r="C70" s="9">
        <v>0</v>
      </c>
      <c r="D70" s="9">
        <v>0</v>
      </c>
      <c r="E70" s="9">
        <v>5084</v>
      </c>
      <c r="F70" s="9">
        <v>0</v>
      </c>
      <c r="G70" s="9">
        <v>0</v>
      </c>
      <c r="H70" s="11"/>
      <c r="I70" s="11"/>
      <c r="J70" s="11"/>
      <c r="K70" s="11"/>
      <c r="L70" s="11"/>
      <c r="M70" s="11"/>
      <c r="N70" s="11"/>
      <c r="O70" s="10">
        <v>0</v>
      </c>
      <c r="P70" s="9">
        <v>0</v>
      </c>
      <c r="Q70" s="9">
        <v>0</v>
      </c>
      <c r="R70" s="11">
        <v>0</v>
      </c>
      <c r="S70" s="9">
        <v>5084</v>
      </c>
      <c r="U70" s="8" t="s">
        <v>42</v>
      </c>
      <c r="V70" s="9">
        <v>0</v>
      </c>
      <c r="W70" s="9">
        <v>0</v>
      </c>
      <c r="X70" s="9">
        <v>5084</v>
      </c>
      <c r="Y70" s="9">
        <v>0</v>
      </c>
      <c r="Z70" s="9">
        <v>0</v>
      </c>
      <c r="AA70" s="10">
        <v>0</v>
      </c>
      <c r="AB70" s="9">
        <v>0</v>
      </c>
      <c r="AC70" s="9">
        <v>0</v>
      </c>
      <c r="AD70" s="11">
        <v>0</v>
      </c>
      <c r="AE70" s="9">
        <v>5084</v>
      </c>
    </row>
    <row r="71" spans="2:31">
      <c r="B71" s="8" t="s">
        <v>43</v>
      </c>
      <c r="C71" s="9">
        <v>0</v>
      </c>
      <c r="D71" s="9">
        <v>0</v>
      </c>
      <c r="E71" s="9">
        <v>131</v>
      </c>
      <c r="F71" s="9">
        <v>0</v>
      </c>
      <c r="G71" s="9">
        <v>0</v>
      </c>
      <c r="H71" s="11"/>
      <c r="I71" s="11"/>
      <c r="J71" s="11"/>
      <c r="K71" s="11"/>
      <c r="L71" s="11"/>
      <c r="M71" s="11"/>
      <c r="N71" s="11"/>
      <c r="O71" s="10">
        <v>655</v>
      </c>
      <c r="P71" s="9">
        <v>1273</v>
      </c>
      <c r="Q71" s="9">
        <v>0</v>
      </c>
      <c r="R71" s="11">
        <v>0</v>
      </c>
      <c r="S71" s="9">
        <v>2059</v>
      </c>
      <c r="U71" s="8" t="s">
        <v>43</v>
      </c>
      <c r="V71" s="9">
        <v>0</v>
      </c>
      <c r="W71" s="9">
        <v>0</v>
      </c>
      <c r="X71" s="9">
        <v>131</v>
      </c>
      <c r="Y71" s="9">
        <v>0</v>
      </c>
      <c r="Z71" s="9">
        <v>0</v>
      </c>
      <c r="AA71" s="10">
        <v>655</v>
      </c>
      <c r="AB71" s="9">
        <v>1273</v>
      </c>
      <c r="AC71" s="9">
        <v>0</v>
      </c>
      <c r="AD71" s="11">
        <v>0</v>
      </c>
      <c r="AE71" s="9">
        <v>2059</v>
      </c>
    </row>
    <row r="72" spans="2:31">
      <c r="B72" s="8" t="s">
        <v>44</v>
      </c>
      <c r="C72" s="9">
        <v>0</v>
      </c>
      <c r="D72" s="9">
        <v>0</v>
      </c>
      <c r="E72" s="9">
        <v>280</v>
      </c>
      <c r="F72" s="9">
        <v>0</v>
      </c>
      <c r="G72" s="9">
        <v>0</v>
      </c>
      <c r="H72" s="11"/>
      <c r="I72" s="11"/>
      <c r="J72" s="11"/>
      <c r="K72" s="11"/>
      <c r="L72" s="11"/>
      <c r="M72" s="11"/>
      <c r="N72" s="11"/>
      <c r="O72" s="10">
        <v>1</v>
      </c>
      <c r="P72" s="9">
        <v>1139</v>
      </c>
      <c r="Q72" s="9">
        <v>0</v>
      </c>
      <c r="R72" s="11">
        <v>0</v>
      </c>
      <c r="S72" s="9">
        <v>1420</v>
      </c>
      <c r="U72" s="8" t="s">
        <v>44</v>
      </c>
      <c r="V72" s="9">
        <v>0</v>
      </c>
      <c r="W72" s="9">
        <v>0</v>
      </c>
      <c r="X72" s="9">
        <v>280</v>
      </c>
      <c r="Y72" s="9">
        <v>0</v>
      </c>
      <c r="Z72" s="9">
        <v>0</v>
      </c>
      <c r="AA72" s="10">
        <v>1</v>
      </c>
      <c r="AB72" s="9">
        <v>1139</v>
      </c>
      <c r="AC72" s="9">
        <v>0</v>
      </c>
      <c r="AD72" s="11">
        <v>0</v>
      </c>
      <c r="AE72" s="9">
        <v>1420</v>
      </c>
    </row>
    <row r="73" spans="2:31">
      <c r="B73" s="8" t="s">
        <v>4</v>
      </c>
      <c r="C73" s="9">
        <v>0</v>
      </c>
      <c r="D73" s="9">
        <v>0</v>
      </c>
      <c r="E73" s="9">
        <v>84</v>
      </c>
      <c r="F73" s="9">
        <v>0</v>
      </c>
      <c r="G73" s="9">
        <v>0</v>
      </c>
      <c r="H73" s="11"/>
      <c r="I73" s="11"/>
      <c r="J73" s="11"/>
      <c r="K73" s="11"/>
      <c r="L73" s="11"/>
      <c r="M73" s="11"/>
      <c r="N73" s="11"/>
      <c r="O73" s="10">
        <v>46</v>
      </c>
      <c r="P73" s="9">
        <v>20</v>
      </c>
      <c r="Q73" s="9">
        <v>0</v>
      </c>
      <c r="R73" s="11">
        <v>0</v>
      </c>
      <c r="S73" s="9">
        <v>150</v>
      </c>
      <c r="U73" s="8" t="s">
        <v>4</v>
      </c>
      <c r="V73" s="9">
        <v>0</v>
      </c>
      <c r="W73" s="9">
        <v>0</v>
      </c>
      <c r="X73" s="9">
        <v>84</v>
      </c>
      <c r="Y73" s="9">
        <v>0</v>
      </c>
      <c r="Z73" s="9">
        <v>0</v>
      </c>
      <c r="AA73" s="10">
        <v>46</v>
      </c>
      <c r="AB73" s="9">
        <v>20</v>
      </c>
      <c r="AC73" s="9">
        <v>0</v>
      </c>
      <c r="AD73" s="11">
        <v>0</v>
      </c>
      <c r="AE73" s="9">
        <v>150</v>
      </c>
    </row>
    <row r="74" spans="2:31">
      <c r="B74" s="16" t="s">
        <v>45</v>
      </c>
      <c r="C74" s="17">
        <v>0</v>
      </c>
      <c r="D74" s="17">
        <v>0</v>
      </c>
      <c r="E74" s="17">
        <v>5816</v>
      </c>
      <c r="F74" s="17">
        <v>0</v>
      </c>
      <c r="G74" s="17">
        <v>0</v>
      </c>
      <c r="H74" s="17"/>
      <c r="I74" s="17"/>
      <c r="J74" s="17"/>
      <c r="K74" s="17"/>
      <c r="L74" s="17"/>
      <c r="M74" s="17"/>
      <c r="N74" s="17"/>
      <c r="O74" s="18">
        <v>702</v>
      </c>
      <c r="P74" s="17">
        <v>2721</v>
      </c>
      <c r="Q74" s="17">
        <v>400</v>
      </c>
      <c r="R74" s="19">
        <v>0</v>
      </c>
      <c r="S74" s="17">
        <v>9640</v>
      </c>
      <c r="U74" s="16" t="s">
        <v>45</v>
      </c>
      <c r="V74" s="17">
        <v>0</v>
      </c>
      <c r="W74" s="17">
        <v>0</v>
      </c>
      <c r="X74" s="17">
        <v>5816</v>
      </c>
      <c r="Y74" s="17">
        <v>0</v>
      </c>
      <c r="Z74" s="17">
        <v>0</v>
      </c>
      <c r="AA74" s="18">
        <v>702</v>
      </c>
      <c r="AB74" s="17">
        <v>2721</v>
      </c>
      <c r="AC74" s="17">
        <v>400</v>
      </c>
      <c r="AD74" s="19">
        <v>0</v>
      </c>
      <c r="AE74" s="17">
        <v>9640</v>
      </c>
    </row>
    <row r="75" spans="2:31">
      <c r="B75" s="16" t="s">
        <v>46</v>
      </c>
      <c r="C75" s="17">
        <v>0</v>
      </c>
      <c r="D75" s="17">
        <v>0</v>
      </c>
      <c r="E75" s="17">
        <v>238</v>
      </c>
      <c r="F75" s="17">
        <v>0</v>
      </c>
      <c r="G75" s="17">
        <v>0</v>
      </c>
      <c r="H75" s="17"/>
      <c r="I75" s="17"/>
      <c r="J75" s="17"/>
      <c r="K75" s="17"/>
      <c r="L75" s="17"/>
      <c r="M75" s="17"/>
      <c r="N75" s="17"/>
      <c r="O75" s="18">
        <v>0</v>
      </c>
      <c r="P75" s="17">
        <v>0</v>
      </c>
      <c r="Q75" s="17">
        <v>0</v>
      </c>
      <c r="R75" s="19">
        <v>0</v>
      </c>
      <c r="S75" s="17">
        <v>238</v>
      </c>
      <c r="U75" s="16" t="s">
        <v>46</v>
      </c>
      <c r="V75" s="17">
        <v>0</v>
      </c>
      <c r="W75" s="17">
        <v>0</v>
      </c>
      <c r="X75" s="17">
        <v>238</v>
      </c>
      <c r="Y75" s="17">
        <v>0</v>
      </c>
      <c r="Z75" s="17">
        <v>0</v>
      </c>
      <c r="AA75" s="18">
        <v>0</v>
      </c>
      <c r="AB75" s="17">
        <v>0</v>
      </c>
      <c r="AC75" s="17">
        <v>0</v>
      </c>
      <c r="AD75" s="19">
        <v>0</v>
      </c>
      <c r="AE75" s="17">
        <v>238</v>
      </c>
    </row>
    <row r="76" spans="2:31">
      <c r="B76" s="12" t="s">
        <v>47</v>
      </c>
      <c r="C76" s="13">
        <v>0</v>
      </c>
      <c r="D76" s="13">
        <v>0</v>
      </c>
      <c r="E76" s="13">
        <v>6054</v>
      </c>
      <c r="F76" s="13">
        <v>0</v>
      </c>
      <c r="G76" s="13">
        <v>0</v>
      </c>
      <c r="H76" s="13"/>
      <c r="I76" s="13"/>
      <c r="J76" s="13"/>
      <c r="K76" s="13"/>
      <c r="L76" s="13"/>
      <c r="M76" s="13"/>
      <c r="N76" s="13"/>
      <c r="O76" s="14">
        <v>702</v>
      </c>
      <c r="P76" s="13">
        <v>2721</v>
      </c>
      <c r="Q76" s="13">
        <v>400</v>
      </c>
      <c r="R76" s="15">
        <v>0</v>
      </c>
      <c r="S76" s="13">
        <v>9878</v>
      </c>
      <c r="U76" s="12" t="s">
        <v>47</v>
      </c>
      <c r="V76" s="13">
        <v>0</v>
      </c>
      <c r="W76" s="13">
        <v>0</v>
      </c>
      <c r="X76" s="13">
        <v>6054</v>
      </c>
      <c r="Y76" s="13">
        <v>0</v>
      </c>
      <c r="Z76" s="13">
        <v>0</v>
      </c>
      <c r="AA76" s="14">
        <v>702</v>
      </c>
      <c r="AB76" s="13">
        <v>2721</v>
      </c>
      <c r="AC76" s="13">
        <v>400</v>
      </c>
      <c r="AD76" s="15">
        <v>0</v>
      </c>
      <c r="AE76" s="13">
        <v>9878</v>
      </c>
    </row>
    <row r="82" spans="2:31">
      <c r="C82" t="s">
        <v>54</v>
      </c>
      <c r="V82" s="4" t="s">
        <v>54</v>
      </c>
    </row>
    <row r="83" spans="2:31" ht="43.2">
      <c r="B83" s="20">
        <v>2025</v>
      </c>
      <c r="C83" s="7" t="s">
        <v>14</v>
      </c>
      <c r="D83" s="7" t="s">
        <v>15</v>
      </c>
      <c r="E83" s="7" t="s">
        <v>16</v>
      </c>
      <c r="F83" s="7" t="s">
        <v>17</v>
      </c>
      <c r="G83" s="7" t="s">
        <v>18</v>
      </c>
      <c r="H83" s="251" t="s">
        <v>384</v>
      </c>
      <c r="I83" s="251" t="s">
        <v>150</v>
      </c>
      <c r="J83" s="251" t="s">
        <v>385</v>
      </c>
      <c r="K83" s="251" t="s">
        <v>7</v>
      </c>
      <c r="L83" s="251" t="s">
        <v>386</v>
      </c>
      <c r="M83" s="251" t="s">
        <v>149</v>
      </c>
      <c r="N83" s="251" t="s">
        <v>387</v>
      </c>
      <c r="O83" s="7" t="s">
        <v>19</v>
      </c>
      <c r="P83" s="7" t="s">
        <v>20</v>
      </c>
      <c r="Q83" s="7" t="s">
        <v>21</v>
      </c>
      <c r="R83" s="7" t="s">
        <v>22</v>
      </c>
      <c r="S83" s="7" t="s">
        <v>23</v>
      </c>
      <c r="U83" s="21">
        <v>2025</v>
      </c>
      <c r="V83" s="7" t="s">
        <v>14</v>
      </c>
      <c r="W83" s="7" t="s">
        <v>15</v>
      </c>
      <c r="X83" s="7" t="s">
        <v>16</v>
      </c>
      <c r="Y83" s="7" t="s">
        <v>17</v>
      </c>
      <c r="Z83" s="7" t="s">
        <v>18</v>
      </c>
      <c r="AA83" s="7" t="s">
        <v>19</v>
      </c>
      <c r="AB83" s="7" t="s">
        <v>20</v>
      </c>
      <c r="AC83" s="7" t="s">
        <v>21</v>
      </c>
      <c r="AD83" s="7" t="s">
        <v>22</v>
      </c>
      <c r="AE83" s="7" t="s">
        <v>23</v>
      </c>
    </row>
    <row r="84" spans="2:31">
      <c r="B84" s="22" t="s">
        <v>24</v>
      </c>
      <c r="C84" s="11">
        <v>0</v>
      </c>
      <c r="D84" s="11">
        <v>0</v>
      </c>
      <c r="E84" s="11">
        <v>0</v>
      </c>
      <c r="F84" s="11">
        <v>0</v>
      </c>
      <c r="G84" s="11">
        <v>0</v>
      </c>
      <c r="H84" s="11"/>
      <c r="I84" s="11"/>
      <c r="J84" s="11"/>
      <c r="K84" s="11"/>
      <c r="L84" s="11"/>
      <c r="M84" s="11"/>
      <c r="N84" s="11"/>
      <c r="O84" s="11">
        <v>0</v>
      </c>
      <c r="P84" s="11">
        <v>0</v>
      </c>
      <c r="Q84" s="11">
        <v>0</v>
      </c>
      <c r="R84" s="11">
        <v>0</v>
      </c>
      <c r="S84" s="11">
        <f>SUM(C84:R84)</f>
        <v>0</v>
      </c>
      <c r="U84" s="22" t="s">
        <v>24</v>
      </c>
      <c r="V84" s="11">
        <v>0</v>
      </c>
      <c r="W84" s="11">
        <v>0</v>
      </c>
      <c r="X84" s="11">
        <v>0</v>
      </c>
      <c r="Y84" s="11">
        <v>0</v>
      </c>
      <c r="Z84" s="11">
        <v>0</v>
      </c>
      <c r="AA84" s="11">
        <v>0</v>
      </c>
      <c r="AB84" s="11">
        <v>0</v>
      </c>
      <c r="AC84" s="11">
        <v>0</v>
      </c>
      <c r="AD84" s="11">
        <v>0</v>
      </c>
      <c r="AE84" s="11">
        <f>SUM(V84:AD84)</f>
        <v>0</v>
      </c>
    </row>
    <row r="85" spans="2:31">
      <c r="B85" s="22" t="s">
        <v>25</v>
      </c>
      <c r="C85" s="11">
        <v>0</v>
      </c>
      <c r="D85" s="11">
        <v>0</v>
      </c>
      <c r="E85" s="11">
        <v>0</v>
      </c>
      <c r="F85" s="11">
        <v>0</v>
      </c>
      <c r="G85" s="11">
        <v>0</v>
      </c>
      <c r="H85" s="11"/>
      <c r="I85" s="11"/>
      <c r="J85" s="11"/>
      <c r="K85" s="11"/>
      <c r="L85" s="11"/>
      <c r="M85" s="11"/>
      <c r="N85" s="11"/>
      <c r="O85" s="11">
        <v>0</v>
      </c>
      <c r="P85" s="11">
        <v>0</v>
      </c>
      <c r="Q85" s="11">
        <v>0</v>
      </c>
      <c r="R85" s="11">
        <v>0</v>
      </c>
      <c r="S85" s="11">
        <f t="shared" ref="S85:S92" si="2">SUM(C85:R85)</f>
        <v>0</v>
      </c>
      <c r="U85" s="22" t="s">
        <v>25</v>
      </c>
      <c r="V85" s="11">
        <v>0</v>
      </c>
      <c r="W85" s="11">
        <v>0</v>
      </c>
      <c r="X85" s="11">
        <v>0</v>
      </c>
      <c r="Y85" s="11">
        <v>0</v>
      </c>
      <c r="Z85" s="11">
        <v>0</v>
      </c>
      <c r="AA85" s="11">
        <v>0</v>
      </c>
      <c r="AB85" s="11">
        <v>0</v>
      </c>
      <c r="AC85" s="11">
        <v>0</v>
      </c>
      <c r="AD85" s="11">
        <v>0</v>
      </c>
      <c r="AE85" s="11">
        <f t="shared" ref="AE85:AE92" si="3">SUM(V85:AD85)</f>
        <v>0</v>
      </c>
    </row>
    <row r="86" spans="2:31">
      <c r="B86" s="22" t="s">
        <v>26</v>
      </c>
      <c r="C86" s="11">
        <v>0</v>
      </c>
      <c r="D86" s="11">
        <v>0</v>
      </c>
      <c r="E86" s="11">
        <v>0</v>
      </c>
      <c r="F86" s="11">
        <v>0</v>
      </c>
      <c r="G86" s="11">
        <v>0</v>
      </c>
      <c r="H86" s="11"/>
      <c r="I86" s="11"/>
      <c r="J86" s="11"/>
      <c r="K86" s="11"/>
      <c r="L86" s="11"/>
      <c r="M86" s="11"/>
      <c r="N86" s="11"/>
      <c r="O86" s="11">
        <v>0</v>
      </c>
      <c r="P86" s="11">
        <v>0</v>
      </c>
      <c r="Q86" s="11">
        <v>0</v>
      </c>
      <c r="R86" s="11">
        <v>0</v>
      </c>
      <c r="S86" s="11">
        <f t="shared" si="2"/>
        <v>0</v>
      </c>
      <c r="U86" s="22" t="s">
        <v>26</v>
      </c>
      <c r="V86" s="11">
        <v>0</v>
      </c>
      <c r="W86" s="11">
        <v>0</v>
      </c>
      <c r="X86" s="11">
        <v>0</v>
      </c>
      <c r="Y86" s="11">
        <v>0</v>
      </c>
      <c r="Z86" s="11">
        <v>0</v>
      </c>
      <c r="AA86" s="11">
        <v>0</v>
      </c>
      <c r="AB86" s="11">
        <v>0</v>
      </c>
      <c r="AC86" s="11">
        <v>0</v>
      </c>
      <c r="AD86" s="11">
        <v>0</v>
      </c>
      <c r="AE86" s="11">
        <f t="shared" si="3"/>
        <v>0</v>
      </c>
    </row>
    <row r="87" spans="2:31">
      <c r="B87" s="22" t="s">
        <v>27</v>
      </c>
      <c r="C87" s="11">
        <v>0</v>
      </c>
      <c r="D87" s="11">
        <v>0</v>
      </c>
      <c r="E87" s="11">
        <v>0</v>
      </c>
      <c r="F87" s="11">
        <v>0</v>
      </c>
      <c r="G87" s="11">
        <v>0</v>
      </c>
      <c r="H87" s="11"/>
      <c r="I87" s="11"/>
      <c r="J87" s="11"/>
      <c r="K87" s="11"/>
      <c r="L87" s="11"/>
      <c r="M87" s="11"/>
      <c r="N87" s="11"/>
      <c r="O87" s="11">
        <v>0</v>
      </c>
      <c r="P87" s="11">
        <v>0</v>
      </c>
      <c r="Q87" s="11">
        <v>0</v>
      </c>
      <c r="R87" s="11">
        <v>0</v>
      </c>
      <c r="S87" s="11">
        <f t="shared" si="2"/>
        <v>0</v>
      </c>
      <c r="U87" s="22" t="s">
        <v>27</v>
      </c>
      <c r="V87" s="11">
        <v>0</v>
      </c>
      <c r="W87" s="11">
        <v>0</v>
      </c>
      <c r="X87" s="11">
        <v>0</v>
      </c>
      <c r="Y87" s="11">
        <v>0</v>
      </c>
      <c r="Z87" s="11">
        <v>0</v>
      </c>
      <c r="AA87" s="11">
        <v>0</v>
      </c>
      <c r="AB87" s="11">
        <v>0</v>
      </c>
      <c r="AC87" s="11">
        <v>0</v>
      </c>
      <c r="AD87" s="11">
        <v>0</v>
      </c>
      <c r="AE87" s="11">
        <f t="shared" si="3"/>
        <v>0</v>
      </c>
    </row>
    <row r="88" spans="2:31">
      <c r="B88" s="22" t="s">
        <v>28</v>
      </c>
      <c r="C88" s="11">
        <v>0</v>
      </c>
      <c r="D88" s="11">
        <v>0</v>
      </c>
      <c r="E88" s="11">
        <v>0</v>
      </c>
      <c r="F88" s="11">
        <v>0</v>
      </c>
      <c r="G88" s="11">
        <v>0</v>
      </c>
      <c r="H88" s="11"/>
      <c r="I88" s="11"/>
      <c r="J88" s="11"/>
      <c r="K88" s="11"/>
      <c r="L88" s="11"/>
      <c r="M88" s="11"/>
      <c r="N88" s="11"/>
      <c r="O88" s="11">
        <v>0</v>
      </c>
      <c r="P88" s="11">
        <v>0</v>
      </c>
      <c r="Q88" s="11">
        <v>0</v>
      </c>
      <c r="R88" s="11">
        <v>0</v>
      </c>
      <c r="S88" s="11">
        <f t="shared" si="2"/>
        <v>0</v>
      </c>
      <c r="U88" s="22" t="s">
        <v>28</v>
      </c>
      <c r="V88" s="11">
        <v>0</v>
      </c>
      <c r="W88" s="11">
        <v>0</v>
      </c>
      <c r="X88" s="11">
        <v>0</v>
      </c>
      <c r="Y88" s="11">
        <v>0</v>
      </c>
      <c r="Z88" s="11">
        <v>0</v>
      </c>
      <c r="AA88" s="11">
        <v>0</v>
      </c>
      <c r="AB88" s="11">
        <v>0</v>
      </c>
      <c r="AC88" s="11">
        <v>0</v>
      </c>
      <c r="AD88" s="11">
        <v>0</v>
      </c>
      <c r="AE88" s="11">
        <f t="shared" si="3"/>
        <v>0</v>
      </c>
    </row>
    <row r="89" spans="2:31">
      <c r="B89" s="22" t="s">
        <v>29</v>
      </c>
      <c r="C89" s="11">
        <v>0</v>
      </c>
      <c r="D89" s="11">
        <v>0</v>
      </c>
      <c r="E89" s="11">
        <v>0</v>
      </c>
      <c r="F89" s="11">
        <v>0</v>
      </c>
      <c r="G89" s="11">
        <v>0</v>
      </c>
      <c r="H89" s="11"/>
      <c r="I89" s="11"/>
      <c r="J89" s="11"/>
      <c r="K89" s="11"/>
      <c r="L89" s="11"/>
      <c r="M89" s="11"/>
      <c r="N89" s="11"/>
      <c r="O89" s="11">
        <v>0</v>
      </c>
      <c r="P89" s="11">
        <v>0</v>
      </c>
      <c r="Q89" s="11">
        <v>0</v>
      </c>
      <c r="R89" s="11">
        <v>0</v>
      </c>
      <c r="S89" s="11">
        <f t="shared" si="2"/>
        <v>0</v>
      </c>
      <c r="U89" s="22" t="s">
        <v>29</v>
      </c>
      <c r="V89" s="11">
        <v>0</v>
      </c>
      <c r="W89" s="11">
        <v>0</v>
      </c>
      <c r="X89" s="11">
        <v>0</v>
      </c>
      <c r="Y89" s="11">
        <v>0</v>
      </c>
      <c r="Z89" s="11">
        <v>0</v>
      </c>
      <c r="AA89" s="11">
        <v>0</v>
      </c>
      <c r="AB89" s="11">
        <v>0</v>
      </c>
      <c r="AC89" s="11">
        <v>0</v>
      </c>
      <c r="AD89" s="11">
        <v>0</v>
      </c>
      <c r="AE89" s="11">
        <f t="shared" si="3"/>
        <v>0</v>
      </c>
    </row>
    <row r="90" spans="2:31">
      <c r="B90" s="22" t="s">
        <v>30</v>
      </c>
      <c r="C90" s="11">
        <v>0</v>
      </c>
      <c r="D90" s="11">
        <v>0</v>
      </c>
      <c r="E90" s="11">
        <v>0</v>
      </c>
      <c r="F90" s="11">
        <v>0</v>
      </c>
      <c r="G90" s="11">
        <v>0</v>
      </c>
      <c r="H90" s="11"/>
      <c r="I90" s="11"/>
      <c r="J90" s="11"/>
      <c r="K90" s="11"/>
      <c r="L90" s="11"/>
      <c r="M90" s="11"/>
      <c r="N90" s="11"/>
      <c r="O90" s="11">
        <v>0</v>
      </c>
      <c r="P90" s="11">
        <v>0</v>
      </c>
      <c r="Q90" s="11">
        <v>0</v>
      </c>
      <c r="R90" s="11">
        <v>0</v>
      </c>
      <c r="S90" s="11">
        <f t="shared" si="2"/>
        <v>0</v>
      </c>
      <c r="U90" s="22" t="s">
        <v>30</v>
      </c>
      <c r="V90" s="11">
        <v>0</v>
      </c>
      <c r="W90" s="11">
        <v>0</v>
      </c>
      <c r="X90" s="11">
        <v>0</v>
      </c>
      <c r="Y90" s="11">
        <v>0</v>
      </c>
      <c r="Z90" s="11">
        <v>0</v>
      </c>
      <c r="AA90" s="11">
        <v>0</v>
      </c>
      <c r="AB90" s="11">
        <v>0</v>
      </c>
      <c r="AC90" s="11">
        <v>0</v>
      </c>
      <c r="AD90" s="11">
        <v>0</v>
      </c>
      <c r="AE90" s="11">
        <f t="shared" si="3"/>
        <v>0</v>
      </c>
    </row>
    <row r="91" spans="2:31">
      <c r="B91" s="22" t="s">
        <v>31</v>
      </c>
      <c r="C91" s="11">
        <v>0</v>
      </c>
      <c r="D91" s="11">
        <v>0</v>
      </c>
      <c r="E91" s="11">
        <v>0</v>
      </c>
      <c r="F91" s="11">
        <v>0</v>
      </c>
      <c r="G91" s="11">
        <v>0</v>
      </c>
      <c r="H91" s="11"/>
      <c r="I91" s="11"/>
      <c r="J91" s="11"/>
      <c r="K91" s="11"/>
      <c r="L91" s="11"/>
      <c r="M91" s="11"/>
      <c r="N91" s="11"/>
      <c r="O91" s="11">
        <v>0</v>
      </c>
      <c r="P91" s="11">
        <v>0</v>
      </c>
      <c r="Q91" s="11">
        <v>0</v>
      </c>
      <c r="R91" s="11">
        <v>0</v>
      </c>
      <c r="S91" s="11">
        <f t="shared" si="2"/>
        <v>0</v>
      </c>
      <c r="U91" s="22" t="s">
        <v>31</v>
      </c>
      <c r="V91" s="11">
        <v>0</v>
      </c>
      <c r="W91" s="11">
        <v>0</v>
      </c>
      <c r="X91" s="11">
        <v>0</v>
      </c>
      <c r="Y91" s="11">
        <v>0</v>
      </c>
      <c r="Z91" s="11">
        <v>0</v>
      </c>
      <c r="AA91" s="11">
        <v>0</v>
      </c>
      <c r="AB91" s="11">
        <v>0</v>
      </c>
      <c r="AC91" s="11">
        <v>0</v>
      </c>
      <c r="AD91" s="11">
        <v>0</v>
      </c>
      <c r="AE91" s="11">
        <f t="shared" si="3"/>
        <v>0</v>
      </c>
    </row>
    <row r="92" spans="2:31">
      <c r="B92" s="22" t="s">
        <v>32</v>
      </c>
      <c r="C92" s="11">
        <v>0</v>
      </c>
      <c r="D92" s="11">
        <v>0</v>
      </c>
      <c r="E92" s="23">
        <v>0</v>
      </c>
      <c r="F92" s="11">
        <v>0</v>
      </c>
      <c r="G92" s="11">
        <v>0</v>
      </c>
      <c r="H92" s="11"/>
      <c r="I92" s="11"/>
      <c r="J92" s="11"/>
      <c r="K92" s="11"/>
      <c r="L92" s="11"/>
      <c r="M92" s="11"/>
      <c r="N92" s="11"/>
      <c r="O92" s="11">
        <v>0</v>
      </c>
      <c r="P92" s="11">
        <v>0</v>
      </c>
      <c r="Q92" s="11">
        <v>0</v>
      </c>
      <c r="R92" s="11">
        <v>0</v>
      </c>
      <c r="S92" s="11">
        <f t="shared" si="2"/>
        <v>0</v>
      </c>
      <c r="U92" s="22" t="s">
        <v>32</v>
      </c>
      <c r="V92" s="11">
        <v>0</v>
      </c>
      <c r="W92" s="11">
        <v>0</v>
      </c>
      <c r="X92" s="23">
        <v>0</v>
      </c>
      <c r="Y92" s="11">
        <v>0</v>
      </c>
      <c r="Z92" s="11">
        <v>0</v>
      </c>
      <c r="AA92" s="11">
        <v>0</v>
      </c>
      <c r="AB92" s="11">
        <v>0</v>
      </c>
      <c r="AC92" s="11">
        <v>0</v>
      </c>
      <c r="AD92" s="11">
        <v>0</v>
      </c>
      <c r="AE92" s="11">
        <f t="shared" si="3"/>
        <v>0</v>
      </c>
    </row>
    <row r="93" spans="2:31">
      <c r="B93" s="24" t="s">
        <v>33</v>
      </c>
      <c r="C93" s="15">
        <f>C84+C88+C89+C90+C91+C92</f>
        <v>0</v>
      </c>
      <c r="D93" s="15">
        <f t="shared" ref="D93:R93" si="4">D84+D88+D89+D90+D91+D92</f>
        <v>0</v>
      </c>
      <c r="E93" s="15">
        <f t="shared" si="4"/>
        <v>0</v>
      </c>
      <c r="F93" s="15">
        <f t="shared" si="4"/>
        <v>0</v>
      </c>
      <c r="G93" s="15">
        <f t="shared" si="4"/>
        <v>0</v>
      </c>
      <c r="H93" s="15">
        <f t="shared" si="4"/>
        <v>0</v>
      </c>
      <c r="I93" s="15">
        <f t="shared" si="4"/>
        <v>0</v>
      </c>
      <c r="J93" s="15">
        <f t="shared" si="4"/>
        <v>0</v>
      </c>
      <c r="K93" s="15">
        <f t="shared" si="4"/>
        <v>0</v>
      </c>
      <c r="L93" s="15">
        <f t="shared" si="4"/>
        <v>0</v>
      </c>
      <c r="M93" s="15">
        <f t="shared" si="4"/>
        <v>0</v>
      </c>
      <c r="N93" s="15">
        <f t="shared" si="4"/>
        <v>0</v>
      </c>
      <c r="O93" s="15">
        <f t="shared" si="4"/>
        <v>0</v>
      </c>
      <c r="P93" s="15">
        <f t="shared" si="4"/>
        <v>0</v>
      </c>
      <c r="Q93" s="15">
        <f t="shared" si="4"/>
        <v>0</v>
      </c>
      <c r="R93" s="15">
        <f t="shared" si="4"/>
        <v>0</v>
      </c>
      <c r="S93" s="15">
        <f>SUM(C93:R93)</f>
        <v>0</v>
      </c>
      <c r="U93" s="24" t="s">
        <v>33</v>
      </c>
      <c r="V93" s="15">
        <f>V84+V88+V89+V90+V91+V92</f>
        <v>0</v>
      </c>
      <c r="W93" s="15">
        <f t="shared" ref="W93:AD93" si="5">W84+W88+W89+W90+W91+W92</f>
        <v>0</v>
      </c>
      <c r="X93" s="15">
        <f t="shared" si="5"/>
        <v>0</v>
      </c>
      <c r="Y93" s="15">
        <f t="shared" si="5"/>
        <v>0</v>
      </c>
      <c r="Z93" s="15">
        <f t="shared" si="5"/>
        <v>0</v>
      </c>
      <c r="AA93" s="15">
        <f t="shared" si="5"/>
        <v>0</v>
      </c>
      <c r="AB93" s="15">
        <f t="shared" si="5"/>
        <v>0</v>
      </c>
      <c r="AC93" s="15">
        <f t="shared" si="5"/>
        <v>0</v>
      </c>
      <c r="AD93" s="15">
        <f t="shared" si="5"/>
        <v>0</v>
      </c>
      <c r="AE93" s="15">
        <f>SUM(V93:AD93)</f>
        <v>0</v>
      </c>
    </row>
    <row r="94" spans="2:31">
      <c r="B94" s="22" t="s">
        <v>34</v>
      </c>
      <c r="C94" s="11">
        <v>0</v>
      </c>
      <c r="D94" s="11">
        <v>0</v>
      </c>
      <c r="E94" s="11">
        <v>0</v>
      </c>
      <c r="F94" s="11">
        <v>0</v>
      </c>
      <c r="G94" s="11">
        <v>0</v>
      </c>
      <c r="H94" s="11"/>
      <c r="I94" s="11"/>
      <c r="J94" s="11"/>
      <c r="K94" s="11"/>
      <c r="L94" s="11"/>
      <c r="M94" s="11"/>
      <c r="N94" s="11"/>
      <c r="O94" s="11">
        <v>0</v>
      </c>
      <c r="P94" s="11">
        <v>0</v>
      </c>
      <c r="Q94" s="11">
        <v>0</v>
      </c>
      <c r="R94" s="11">
        <v>0</v>
      </c>
      <c r="S94" s="11">
        <f>SUM(C94:R94)</f>
        <v>0</v>
      </c>
      <c r="U94" s="22" t="s">
        <v>34</v>
      </c>
      <c r="V94" s="11">
        <v>0</v>
      </c>
      <c r="W94" s="11">
        <v>0</v>
      </c>
      <c r="X94" s="11">
        <v>0</v>
      </c>
      <c r="Y94" s="11">
        <v>0</v>
      </c>
      <c r="Z94" s="11">
        <v>0</v>
      </c>
      <c r="AA94" s="11">
        <v>0</v>
      </c>
      <c r="AB94" s="11">
        <v>0</v>
      </c>
      <c r="AC94" s="11">
        <v>0</v>
      </c>
      <c r="AD94" s="11">
        <v>0</v>
      </c>
      <c r="AE94" s="11">
        <f t="shared" ref="AE94:AE101" si="6">SUM(V94:AD94)</f>
        <v>0</v>
      </c>
    </row>
    <row r="95" spans="2:31">
      <c r="B95" s="22" t="s">
        <v>35</v>
      </c>
      <c r="C95" s="11">
        <f>(P95-Q95)*$X$48*('Prod Energie'!D32)</f>
        <v>0</v>
      </c>
      <c r="D95" s="11">
        <v>0</v>
      </c>
      <c r="E95" s="11">
        <f>(P95-Q95)*$X$48*('Prod Energie'!D33)</f>
        <v>0</v>
      </c>
      <c r="F95" s="11">
        <v>0</v>
      </c>
      <c r="G95" s="11">
        <f>(P95-Q95)*$X$48*('Prod Energie'!D40+'Prod Energie'!D39+'Prod Energie'!D34)</f>
        <v>2113.5353123722925</v>
      </c>
      <c r="H95" s="11">
        <f>(P95-Q95)*$X$48*'Prod Energie'!D38</f>
        <v>1932.3751427403818</v>
      </c>
      <c r="I95" s="11">
        <f>(P95-Q95)*$X$48*'Prod Energie'!D41</f>
        <v>60.38672321063693</v>
      </c>
      <c r="J95" s="11">
        <f>(P95-Q95)*$X$48*'Prod Energie'!D37</f>
        <v>1509.6680802659232</v>
      </c>
      <c r="K95" s="11">
        <f>(P95-Q95)*$X$48*'Prod Energie'!D36</f>
        <v>422.70706247445855</v>
      </c>
      <c r="L95" s="11"/>
      <c r="M95" s="11">
        <f>(P95-Q95)*$X$48*'Prod Energie'!D35</f>
        <v>0</v>
      </c>
      <c r="N95" s="11"/>
      <c r="O95" s="11">
        <f>(P95-Q95)*$X$48*('Prod Energie'!D38+'Prod Energie'!D37+'Prod Energie'!D41+'Prod Energie'!D36+'Prod Energie'!D35)</f>
        <v>3925.1370086914012</v>
      </c>
      <c r="P95" s="11">
        <f>P100/(1+$P$48+$Q$48)</f>
        <v>-3103.0715732626891</v>
      </c>
      <c r="Q95" s="11">
        <f>Q100/(1+$D$48)</f>
        <v>-507.03122836837019</v>
      </c>
      <c r="R95" s="11">
        <v>0</v>
      </c>
      <c r="S95" s="11">
        <f>SUM(C95:R95)-SUM(H95:N95)</f>
        <v>2428.5695194326354</v>
      </c>
      <c r="U95" s="22" t="s">
        <v>35</v>
      </c>
      <c r="V95" s="11">
        <f>(AB95-AC95)*$X$48*('Prod Energie'!D53)</f>
        <v>0</v>
      </c>
      <c r="W95" s="11">
        <v>0</v>
      </c>
      <c r="X95" s="11">
        <f>(AB95-AC95)*$X$48*('Prod Energie'!D54)</f>
        <v>0</v>
      </c>
      <c r="Y95" s="11">
        <v>0</v>
      </c>
      <c r="Z95" s="11">
        <f>(AB95-AC95)*$X$48*('Prod Energie'!D61+'Prod Energie'!D60)</f>
        <v>1108.7958415793557</v>
      </c>
      <c r="AA95" s="11">
        <f>(AB95-AC95)*$X$48*('Prod Energie'!D59)</f>
        <v>1774.0733465269695</v>
      </c>
      <c r="AB95" s="11">
        <f>AB100/(1+$P$48+$Q$48)</f>
        <v>-2890.4017657549912</v>
      </c>
      <c r="AC95" s="11">
        <f>AC100/(1+$D$48)</f>
        <v>-507.03122836837019</v>
      </c>
      <c r="AD95" s="11">
        <v>0</v>
      </c>
      <c r="AE95" s="11">
        <f t="shared" si="6"/>
        <v>-514.56380601703631</v>
      </c>
    </row>
    <row r="96" spans="2:31">
      <c r="B96" s="22" t="s">
        <v>36</v>
      </c>
      <c r="C96" s="11">
        <v>0</v>
      </c>
      <c r="D96" s="11">
        <v>0</v>
      </c>
      <c r="E96" s="11">
        <v>0</v>
      </c>
      <c r="F96" s="11">
        <v>0</v>
      </c>
      <c r="G96" s="11">
        <v>0</v>
      </c>
      <c r="H96" s="11"/>
      <c r="I96" s="11"/>
      <c r="J96" s="11"/>
      <c r="K96" s="11"/>
      <c r="L96" s="11"/>
      <c r="M96" s="11"/>
      <c r="N96" s="11"/>
      <c r="O96" s="11">
        <v>0</v>
      </c>
      <c r="P96" s="11">
        <v>0</v>
      </c>
      <c r="Q96" s="11">
        <v>0</v>
      </c>
      <c r="R96" s="11">
        <v>0</v>
      </c>
      <c r="S96" s="11">
        <f t="shared" ref="S96:S101" si="7">SUM(C96:R96)</f>
        <v>0</v>
      </c>
      <c r="U96" s="22" t="s">
        <v>36</v>
      </c>
      <c r="V96" s="11">
        <v>0</v>
      </c>
      <c r="W96" s="11">
        <v>0</v>
      </c>
      <c r="X96" s="11">
        <v>0</v>
      </c>
      <c r="Y96" s="11">
        <v>0</v>
      </c>
      <c r="Z96" s="11">
        <v>0</v>
      </c>
      <c r="AA96" s="11">
        <v>0</v>
      </c>
      <c r="AB96" s="11">
        <v>0</v>
      </c>
      <c r="AC96" s="11">
        <v>0</v>
      </c>
      <c r="AD96" s="11">
        <v>0</v>
      </c>
      <c r="AE96" s="11">
        <f t="shared" si="6"/>
        <v>0</v>
      </c>
    </row>
    <row r="97" spans="2:32">
      <c r="B97" s="22" t="s">
        <v>37</v>
      </c>
      <c r="C97" s="11">
        <v>0</v>
      </c>
      <c r="D97" s="11">
        <v>0</v>
      </c>
      <c r="E97" s="11">
        <v>0</v>
      </c>
      <c r="F97" s="11">
        <v>0</v>
      </c>
      <c r="G97" s="11">
        <v>0</v>
      </c>
      <c r="H97" s="11"/>
      <c r="I97" s="11"/>
      <c r="J97" s="11"/>
      <c r="K97" s="11"/>
      <c r="L97" s="11"/>
      <c r="M97" s="11"/>
      <c r="N97" s="11"/>
      <c r="O97" s="11">
        <v>0</v>
      </c>
      <c r="P97" s="11">
        <v>0</v>
      </c>
      <c r="Q97" s="11">
        <v>0</v>
      </c>
      <c r="R97" s="11">
        <v>0</v>
      </c>
      <c r="S97" s="11">
        <f t="shared" si="7"/>
        <v>0</v>
      </c>
      <c r="U97" s="22" t="s">
        <v>37</v>
      </c>
      <c r="V97" s="11">
        <v>0</v>
      </c>
      <c r="W97" s="11">
        <v>0</v>
      </c>
      <c r="X97" s="11">
        <v>0</v>
      </c>
      <c r="Y97" s="11">
        <v>0</v>
      </c>
      <c r="Z97" s="11">
        <v>0</v>
      </c>
      <c r="AA97" s="11">
        <v>0</v>
      </c>
      <c r="AB97" s="11">
        <v>0</v>
      </c>
      <c r="AC97" s="11">
        <v>0</v>
      </c>
      <c r="AD97" s="11">
        <v>0</v>
      </c>
      <c r="AE97" s="11">
        <f t="shared" si="6"/>
        <v>0</v>
      </c>
    </row>
    <row r="98" spans="2:32">
      <c r="B98" s="22" t="s">
        <v>38</v>
      </c>
      <c r="C98" s="11">
        <v>0</v>
      </c>
      <c r="D98" s="11">
        <v>0</v>
      </c>
      <c r="E98" s="11">
        <v>0</v>
      </c>
      <c r="F98" s="11">
        <v>0</v>
      </c>
      <c r="G98" s="11">
        <v>0</v>
      </c>
      <c r="H98" s="11"/>
      <c r="I98" s="11"/>
      <c r="J98" s="11"/>
      <c r="K98" s="11"/>
      <c r="L98" s="11"/>
      <c r="M98" s="11"/>
      <c r="N98" s="11"/>
      <c r="O98" s="11">
        <v>0</v>
      </c>
      <c r="P98" s="11">
        <f>P95*$P$48</f>
        <v>37.054697621555107</v>
      </c>
      <c r="Q98" s="11">
        <v>0</v>
      </c>
      <c r="R98" s="11">
        <v>0</v>
      </c>
      <c r="S98" s="11">
        <f t="shared" si="7"/>
        <v>37.054697621555107</v>
      </c>
      <c r="U98" s="22" t="s">
        <v>38</v>
      </c>
      <c r="V98" s="11">
        <v>0</v>
      </c>
      <c r="W98" s="11">
        <v>0</v>
      </c>
      <c r="X98" s="11">
        <v>0</v>
      </c>
      <c r="Y98" s="11">
        <v>0</v>
      </c>
      <c r="Z98" s="11">
        <v>0</v>
      </c>
      <c r="AA98" s="11">
        <v>0</v>
      </c>
      <c r="AB98" s="11">
        <f>AB95*$P$48</f>
        <v>34.515144400052613</v>
      </c>
      <c r="AC98" s="11">
        <v>0</v>
      </c>
      <c r="AD98" s="11">
        <v>0</v>
      </c>
      <c r="AE98" s="11">
        <f t="shared" si="6"/>
        <v>34.515144400052613</v>
      </c>
    </row>
    <row r="99" spans="2:32">
      <c r="B99" s="22" t="s">
        <v>39</v>
      </c>
      <c r="C99" s="11">
        <v>0</v>
      </c>
      <c r="D99" s="11">
        <v>0</v>
      </c>
      <c r="E99" s="11">
        <v>0</v>
      </c>
      <c r="F99" s="11">
        <v>0</v>
      </c>
      <c r="G99" s="11">
        <v>0</v>
      </c>
      <c r="H99" s="11"/>
      <c r="I99" s="11"/>
      <c r="J99" s="11"/>
      <c r="K99" s="11"/>
      <c r="L99" s="11"/>
      <c r="M99" s="11"/>
      <c r="N99" s="11"/>
      <c r="O99" s="11">
        <v>0</v>
      </c>
      <c r="P99" s="11">
        <f>P95*$Q$48</f>
        <v>198.45288788751159</v>
      </c>
      <c r="Q99" s="11">
        <f>Q95*$D$48</f>
        <v>42.87790514743088</v>
      </c>
      <c r="R99" s="11">
        <v>0</v>
      </c>
      <c r="S99" s="11">
        <f t="shared" si="7"/>
        <v>241.33079303494247</v>
      </c>
      <c r="U99" s="22" t="s">
        <v>39</v>
      </c>
      <c r="V99" s="11">
        <v>0</v>
      </c>
      <c r="W99" s="11">
        <v>0</v>
      </c>
      <c r="X99" s="11">
        <v>0</v>
      </c>
      <c r="Y99" s="11">
        <v>0</v>
      </c>
      <c r="Z99" s="11">
        <v>0</v>
      </c>
      <c r="AA99" s="11">
        <v>0</v>
      </c>
      <c r="AB99" s="11">
        <f>AB95*$Q$48</f>
        <v>184.85186823007328</v>
      </c>
      <c r="AC99" s="11">
        <f>AC95*$D$48</f>
        <v>42.87790514743088</v>
      </c>
      <c r="AD99" s="11">
        <v>0</v>
      </c>
      <c r="AE99" s="11">
        <f t="shared" si="6"/>
        <v>227.72977337750416</v>
      </c>
    </row>
    <row r="100" spans="2:32">
      <c r="B100" s="24" t="s">
        <v>40</v>
      </c>
      <c r="C100" s="15">
        <f>SUM(C94:C99)</f>
        <v>0</v>
      </c>
      <c r="D100" s="15">
        <f>SUM(D94:D99)</f>
        <v>0</v>
      </c>
      <c r="E100" s="15">
        <f>SUM(E94:E99)</f>
        <v>0</v>
      </c>
      <c r="F100" s="15">
        <f>SUM(F94:F99)</f>
        <v>0</v>
      </c>
      <c r="G100" s="15">
        <f>SUM(G94:G99)</f>
        <v>2113.5353123722925</v>
      </c>
      <c r="H100" s="15"/>
      <c r="I100" s="15"/>
      <c r="J100" s="15"/>
      <c r="K100" s="15"/>
      <c r="L100" s="15"/>
      <c r="M100" s="15"/>
      <c r="N100" s="15"/>
      <c r="O100" s="15"/>
      <c r="P100" s="15">
        <f>-P108</f>
        <v>-2867.5639877536223</v>
      </c>
      <c r="Q100" s="15">
        <f>-Q108</f>
        <v>-464.15332322093934</v>
      </c>
      <c r="R100" s="15">
        <v>0</v>
      </c>
      <c r="S100" s="15">
        <f t="shared" si="7"/>
        <v>-1218.1819986022692</v>
      </c>
      <c r="U100" s="24" t="s">
        <v>40</v>
      </c>
      <c r="V100" s="15">
        <f t="shared" ref="V100:AA100" si="8">SUM(V94:V99)</f>
        <v>0</v>
      </c>
      <c r="W100" s="15">
        <f t="shared" si="8"/>
        <v>0</v>
      </c>
      <c r="X100" s="15">
        <f t="shared" si="8"/>
        <v>0</v>
      </c>
      <c r="Y100" s="15">
        <f t="shared" si="8"/>
        <v>0</v>
      </c>
      <c r="Z100" s="15">
        <f t="shared" si="8"/>
        <v>1108.7958415793557</v>
      </c>
      <c r="AA100" s="15">
        <f t="shared" si="8"/>
        <v>1774.0733465269695</v>
      </c>
      <c r="AB100" s="15">
        <f>-AB108</f>
        <v>-2671.0347531248653</v>
      </c>
      <c r="AC100" s="15">
        <f>-AC108</f>
        <v>-464.15332322093934</v>
      </c>
      <c r="AD100" s="15">
        <v>0</v>
      </c>
      <c r="AE100" s="15">
        <f t="shared" si="6"/>
        <v>-252.31888823947963</v>
      </c>
    </row>
    <row r="101" spans="2:32">
      <c r="B101" s="22" t="s">
        <v>41</v>
      </c>
      <c r="C101" s="11">
        <v>0</v>
      </c>
      <c r="D101" s="11">
        <v>0</v>
      </c>
      <c r="E101" s="11">
        <f>Industrie!D35</f>
        <v>301.70652829904441</v>
      </c>
      <c r="F101" s="11">
        <v>0</v>
      </c>
      <c r="G101" s="11">
        <v>0</v>
      </c>
      <c r="H101" s="11"/>
      <c r="I101" s="11"/>
      <c r="J101" s="11"/>
      <c r="K101" s="11"/>
      <c r="L101" s="11"/>
      <c r="M101" s="11"/>
      <c r="N101" s="11"/>
      <c r="O101" s="11">
        <f>Industrie!D38</f>
        <v>29.808011582996102</v>
      </c>
      <c r="P101" s="11">
        <f>Industrie!D36</f>
        <v>321.5419055920612</v>
      </c>
      <c r="Q101" s="11">
        <f>Industrie!D39</f>
        <v>464.15332322093934</v>
      </c>
      <c r="R101" s="11">
        <v>0</v>
      </c>
      <c r="S101" s="11">
        <f t="shared" si="7"/>
        <v>1117.209768695041</v>
      </c>
      <c r="U101" s="22" t="s">
        <v>41</v>
      </c>
      <c r="V101" s="11">
        <v>0</v>
      </c>
      <c r="W101" s="11">
        <v>0</v>
      </c>
      <c r="X101" s="11">
        <f>Industrie!D56</f>
        <v>237.02915173592245</v>
      </c>
      <c r="Y101" s="11">
        <v>0</v>
      </c>
      <c r="Z101" s="11">
        <v>0</v>
      </c>
      <c r="AA101" s="11">
        <f>Industrie!D62</f>
        <v>56.144583998098597</v>
      </c>
      <c r="AB101" s="11">
        <f>Industrie!D57</f>
        <v>341.79286027148032</v>
      </c>
      <c r="AC101" s="11">
        <f>Industrie!D63</f>
        <v>464.15332322093934</v>
      </c>
      <c r="AD101" s="11">
        <v>0</v>
      </c>
      <c r="AE101" s="11">
        <f t="shared" si="6"/>
        <v>1099.1199192264407</v>
      </c>
    </row>
    <row r="102" spans="2:32">
      <c r="B102" s="22" t="s">
        <v>42</v>
      </c>
      <c r="C102" s="11">
        <v>0</v>
      </c>
      <c r="D102" s="11">
        <v>0</v>
      </c>
      <c r="E102" s="11">
        <f>Transports!F44</f>
        <v>5127.3689659569936</v>
      </c>
      <c r="F102" s="11">
        <v>0</v>
      </c>
      <c r="G102" s="11">
        <v>0</v>
      </c>
      <c r="H102" s="11"/>
      <c r="I102" s="11"/>
      <c r="J102" s="11"/>
      <c r="K102" s="11"/>
      <c r="L102" s="11"/>
      <c r="M102" s="11"/>
      <c r="N102" s="11"/>
      <c r="O102" s="11">
        <v>0</v>
      </c>
      <c r="P102" s="11">
        <f>Transports!F45</f>
        <v>61.044653072677612</v>
      </c>
      <c r="Q102" s="11">
        <v>0</v>
      </c>
      <c r="R102" s="11">
        <v>0</v>
      </c>
      <c r="S102" s="11">
        <f>Transports!F46</f>
        <v>5188.4136190296713</v>
      </c>
      <c r="U102" s="22" t="s">
        <v>42</v>
      </c>
      <c r="V102" s="11">
        <v>0</v>
      </c>
      <c r="W102" s="11">
        <v>0</v>
      </c>
      <c r="X102" s="11">
        <f>Transports!F71</f>
        <v>5028.1903003253756</v>
      </c>
      <c r="Y102" s="11">
        <v>0</v>
      </c>
      <c r="Z102" s="11">
        <v>0</v>
      </c>
      <c r="AA102" s="11">
        <v>0</v>
      </c>
      <c r="AB102" s="11">
        <f>Transports!F72</f>
        <v>77.443640070514434</v>
      </c>
      <c r="AC102" s="11">
        <v>0</v>
      </c>
      <c r="AD102" s="11">
        <v>0</v>
      </c>
      <c r="AE102" s="11">
        <f>Transports!F73</f>
        <v>5105.63394039589</v>
      </c>
    </row>
    <row r="103" spans="2:32">
      <c r="B103" s="22" t="s">
        <v>43</v>
      </c>
      <c r="C103" s="11">
        <v>0</v>
      </c>
      <c r="D103" s="11">
        <v>0</v>
      </c>
      <c r="E103" s="11">
        <f>'Résidentiel-tertiaire'!D163</f>
        <v>95.305911664134271</v>
      </c>
      <c r="F103" s="11">
        <v>0</v>
      </c>
      <c r="G103" s="11">
        <v>0</v>
      </c>
      <c r="H103" s="11"/>
      <c r="I103" s="11"/>
      <c r="J103" s="11"/>
      <c r="K103" s="11"/>
      <c r="L103" s="11"/>
      <c r="M103" s="11"/>
      <c r="N103" s="11"/>
      <c r="O103" s="11">
        <f>'Résidentiel-tertiaire'!D164</f>
        <v>655.74610960214113</v>
      </c>
      <c r="P103" s="11">
        <f>'Résidentiel-tertiaire'!D165</f>
        <v>1274.1986015965776</v>
      </c>
      <c r="Q103" s="11">
        <v>0</v>
      </c>
      <c r="R103" s="11">
        <v>0</v>
      </c>
      <c r="S103" s="11">
        <f>SUM(C103:R103)</f>
        <v>2025.2506228628531</v>
      </c>
      <c r="T103" s="25">
        <f>'[1]Résidentiel-Tertiaire 2'!D152</f>
        <v>760.85335631030102</v>
      </c>
      <c r="U103" s="22" t="s">
        <v>43</v>
      </c>
      <c r="V103" s="11">
        <v>0</v>
      </c>
      <c r="W103" s="11">
        <v>0</v>
      </c>
      <c r="X103" s="11">
        <f>'Résidentiel-tertiaire'!D177</f>
        <v>109.16666666666667</v>
      </c>
      <c r="Y103" s="11">
        <v>0</v>
      </c>
      <c r="Z103" s="11">
        <v>0</v>
      </c>
      <c r="AA103" s="11">
        <f>'Résidentiel-tertiaire'!D178</f>
        <v>614.06016125508302</v>
      </c>
      <c r="AB103" s="11">
        <f>'Résidentiel-tertiaire'!D179</f>
        <v>1086.4283941094263</v>
      </c>
      <c r="AC103" s="11">
        <v>0</v>
      </c>
      <c r="AD103" s="11">
        <v>0</v>
      </c>
      <c r="AE103" s="11">
        <f>SUM(V103:AD103)</f>
        <v>1809.655222031176</v>
      </c>
    </row>
    <row r="104" spans="2:32">
      <c r="B104" s="22" t="s">
        <v>44</v>
      </c>
      <c r="C104" s="11">
        <v>0</v>
      </c>
      <c r="D104" s="11">
        <v>0</v>
      </c>
      <c r="E104" s="11">
        <f>'Résidentiel-tertiaire'!D168</f>
        <v>334.00896402169479</v>
      </c>
      <c r="F104" s="11">
        <v>0</v>
      </c>
      <c r="G104" s="11">
        <v>0</v>
      </c>
      <c r="H104" s="11"/>
      <c r="I104" s="11"/>
      <c r="J104" s="11"/>
      <c r="K104" s="11"/>
      <c r="L104" s="11"/>
      <c r="M104" s="11"/>
      <c r="N104" s="11"/>
      <c r="O104" s="11">
        <f>'Résidentiel-tertiaire'!D169</f>
        <v>1.0030299219870713</v>
      </c>
      <c r="P104" s="11">
        <f>'Résidentiel-tertiaire'!D170</f>
        <v>1190.5965173986535</v>
      </c>
      <c r="Q104" s="11">
        <v>0</v>
      </c>
      <c r="R104" s="11">
        <v>0</v>
      </c>
      <c r="S104" s="11">
        <f>SUM(C104:R104)</f>
        <v>1525.6085113423355</v>
      </c>
      <c r="T104" s="25">
        <f>'[1]Résidentiel-Tertiaire 2'!D159</f>
        <v>673.34922536957004</v>
      </c>
      <c r="U104" s="22" t="s">
        <v>44</v>
      </c>
      <c r="V104" s="11">
        <v>0</v>
      </c>
      <c r="W104" s="11">
        <v>0</v>
      </c>
      <c r="X104" s="11">
        <f>'Résidentiel-tertiaire'!D182</f>
        <v>233.33333333333334</v>
      </c>
      <c r="Y104" s="11">
        <v>0</v>
      </c>
      <c r="Z104" s="11">
        <v>0</v>
      </c>
      <c r="AA104" s="11">
        <f>'Résidentiel-tertiaire'!D183</f>
        <v>0.97404757899043182</v>
      </c>
      <c r="AB104" s="11">
        <f>'Résidentiel-tertiaire'!D184</f>
        <v>1148.8401812540894</v>
      </c>
      <c r="AC104" s="11">
        <v>0</v>
      </c>
      <c r="AD104" s="11">
        <v>0</v>
      </c>
      <c r="AE104" s="11">
        <f>SUM(V104:AD104)</f>
        <v>1383.1475621664131</v>
      </c>
    </row>
    <row r="105" spans="2:32">
      <c r="B105" s="22" t="s">
        <v>4</v>
      </c>
      <c r="C105" s="11">
        <v>0</v>
      </c>
      <c r="D105" s="11">
        <v>0</v>
      </c>
      <c r="E105" s="11">
        <f>Agriculture!J27</f>
        <v>102.92978147762747</v>
      </c>
      <c r="F105" s="11">
        <v>0</v>
      </c>
      <c r="G105" s="11">
        <v>0</v>
      </c>
      <c r="H105" s="11"/>
      <c r="I105" s="11"/>
      <c r="J105" s="11"/>
      <c r="K105" s="11"/>
      <c r="L105" s="11"/>
      <c r="M105" s="11"/>
      <c r="N105" s="11"/>
      <c r="O105" s="11">
        <v>0</v>
      </c>
      <c r="P105" s="11">
        <f>Agriculture!J28</f>
        <v>20.182310093652447</v>
      </c>
      <c r="Q105" s="11">
        <v>0</v>
      </c>
      <c r="R105" s="11">
        <v>0</v>
      </c>
      <c r="S105" s="11">
        <f>SUM(C105:R105)</f>
        <v>123.11209157127992</v>
      </c>
      <c r="T105" s="25">
        <f>[1]Agriculture!J29</f>
        <v>155.597883335208</v>
      </c>
      <c r="U105" s="22" t="s">
        <v>4</v>
      </c>
      <c r="V105" s="11">
        <v>0</v>
      </c>
      <c r="W105" s="11">
        <v>0</v>
      </c>
      <c r="X105" s="11">
        <f>Agriculture!M43</f>
        <v>82.258064516129025</v>
      </c>
      <c r="Y105" s="11">
        <v>0</v>
      </c>
      <c r="Z105" s="11">
        <v>0</v>
      </c>
      <c r="AA105" s="11">
        <f>Agriculture!M45</f>
        <v>18.389612903225807</v>
      </c>
      <c r="AB105" s="11">
        <f>Agriculture!M44</f>
        <v>16.52967741935484</v>
      </c>
      <c r="AC105" s="11">
        <v>0</v>
      </c>
      <c r="AD105" s="11">
        <v>0</v>
      </c>
      <c r="AE105" s="11">
        <f>SUM(V105:AD105)</f>
        <v>117.17735483870968</v>
      </c>
    </row>
    <row r="106" spans="2:32">
      <c r="B106" s="26" t="s">
        <v>45</v>
      </c>
      <c r="C106" s="19" t="e">
        <f>#REF!</f>
        <v>#REF!</v>
      </c>
      <c r="D106" s="19" t="e">
        <f>#REF!</f>
        <v>#REF!</v>
      </c>
      <c r="E106" s="19">
        <f t="shared" ref="E106:S106" si="9">SUM(E101:E105)</f>
        <v>5961.3201514194943</v>
      </c>
      <c r="F106" s="19">
        <f t="shared" si="9"/>
        <v>0</v>
      </c>
      <c r="G106" s="19">
        <f t="shared" si="9"/>
        <v>0</v>
      </c>
      <c r="H106" s="19"/>
      <c r="I106" s="19"/>
      <c r="J106" s="19"/>
      <c r="K106" s="19"/>
      <c r="L106" s="19"/>
      <c r="M106" s="19"/>
      <c r="N106" s="19"/>
      <c r="O106" s="19">
        <f t="shared" si="9"/>
        <v>686.55715110712424</v>
      </c>
      <c r="P106" s="19">
        <f t="shared" si="9"/>
        <v>2867.5639877536223</v>
      </c>
      <c r="Q106" s="19">
        <f t="shared" si="9"/>
        <v>464.15332322093934</v>
      </c>
      <c r="R106" s="19">
        <f t="shared" si="9"/>
        <v>0</v>
      </c>
      <c r="S106" s="19">
        <f t="shared" si="9"/>
        <v>9979.5946135011818</v>
      </c>
      <c r="U106" s="26" t="s">
        <v>45</v>
      </c>
      <c r="V106" s="19" t="e">
        <f>#REF!</f>
        <v>#REF!</v>
      </c>
      <c r="W106" s="19" t="e">
        <f>#REF!</f>
        <v>#REF!</v>
      </c>
      <c r="X106" s="19">
        <f t="shared" ref="X106:AE106" si="10">SUM(X101:X105)</f>
        <v>5689.9775165774272</v>
      </c>
      <c r="Y106" s="19">
        <f t="shared" si="10"/>
        <v>0</v>
      </c>
      <c r="Z106" s="19">
        <f t="shared" si="10"/>
        <v>0</v>
      </c>
      <c r="AA106" s="19">
        <f t="shared" si="10"/>
        <v>689.56840573539785</v>
      </c>
      <c r="AB106" s="19">
        <f t="shared" si="10"/>
        <v>2671.0347531248653</v>
      </c>
      <c r="AC106" s="19">
        <f t="shared" si="10"/>
        <v>464.15332322093934</v>
      </c>
      <c r="AD106" s="19">
        <f t="shared" si="10"/>
        <v>0</v>
      </c>
      <c r="AE106" s="19">
        <f t="shared" si="10"/>
        <v>9514.7339986586303</v>
      </c>
    </row>
    <row r="107" spans="2:32">
      <c r="B107" s="26" t="s">
        <v>46</v>
      </c>
      <c r="C107" s="19">
        <v>0</v>
      </c>
      <c r="D107" s="19">
        <v>0</v>
      </c>
      <c r="E107" s="19">
        <f>Industrie!D37</f>
        <v>285.30525372296273</v>
      </c>
      <c r="F107" s="19">
        <v>0</v>
      </c>
      <c r="G107" s="19">
        <v>0</v>
      </c>
      <c r="H107" s="19"/>
      <c r="I107" s="19"/>
      <c r="J107" s="19"/>
      <c r="K107" s="19"/>
      <c r="L107" s="19"/>
      <c r="M107" s="19"/>
      <c r="N107" s="19"/>
      <c r="O107" s="19">
        <v>0</v>
      </c>
      <c r="P107" s="19">
        <v>0</v>
      </c>
      <c r="Q107" s="19">
        <v>0</v>
      </c>
      <c r="R107" s="19">
        <v>0</v>
      </c>
      <c r="S107" s="19">
        <f>SUM(C107:R107)</f>
        <v>285.30525372296273</v>
      </c>
      <c r="U107" s="26" t="s">
        <v>46</v>
      </c>
      <c r="V107" s="19">
        <v>0</v>
      </c>
      <c r="W107" s="19">
        <v>0</v>
      </c>
      <c r="X107" s="19">
        <f>Industrie!D59</f>
        <v>285.30525372296273</v>
      </c>
      <c r="Y107" s="19">
        <v>0</v>
      </c>
      <c r="Z107" s="19">
        <v>0</v>
      </c>
      <c r="AA107" s="19">
        <f>Industrie!D61</f>
        <v>23.775437810246892</v>
      </c>
      <c r="AB107" s="19">
        <v>0</v>
      </c>
      <c r="AC107" s="19">
        <v>0</v>
      </c>
      <c r="AD107" s="19">
        <v>0</v>
      </c>
      <c r="AE107" s="19">
        <f>SUM(V107:AD107)</f>
        <v>309.08069153320963</v>
      </c>
    </row>
    <row r="108" spans="2:32">
      <c r="B108" s="24" t="s">
        <v>47</v>
      </c>
      <c r="C108" s="15" t="e">
        <f>#REF!</f>
        <v>#REF!</v>
      </c>
      <c r="D108" s="15" t="e">
        <f>#REF!</f>
        <v>#REF!</v>
      </c>
      <c r="E108" s="15">
        <f t="shared" ref="E108:S108" si="11">SUM(E106:E107)</f>
        <v>6246.6254051424567</v>
      </c>
      <c r="F108" s="15">
        <f t="shared" si="11"/>
        <v>0</v>
      </c>
      <c r="G108" s="15">
        <f t="shared" si="11"/>
        <v>0</v>
      </c>
      <c r="H108" s="15"/>
      <c r="I108" s="15"/>
      <c r="J108" s="15"/>
      <c r="K108" s="15"/>
      <c r="L108" s="15"/>
      <c r="M108" s="15"/>
      <c r="N108" s="15"/>
      <c r="O108" s="15">
        <f t="shared" si="11"/>
        <v>686.55715110712424</v>
      </c>
      <c r="P108" s="15">
        <f t="shared" si="11"/>
        <v>2867.5639877536223</v>
      </c>
      <c r="Q108" s="15">
        <f t="shared" si="11"/>
        <v>464.15332322093934</v>
      </c>
      <c r="R108" s="15">
        <f t="shared" si="11"/>
        <v>0</v>
      </c>
      <c r="S108" s="15">
        <f t="shared" si="11"/>
        <v>10264.899867224145</v>
      </c>
      <c r="T108" s="27" t="e">
        <f>SUM(C108:R108)</f>
        <v>#REF!</v>
      </c>
      <c r="U108" s="24" t="s">
        <v>47</v>
      </c>
      <c r="V108" s="15" t="e">
        <f>#REF!</f>
        <v>#REF!</v>
      </c>
      <c r="W108" s="15" t="e">
        <f>#REF!</f>
        <v>#REF!</v>
      </c>
      <c r="X108" s="15">
        <f t="shared" ref="X108:AE108" si="12">SUM(X106:X107)</f>
        <v>5975.2827703003895</v>
      </c>
      <c r="Y108" s="15">
        <f t="shared" si="12"/>
        <v>0</v>
      </c>
      <c r="Z108" s="15">
        <f t="shared" si="12"/>
        <v>0</v>
      </c>
      <c r="AA108" s="15">
        <f t="shared" si="12"/>
        <v>713.34384354564475</v>
      </c>
      <c r="AB108" s="15">
        <f t="shared" si="12"/>
        <v>2671.0347531248653</v>
      </c>
      <c r="AC108" s="15">
        <f t="shared" si="12"/>
        <v>464.15332322093934</v>
      </c>
      <c r="AD108" s="15">
        <f t="shared" si="12"/>
        <v>0</v>
      </c>
      <c r="AE108" s="15">
        <f t="shared" si="12"/>
        <v>9823.8146901918408</v>
      </c>
      <c r="AF108" s="27" t="e">
        <f>SUM(V108:AD108)</f>
        <v>#REF!</v>
      </c>
    </row>
    <row r="111" spans="2:32">
      <c r="AA111" s="258">
        <f>AB95-AC95</f>
        <v>-2383.370537386621</v>
      </c>
    </row>
    <row r="114" spans="2:31">
      <c r="C114" s="4" t="s">
        <v>54</v>
      </c>
      <c r="D114" s="4"/>
      <c r="E114" s="4"/>
      <c r="F114" s="4"/>
      <c r="G114" s="4"/>
      <c r="H114" s="4"/>
      <c r="I114" s="4"/>
      <c r="J114" s="4"/>
      <c r="K114" s="4"/>
      <c r="L114" s="4"/>
      <c r="M114" s="4"/>
      <c r="N114" s="4"/>
      <c r="O114" s="4"/>
      <c r="P114" s="4"/>
      <c r="Q114" s="4"/>
      <c r="R114" s="4"/>
      <c r="S114" s="4"/>
      <c r="T114" s="4"/>
      <c r="U114" s="4"/>
      <c r="V114" s="4" t="s">
        <v>54</v>
      </c>
      <c r="W114" s="4"/>
    </row>
    <row r="115" spans="2:31" ht="43.2">
      <c r="B115" s="20">
        <v>2030</v>
      </c>
      <c r="C115" s="7" t="s">
        <v>14</v>
      </c>
      <c r="D115" s="7" t="s">
        <v>15</v>
      </c>
      <c r="E115" s="7" t="s">
        <v>16</v>
      </c>
      <c r="F115" s="7" t="s">
        <v>17</v>
      </c>
      <c r="G115" s="7" t="s">
        <v>18</v>
      </c>
      <c r="H115" s="244"/>
      <c r="I115" s="244"/>
      <c r="J115" s="244"/>
      <c r="K115" s="244"/>
      <c r="L115" s="244"/>
      <c r="M115" s="244"/>
      <c r="N115" s="244"/>
      <c r="O115" s="7" t="s">
        <v>19</v>
      </c>
      <c r="P115" s="7" t="s">
        <v>20</v>
      </c>
      <c r="Q115" s="7" t="s">
        <v>21</v>
      </c>
      <c r="R115" s="7"/>
      <c r="S115" s="7" t="s">
        <v>23</v>
      </c>
      <c r="U115" s="21">
        <v>2030</v>
      </c>
      <c r="V115" s="7" t="s">
        <v>14</v>
      </c>
      <c r="W115" s="7" t="s">
        <v>15</v>
      </c>
      <c r="X115" s="7" t="s">
        <v>16</v>
      </c>
      <c r="Y115" s="7" t="s">
        <v>17</v>
      </c>
      <c r="Z115" s="7" t="s">
        <v>18</v>
      </c>
      <c r="AA115" s="7" t="s">
        <v>19</v>
      </c>
      <c r="AB115" s="7" t="s">
        <v>20</v>
      </c>
      <c r="AC115" s="7" t="s">
        <v>21</v>
      </c>
      <c r="AD115" s="7"/>
      <c r="AE115" s="7" t="s">
        <v>23</v>
      </c>
    </row>
    <row r="116" spans="2:31">
      <c r="B116" s="22" t="s">
        <v>24</v>
      </c>
      <c r="C116" s="11">
        <v>0</v>
      </c>
      <c r="D116" s="11">
        <v>0</v>
      </c>
      <c r="E116" s="11">
        <v>0</v>
      </c>
      <c r="F116" s="11">
        <v>0</v>
      </c>
      <c r="G116" s="11">
        <v>0</v>
      </c>
      <c r="H116" s="11"/>
      <c r="I116" s="11"/>
      <c r="J116" s="11"/>
      <c r="K116" s="11"/>
      <c r="L116" s="11"/>
      <c r="M116" s="11"/>
      <c r="N116" s="11"/>
      <c r="O116" s="11">
        <v>0</v>
      </c>
      <c r="P116" s="11">
        <v>0</v>
      </c>
      <c r="Q116" s="11">
        <v>0</v>
      </c>
      <c r="R116" s="11">
        <v>0</v>
      </c>
      <c r="S116" s="11">
        <f>SUM(C116:R116)</f>
        <v>0</v>
      </c>
      <c r="U116" s="22" t="s">
        <v>24</v>
      </c>
      <c r="V116" s="11">
        <v>0</v>
      </c>
      <c r="W116" s="11">
        <v>0</v>
      </c>
      <c r="X116" s="11">
        <v>0</v>
      </c>
      <c r="Y116" s="11">
        <v>0</v>
      </c>
      <c r="Z116" s="11">
        <v>0</v>
      </c>
      <c r="AA116" s="11">
        <v>0</v>
      </c>
      <c r="AB116" s="11">
        <v>0</v>
      </c>
      <c r="AC116" s="11">
        <v>0</v>
      </c>
      <c r="AD116" s="11">
        <v>0</v>
      </c>
      <c r="AE116" s="11">
        <f>SUM(V116:AD116)</f>
        <v>0</v>
      </c>
    </row>
    <row r="117" spans="2:31">
      <c r="B117" s="22" t="s">
        <v>25</v>
      </c>
      <c r="C117" s="11">
        <v>0</v>
      </c>
      <c r="D117" s="11">
        <v>0</v>
      </c>
      <c r="E117" s="11">
        <v>0</v>
      </c>
      <c r="F117" s="11">
        <v>0</v>
      </c>
      <c r="G117" s="11">
        <v>0</v>
      </c>
      <c r="H117" s="11"/>
      <c r="I117" s="11"/>
      <c r="J117" s="11"/>
      <c r="K117" s="11"/>
      <c r="L117" s="11"/>
      <c r="M117" s="11"/>
      <c r="N117" s="11"/>
      <c r="O117" s="11">
        <v>0</v>
      </c>
      <c r="P117" s="11">
        <v>0</v>
      </c>
      <c r="Q117" s="11">
        <v>0</v>
      </c>
      <c r="R117" s="11">
        <v>0</v>
      </c>
      <c r="S117" s="11">
        <f t="shared" ref="S117:S125" si="13">SUM(C117:R117)</f>
        <v>0</v>
      </c>
      <c r="U117" s="22" t="s">
        <v>25</v>
      </c>
      <c r="V117" s="11">
        <v>0</v>
      </c>
      <c r="W117" s="11">
        <v>0</v>
      </c>
      <c r="X117" s="11">
        <v>0</v>
      </c>
      <c r="Y117" s="11">
        <v>0</v>
      </c>
      <c r="Z117" s="11">
        <v>0</v>
      </c>
      <c r="AA117" s="11">
        <v>0</v>
      </c>
      <c r="AB117" s="11">
        <v>0</v>
      </c>
      <c r="AC117" s="11">
        <v>0</v>
      </c>
      <c r="AD117" s="11">
        <v>0</v>
      </c>
      <c r="AE117" s="11">
        <f t="shared" ref="AE117:AE124" si="14">SUM(V117:AD117)</f>
        <v>0</v>
      </c>
    </row>
    <row r="118" spans="2:31">
      <c r="B118" s="22" t="s">
        <v>26</v>
      </c>
      <c r="C118" s="11">
        <v>0</v>
      </c>
      <c r="D118" s="11">
        <v>0</v>
      </c>
      <c r="E118" s="11">
        <v>0</v>
      </c>
      <c r="F118" s="11">
        <v>0</v>
      </c>
      <c r="G118" s="11">
        <v>0</v>
      </c>
      <c r="H118" s="11"/>
      <c r="I118" s="11"/>
      <c r="J118" s="11"/>
      <c r="K118" s="11"/>
      <c r="L118" s="11"/>
      <c r="M118" s="11"/>
      <c r="N118" s="11"/>
      <c r="O118" s="11">
        <v>0</v>
      </c>
      <c r="P118" s="11">
        <v>0</v>
      </c>
      <c r="Q118" s="11">
        <v>0</v>
      </c>
      <c r="R118" s="11">
        <v>0</v>
      </c>
      <c r="S118" s="11">
        <f t="shared" si="13"/>
        <v>0</v>
      </c>
      <c r="U118" s="22" t="s">
        <v>26</v>
      </c>
      <c r="V118" s="11">
        <v>0</v>
      </c>
      <c r="W118" s="11">
        <v>0</v>
      </c>
      <c r="X118" s="11">
        <v>0</v>
      </c>
      <c r="Y118" s="11">
        <v>0</v>
      </c>
      <c r="Z118" s="11">
        <v>0</v>
      </c>
      <c r="AA118" s="11">
        <v>0</v>
      </c>
      <c r="AB118" s="11">
        <v>0</v>
      </c>
      <c r="AC118" s="11">
        <v>0</v>
      </c>
      <c r="AD118" s="11">
        <v>0</v>
      </c>
      <c r="AE118" s="11">
        <f t="shared" si="14"/>
        <v>0</v>
      </c>
    </row>
    <row r="119" spans="2:31">
      <c r="B119" s="22" t="s">
        <v>27</v>
      </c>
      <c r="C119" s="11">
        <v>0</v>
      </c>
      <c r="D119" s="11">
        <v>0</v>
      </c>
      <c r="E119" s="11">
        <v>0</v>
      </c>
      <c r="F119" s="11">
        <v>0</v>
      </c>
      <c r="G119" s="11">
        <v>0</v>
      </c>
      <c r="H119" s="11"/>
      <c r="I119" s="11"/>
      <c r="J119" s="11"/>
      <c r="K119" s="11"/>
      <c r="L119" s="11"/>
      <c r="M119" s="11"/>
      <c r="N119" s="11"/>
      <c r="O119" s="11">
        <v>0</v>
      </c>
      <c r="P119" s="11">
        <v>0</v>
      </c>
      <c r="Q119" s="11">
        <v>0</v>
      </c>
      <c r="R119" s="11">
        <v>0</v>
      </c>
      <c r="S119" s="11">
        <f t="shared" si="13"/>
        <v>0</v>
      </c>
      <c r="U119" s="22" t="s">
        <v>27</v>
      </c>
      <c r="V119" s="11">
        <v>0</v>
      </c>
      <c r="W119" s="11">
        <v>0</v>
      </c>
      <c r="X119" s="11">
        <v>0</v>
      </c>
      <c r="Y119" s="11">
        <v>0</v>
      </c>
      <c r="Z119" s="11">
        <v>0</v>
      </c>
      <c r="AA119" s="11">
        <v>0</v>
      </c>
      <c r="AB119" s="11">
        <v>0</v>
      </c>
      <c r="AC119" s="11">
        <v>0</v>
      </c>
      <c r="AD119" s="11">
        <v>0</v>
      </c>
      <c r="AE119" s="11">
        <f t="shared" si="14"/>
        <v>0</v>
      </c>
    </row>
    <row r="120" spans="2:31">
      <c r="B120" s="22" t="s">
        <v>28</v>
      </c>
      <c r="C120" s="11">
        <v>0</v>
      </c>
      <c r="D120" s="11">
        <v>0</v>
      </c>
      <c r="E120" s="11">
        <v>0</v>
      </c>
      <c r="F120" s="11">
        <v>0</v>
      </c>
      <c r="G120" s="11">
        <v>0</v>
      </c>
      <c r="H120" s="11"/>
      <c r="I120" s="11"/>
      <c r="J120" s="11"/>
      <c r="K120" s="11"/>
      <c r="L120" s="11"/>
      <c r="M120" s="11"/>
      <c r="N120" s="11"/>
      <c r="O120" s="11">
        <v>0</v>
      </c>
      <c r="P120" s="11">
        <v>0</v>
      </c>
      <c r="Q120" s="11">
        <v>0</v>
      </c>
      <c r="R120" s="11">
        <v>0</v>
      </c>
      <c r="S120" s="11">
        <f t="shared" si="13"/>
        <v>0</v>
      </c>
      <c r="U120" s="22" t="s">
        <v>28</v>
      </c>
      <c r="V120" s="11">
        <v>0</v>
      </c>
      <c r="W120" s="11">
        <v>0</v>
      </c>
      <c r="X120" s="11">
        <v>0</v>
      </c>
      <c r="Y120" s="11">
        <v>0</v>
      </c>
      <c r="Z120" s="11">
        <v>0</v>
      </c>
      <c r="AA120" s="11">
        <v>0</v>
      </c>
      <c r="AB120" s="11">
        <v>0</v>
      </c>
      <c r="AC120" s="11">
        <v>0</v>
      </c>
      <c r="AD120" s="11">
        <v>0</v>
      </c>
      <c r="AE120" s="11">
        <f t="shared" si="14"/>
        <v>0</v>
      </c>
    </row>
    <row r="121" spans="2:31">
      <c r="B121" s="22" t="s">
        <v>29</v>
      </c>
      <c r="C121" s="11">
        <v>0</v>
      </c>
      <c r="D121" s="11">
        <v>0</v>
      </c>
      <c r="E121" s="11">
        <v>0</v>
      </c>
      <c r="F121" s="11">
        <v>0</v>
      </c>
      <c r="G121" s="11">
        <v>0</v>
      </c>
      <c r="H121" s="11"/>
      <c r="I121" s="11"/>
      <c r="J121" s="11"/>
      <c r="K121" s="11"/>
      <c r="L121" s="11"/>
      <c r="M121" s="11"/>
      <c r="N121" s="11"/>
      <c r="O121" s="11">
        <v>0</v>
      </c>
      <c r="P121" s="11">
        <v>0</v>
      </c>
      <c r="Q121" s="11">
        <v>0</v>
      </c>
      <c r="R121" s="11">
        <v>0</v>
      </c>
      <c r="S121" s="11">
        <f t="shared" si="13"/>
        <v>0</v>
      </c>
      <c r="U121" s="22" t="s">
        <v>29</v>
      </c>
      <c r="V121" s="11">
        <v>0</v>
      </c>
      <c r="W121" s="11">
        <v>0</v>
      </c>
      <c r="X121" s="11">
        <v>0</v>
      </c>
      <c r="Y121" s="11">
        <v>0</v>
      </c>
      <c r="Z121" s="11">
        <v>0</v>
      </c>
      <c r="AA121" s="11">
        <v>0</v>
      </c>
      <c r="AB121" s="11">
        <v>0</v>
      </c>
      <c r="AC121" s="11">
        <v>0</v>
      </c>
      <c r="AD121" s="11">
        <v>0</v>
      </c>
      <c r="AE121" s="11">
        <f t="shared" si="14"/>
        <v>0</v>
      </c>
    </row>
    <row r="122" spans="2:31">
      <c r="B122" s="22" t="s">
        <v>30</v>
      </c>
      <c r="C122" s="11">
        <v>0</v>
      </c>
      <c r="D122" s="11">
        <v>0</v>
      </c>
      <c r="E122" s="11">
        <v>0</v>
      </c>
      <c r="F122" s="11">
        <v>0</v>
      </c>
      <c r="G122" s="11">
        <v>0</v>
      </c>
      <c r="H122" s="11"/>
      <c r="I122" s="11"/>
      <c r="J122" s="11"/>
      <c r="K122" s="11"/>
      <c r="L122" s="11"/>
      <c r="M122" s="11"/>
      <c r="N122" s="11"/>
      <c r="O122" s="11">
        <v>0</v>
      </c>
      <c r="P122" s="11">
        <v>0</v>
      </c>
      <c r="Q122" s="11">
        <v>0</v>
      </c>
      <c r="R122" s="11">
        <v>0</v>
      </c>
      <c r="S122" s="11">
        <f t="shared" si="13"/>
        <v>0</v>
      </c>
      <c r="U122" s="22" t="s">
        <v>30</v>
      </c>
      <c r="V122" s="11">
        <v>0</v>
      </c>
      <c r="W122" s="11">
        <v>0</v>
      </c>
      <c r="X122" s="11">
        <v>0</v>
      </c>
      <c r="Y122" s="11">
        <v>0</v>
      </c>
      <c r="Z122" s="11">
        <v>0</v>
      </c>
      <c r="AA122" s="11">
        <v>0</v>
      </c>
      <c r="AB122" s="11">
        <v>0</v>
      </c>
      <c r="AC122" s="11">
        <v>0</v>
      </c>
      <c r="AD122" s="11">
        <v>0</v>
      </c>
      <c r="AE122" s="11">
        <f t="shared" si="14"/>
        <v>0</v>
      </c>
    </row>
    <row r="123" spans="2:31">
      <c r="B123" s="22" t="s">
        <v>31</v>
      </c>
      <c r="C123" s="11">
        <v>0</v>
      </c>
      <c r="D123" s="11">
        <v>0</v>
      </c>
      <c r="E123" s="11">
        <v>0</v>
      </c>
      <c r="F123" s="11">
        <v>0</v>
      </c>
      <c r="G123" s="11">
        <v>0</v>
      </c>
      <c r="H123" s="11"/>
      <c r="I123" s="11"/>
      <c r="J123" s="11"/>
      <c r="K123" s="11"/>
      <c r="L123" s="11"/>
      <c r="M123" s="11"/>
      <c r="N123" s="11"/>
      <c r="O123" s="11">
        <v>0</v>
      </c>
      <c r="P123" s="11">
        <v>0</v>
      </c>
      <c r="Q123" s="11">
        <v>0</v>
      </c>
      <c r="R123" s="11">
        <v>0</v>
      </c>
      <c r="S123" s="11">
        <f t="shared" si="13"/>
        <v>0</v>
      </c>
      <c r="U123" s="22" t="s">
        <v>31</v>
      </c>
      <c r="V123" s="11">
        <v>0</v>
      </c>
      <c r="W123" s="11">
        <v>0</v>
      </c>
      <c r="X123" s="11">
        <v>0</v>
      </c>
      <c r="Y123" s="11">
        <v>0</v>
      </c>
      <c r="Z123" s="11">
        <v>0</v>
      </c>
      <c r="AA123" s="11">
        <v>0</v>
      </c>
      <c r="AB123" s="11">
        <v>0</v>
      </c>
      <c r="AC123" s="11">
        <v>0</v>
      </c>
      <c r="AD123" s="11">
        <v>0</v>
      </c>
      <c r="AE123" s="11">
        <f t="shared" si="14"/>
        <v>0</v>
      </c>
    </row>
    <row r="124" spans="2:31">
      <c r="B124" s="22" t="s">
        <v>32</v>
      </c>
      <c r="C124" s="11">
        <v>0</v>
      </c>
      <c r="D124" s="11">
        <v>0</v>
      </c>
      <c r="E124" s="23">
        <v>0</v>
      </c>
      <c r="F124" s="11">
        <v>0</v>
      </c>
      <c r="G124" s="11">
        <v>0</v>
      </c>
      <c r="H124" s="11"/>
      <c r="I124" s="11"/>
      <c r="J124" s="11"/>
      <c r="K124" s="11"/>
      <c r="L124" s="11"/>
      <c r="M124" s="11"/>
      <c r="N124" s="11"/>
      <c r="O124" s="11">
        <v>0</v>
      </c>
      <c r="P124" s="11">
        <v>0</v>
      </c>
      <c r="Q124" s="11">
        <v>0</v>
      </c>
      <c r="R124" s="11">
        <v>0</v>
      </c>
      <c r="S124" s="11">
        <f t="shared" si="13"/>
        <v>0</v>
      </c>
      <c r="U124" s="22" t="s">
        <v>32</v>
      </c>
      <c r="V124" s="11">
        <v>0</v>
      </c>
      <c r="W124" s="11">
        <v>0</v>
      </c>
      <c r="X124" s="23">
        <v>0</v>
      </c>
      <c r="Y124" s="11">
        <v>0</v>
      </c>
      <c r="Z124" s="11">
        <v>0</v>
      </c>
      <c r="AA124" s="11">
        <v>0</v>
      </c>
      <c r="AB124" s="11">
        <v>0</v>
      </c>
      <c r="AC124" s="11">
        <v>0</v>
      </c>
      <c r="AD124" s="11">
        <v>0</v>
      </c>
      <c r="AE124" s="11">
        <f t="shared" si="14"/>
        <v>0</v>
      </c>
    </row>
    <row r="125" spans="2:31">
      <c r="B125" s="24" t="s">
        <v>33</v>
      </c>
      <c r="C125" s="15">
        <f>C116+C120+C121+C122+C123+C124</f>
        <v>0</v>
      </c>
      <c r="D125" s="15">
        <f t="shared" ref="D125:R125" si="15">D116+D120+D121+D122+D123+D124</f>
        <v>0</v>
      </c>
      <c r="E125" s="15">
        <f t="shared" si="15"/>
        <v>0</v>
      </c>
      <c r="F125" s="15">
        <f t="shared" si="15"/>
        <v>0</v>
      </c>
      <c r="G125" s="15">
        <f t="shared" si="15"/>
        <v>0</v>
      </c>
      <c r="H125" s="15">
        <f t="shared" si="15"/>
        <v>0</v>
      </c>
      <c r="I125" s="15">
        <f t="shared" si="15"/>
        <v>0</v>
      </c>
      <c r="J125" s="15">
        <f t="shared" si="15"/>
        <v>0</v>
      </c>
      <c r="K125" s="15">
        <f t="shared" si="15"/>
        <v>0</v>
      </c>
      <c r="L125" s="15">
        <f t="shared" si="15"/>
        <v>0</v>
      </c>
      <c r="M125" s="15">
        <f t="shared" si="15"/>
        <v>0</v>
      </c>
      <c r="N125" s="15">
        <f t="shared" si="15"/>
        <v>0</v>
      </c>
      <c r="O125" s="15">
        <f t="shared" si="15"/>
        <v>0</v>
      </c>
      <c r="P125" s="15">
        <f t="shared" si="15"/>
        <v>0</v>
      </c>
      <c r="Q125" s="15">
        <f t="shared" si="15"/>
        <v>0</v>
      </c>
      <c r="R125" s="15">
        <f t="shared" si="15"/>
        <v>0</v>
      </c>
      <c r="S125" s="15">
        <f t="shared" si="13"/>
        <v>0</v>
      </c>
      <c r="U125" s="24" t="s">
        <v>33</v>
      </c>
      <c r="V125" s="15">
        <f>V116+V120+V121+V122+V123+V124</f>
        <v>0</v>
      </c>
      <c r="W125" s="15">
        <f t="shared" ref="W125:AD125" si="16">W116+W120+W121+W122+W123+W124</f>
        <v>0</v>
      </c>
      <c r="X125" s="15">
        <f t="shared" si="16"/>
        <v>0</v>
      </c>
      <c r="Y125" s="15">
        <f t="shared" si="16"/>
        <v>0</v>
      </c>
      <c r="Z125" s="15">
        <f t="shared" si="16"/>
        <v>0</v>
      </c>
      <c r="AA125" s="15">
        <f t="shared" si="16"/>
        <v>0</v>
      </c>
      <c r="AB125" s="15">
        <f t="shared" si="16"/>
        <v>0</v>
      </c>
      <c r="AC125" s="15">
        <f t="shared" si="16"/>
        <v>0</v>
      </c>
      <c r="AD125" s="15">
        <f t="shared" si="16"/>
        <v>0</v>
      </c>
      <c r="AE125" s="15">
        <f>SUM(V125:AD125)</f>
        <v>0</v>
      </c>
    </row>
    <row r="126" spans="2:31">
      <c r="B126" s="22" t="s">
        <v>34</v>
      </c>
      <c r="C126" s="11">
        <v>0</v>
      </c>
      <c r="D126" s="11">
        <v>0</v>
      </c>
      <c r="E126" s="11">
        <v>0</v>
      </c>
      <c r="F126" s="11">
        <v>0</v>
      </c>
      <c r="G126" s="11">
        <v>0</v>
      </c>
      <c r="H126" s="11"/>
      <c r="I126" s="11"/>
      <c r="J126" s="11"/>
      <c r="K126" s="11"/>
      <c r="L126" s="11"/>
      <c r="M126" s="11"/>
      <c r="N126" s="11"/>
      <c r="O126" s="11">
        <v>0</v>
      </c>
      <c r="P126" s="11">
        <v>0</v>
      </c>
      <c r="Q126" s="11">
        <v>0</v>
      </c>
      <c r="R126" s="11">
        <v>0</v>
      </c>
      <c r="S126" s="11">
        <f t="shared" ref="S126:S133" si="17">SUM(C126:R126)</f>
        <v>0</v>
      </c>
      <c r="U126" s="22" t="s">
        <v>34</v>
      </c>
      <c r="V126" s="11">
        <v>0</v>
      </c>
      <c r="W126" s="11">
        <v>0</v>
      </c>
      <c r="X126" s="11">
        <v>0</v>
      </c>
      <c r="Y126" s="11">
        <v>0</v>
      </c>
      <c r="Z126" s="11">
        <v>0</v>
      </c>
      <c r="AA126" s="11">
        <v>0</v>
      </c>
      <c r="AB126" s="11">
        <v>0</v>
      </c>
      <c r="AC126" s="11">
        <v>0</v>
      </c>
      <c r="AD126" s="11">
        <v>0</v>
      </c>
      <c r="AE126" s="11">
        <f t="shared" ref="AE126:AE133" si="18">SUM(V126:AD126)</f>
        <v>0</v>
      </c>
    </row>
    <row r="127" spans="2:31">
      <c r="B127" s="22" t="s">
        <v>35</v>
      </c>
      <c r="C127" s="11">
        <f>(P127-Q127)*$X$48*('Prod Energie'!E32)</f>
        <v>0</v>
      </c>
      <c r="D127" s="11">
        <v>0</v>
      </c>
      <c r="E127" s="11">
        <f>(P127-Q127)*$X$48*('Prod Energie'!E33)</f>
        <v>0</v>
      </c>
      <c r="F127" s="11">
        <v>0</v>
      </c>
      <c r="G127" s="11">
        <f>(P127-Q127)*$X$48*('Prod Energie'!E40+'Prod Energie'!D39)</f>
        <v>1157.7990629981343</v>
      </c>
      <c r="H127" s="11"/>
      <c r="I127" s="11"/>
      <c r="J127" s="11"/>
      <c r="K127" s="11"/>
      <c r="L127" s="11"/>
      <c r="M127" s="11"/>
      <c r="N127" s="11"/>
      <c r="O127" s="11">
        <f>(P127-Q127)*$X$48*('Prod Energie'!E38)</f>
        <v>2379.9202961628316</v>
      </c>
      <c r="P127" s="11">
        <f>P132/(1+$P$48+$Q$48)</f>
        <v>-3299.9414398619733</v>
      </c>
      <c r="Q127" s="11">
        <f>Q132/(1+$D$48)</f>
        <v>-534.71524533744901</v>
      </c>
      <c r="R127" s="11">
        <v>0</v>
      </c>
      <c r="S127" s="11">
        <f t="shared" si="17"/>
        <v>-296.9373260384566</v>
      </c>
      <c r="U127" s="22" t="s">
        <v>35</v>
      </c>
      <c r="V127" s="11">
        <f>(AB127-AC127)*$X$48*('Prod Energie'!E53)</f>
        <v>0</v>
      </c>
      <c r="W127" s="11">
        <v>0</v>
      </c>
      <c r="X127" s="11">
        <f>(AB127-AC127)*$X$48*('Prod Energie'!E54)</f>
        <v>0</v>
      </c>
      <c r="Y127" s="11">
        <v>0</v>
      </c>
      <c r="Z127" s="11">
        <f>(AB127-AC127)*$X$48*('Prod Energie'!E61+'Prod Energie'!D60)</f>
        <v>1088.6024237444981</v>
      </c>
      <c r="AA127" s="11">
        <f>(AB127-AC127)*$X$48*('Prod Energie'!E59)</f>
        <v>1833.4356610433654</v>
      </c>
      <c r="AB127" s="11">
        <f>AB132/(1+$P$48+$Q$48)</f>
        <v>-2997.835806434437</v>
      </c>
      <c r="AC127" s="11">
        <f>AC132/(1+$D$48)</f>
        <v>-534.71524533744901</v>
      </c>
      <c r="AD127" s="11">
        <v>0</v>
      </c>
      <c r="AE127" s="11">
        <f t="shared" si="18"/>
        <v>-610.5129669840228</v>
      </c>
    </row>
    <row r="128" spans="2:31">
      <c r="B128" s="22" t="s">
        <v>36</v>
      </c>
      <c r="C128" s="11">
        <v>0</v>
      </c>
      <c r="D128" s="11">
        <v>0</v>
      </c>
      <c r="E128" s="11">
        <v>0</v>
      </c>
      <c r="F128" s="11">
        <v>0</v>
      </c>
      <c r="G128" s="11">
        <v>0</v>
      </c>
      <c r="H128" s="11"/>
      <c r="I128" s="11"/>
      <c r="J128" s="11"/>
      <c r="K128" s="11"/>
      <c r="L128" s="11"/>
      <c r="M128" s="11"/>
      <c r="N128" s="11"/>
      <c r="O128" s="11">
        <v>0</v>
      </c>
      <c r="P128" s="11">
        <v>0</v>
      </c>
      <c r="Q128" s="11">
        <v>0</v>
      </c>
      <c r="R128" s="11">
        <v>0</v>
      </c>
      <c r="S128" s="11">
        <f t="shared" si="17"/>
        <v>0</v>
      </c>
      <c r="U128" s="22" t="s">
        <v>36</v>
      </c>
      <c r="V128" s="11">
        <v>0</v>
      </c>
      <c r="W128" s="11">
        <v>0</v>
      </c>
      <c r="X128" s="11">
        <v>0</v>
      </c>
      <c r="Y128" s="11">
        <v>0</v>
      </c>
      <c r="Z128" s="11">
        <v>0</v>
      </c>
      <c r="AA128" s="11">
        <v>0</v>
      </c>
      <c r="AB128" s="11">
        <v>0</v>
      </c>
      <c r="AC128" s="11">
        <v>0</v>
      </c>
      <c r="AD128" s="11">
        <v>0</v>
      </c>
      <c r="AE128" s="11">
        <f t="shared" si="18"/>
        <v>0</v>
      </c>
    </row>
    <row r="129" spans="2:32">
      <c r="B129" s="22" t="s">
        <v>37</v>
      </c>
      <c r="C129" s="11">
        <v>0</v>
      </c>
      <c r="D129" s="11">
        <v>0</v>
      </c>
      <c r="E129" s="11">
        <v>0</v>
      </c>
      <c r="F129" s="11">
        <v>0</v>
      </c>
      <c r="G129" s="11">
        <v>0</v>
      </c>
      <c r="H129" s="11"/>
      <c r="I129" s="11"/>
      <c r="J129" s="11"/>
      <c r="K129" s="11"/>
      <c r="L129" s="11"/>
      <c r="M129" s="11"/>
      <c r="N129" s="11"/>
      <c r="O129" s="11">
        <v>0</v>
      </c>
      <c r="P129" s="11">
        <v>0</v>
      </c>
      <c r="Q129" s="11">
        <v>0</v>
      </c>
      <c r="R129" s="11">
        <v>0</v>
      </c>
      <c r="S129" s="11">
        <f t="shared" si="17"/>
        <v>0</v>
      </c>
      <c r="U129" s="22" t="s">
        <v>37</v>
      </c>
      <c r="V129" s="11">
        <v>0</v>
      </c>
      <c r="W129" s="11">
        <v>0</v>
      </c>
      <c r="X129" s="11">
        <v>0</v>
      </c>
      <c r="Y129" s="11">
        <v>0</v>
      </c>
      <c r="Z129" s="11">
        <v>0</v>
      </c>
      <c r="AA129" s="11">
        <v>0</v>
      </c>
      <c r="AB129" s="11">
        <v>0</v>
      </c>
      <c r="AC129" s="11">
        <v>0</v>
      </c>
      <c r="AD129" s="11">
        <v>0</v>
      </c>
      <c r="AE129" s="11">
        <f t="shared" si="18"/>
        <v>0</v>
      </c>
    </row>
    <row r="130" spans="2:32">
      <c r="B130" s="22" t="s">
        <v>38</v>
      </c>
      <c r="C130" s="11">
        <v>0</v>
      </c>
      <c r="D130" s="11">
        <v>0</v>
      </c>
      <c r="E130" s="11">
        <v>0</v>
      </c>
      <c r="F130" s="11">
        <v>0</v>
      </c>
      <c r="G130" s="11">
        <v>0</v>
      </c>
      <c r="H130" s="11"/>
      <c r="I130" s="11"/>
      <c r="J130" s="11"/>
      <c r="K130" s="11"/>
      <c r="L130" s="11"/>
      <c r="M130" s="11"/>
      <c r="N130" s="11"/>
      <c r="O130" s="11">
        <v>0</v>
      </c>
      <c r="P130" s="11">
        <f>P127*$P$48</f>
        <v>39.405579064473997</v>
      </c>
      <c r="Q130" s="11">
        <v>0</v>
      </c>
      <c r="R130" s="11">
        <v>0</v>
      </c>
      <c r="S130" s="11">
        <f t="shared" si="17"/>
        <v>39.405579064473997</v>
      </c>
      <c r="U130" s="22" t="s">
        <v>38</v>
      </c>
      <c r="V130" s="11">
        <v>0</v>
      </c>
      <c r="W130" s="11">
        <v>0</v>
      </c>
      <c r="X130" s="11">
        <v>0</v>
      </c>
      <c r="Y130" s="11">
        <v>0</v>
      </c>
      <c r="Z130" s="11">
        <v>0</v>
      </c>
      <c r="AA130" s="11">
        <v>0</v>
      </c>
      <c r="AB130" s="11">
        <f>AB127*$P$48</f>
        <v>35.798046130692683</v>
      </c>
      <c r="AC130" s="11">
        <v>0</v>
      </c>
      <c r="AD130" s="11">
        <v>0</v>
      </c>
      <c r="AE130" s="11">
        <f t="shared" si="18"/>
        <v>35.798046130692683</v>
      </c>
    </row>
    <row r="131" spans="2:32">
      <c r="B131" s="22" t="s">
        <v>39</v>
      </c>
      <c r="C131" s="11">
        <v>0</v>
      </c>
      <c r="D131" s="11">
        <v>0</v>
      </c>
      <c r="E131" s="11">
        <v>0</v>
      </c>
      <c r="F131" s="11">
        <v>0</v>
      </c>
      <c r="G131" s="11">
        <v>0</v>
      </c>
      <c r="H131" s="11"/>
      <c r="I131" s="11"/>
      <c r="J131" s="11"/>
      <c r="K131" s="11"/>
      <c r="L131" s="11"/>
      <c r="M131" s="11"/>
      <c r="N131" s="11"/>
      <c r="O131" s="11">
        <v>0</v>
      </c>
      <c r="P131" s="11">
        <f>P127*$Q$48</f>
        <v>211.04344296890085</v>
      </c>
      <c r="Q131" s="11">
        <f>Q127*$D$48</f>
        <v>45.219048231496743</v>
      </c>
      <c r="R131" s="11">
        <v>0</v>
      </c>
      <c r="S131" s="11">
        <f t="shared" si="17"/>
        <v>256.26249120039756</v>
      </c>
      <c r="U131" s="22" t="s">
        <v>39</v>
      </c>
      <c r="V131" s="11">
        <v>0</v>
      </c>
      <c r="W131" s="11">
        <v>0</v>
      </c>
      <c r="X131" s="11">
        <v>0</v>
      </c>
      <c r="Y131" s="11">
        <v>0</v>
      </c>
      <c r="Z131" s="11">
        <v>0</v>
      </c>
      <c r="AA131" s="11">
        <v>0</v>
      </c>
      <c r="AB131" s="11">
        <f>AB127*$Q$48</f>
        <v>191.72267192469872</v>
      </c>
      <c r="AC131" s="11">
        <f>AC127*$D$48</f>
        <v>45.219048231496743</v>
      </c>
      <c r="AD131" s="11">
        <v>0</v>
      </c>
      <c r="AE131" s="11">
        <f t="shared" si="18"/>
        <v>236.94172015619546</v>
      </c>
    </row>
    <row r="132" spans="2:32">
      <c r="B132" s="24" t="s">
        <v>40</v>
      </c>
      <c r="C132" s="15">
        <f t="shared" ref="C132:O132" si="19">SUM(C126:C131)</f>
        <v>0</v>
      </c>
      <c r="D132" s="15">
        <f t="shared" si="19"/>
        <v>0</v>
      </c>
      <c r="E132" s="15">
        <f t="shared" si="19"/>
        <v>0</v>
      </c>
      <c r="F132" s="15">
        <f t="shared" si="19"/>
        <v>0</v>
      </c>
      <c r="G132" s="15">
        <f t="shared" si="19"/>
        <v>1157.7990629981343</v>
      </c>
      <c r="H132" s="15"/>
      <c r="I132" s="15"/>
      <c r="J132" s="15"/>
      <c r="K132" s="15"/>
      <c r="L132" s="15"/>
      <c r="M132" s="15"/>
      <c r="N132" s="15"/>
      <c r="O132" s="15">
        <f t="shared" si="19"/>
        <v>2379.9202961628316</v>
      </c>
      <c r="P132" s="15">
        <f>-P140</f>
        <v>-3049.4924178285987</v>
      </c>
      <c r="Q132" s="15">
        <f>-Q140</f>
        <v>-489.49619710595232</v>
      </c>
      <c r="R132" s="15">
        <v>0</v>
      </c>
      <c r="S132" s="15">
        <f t="shared" si="17"/>
        <v>-1.2692557735853143</v>
      </c>
      <c r="U132" s="24" t="s">
        <v>40</v>
      </c>
      <c r="V132" s="15">
        <f t="shared" ref="V132:AA132" si="20">SUM(V126:V131)</f>
        <v>0</v>
      </c>
      <c r="W132" s="15">
        <f t="shared" si="20"/>
        <v>0</v>
      </c>
      <c r="X132" s="15">
        <f t="shared" si="20"/>
        <v>0</v>
      </c>
      <c r="Y132" s="15">
        <f t="shared" si="20"/>
        <v>0</v>
      </c>
      <c r="Z132" s="15">
        <f t="shared" si="20"/>
        <v>1088.6024237444981</v>
      </c>
      <c r="AA132" s="15">
        <f t="shared" si="20"/>
        <v>1833.4356610433654</v>
      </c>
      <c r="AB132" s="15">
        <f>-AB140</f>
        <v>-2770.3150883790458</v>
      </c>
      <c r="AC132" s="15">
        <f>-AC140</f>
        <v>-489.49619710595232</v>
      </c>
      <c r="AD132" s="15">
        <v>0</v>
      </c>
      <c r="AE132" s="15">
        <f t="shared" si="18"/>
        <v>-337.77320069713494</v>
      </c>
    </row>
    <row r="133" spans="2:32">
      <c r="B133" s="22" t="s">
        <v>41</v>
      </c>
      <c r="C133" s="11">
        <v>0</v>
      </c>
      <c r="D133" s="11">
        <v>0</v>
      </c>
      <c r="E133" s="11">
        <f>Industrie!E35</f>
        <v>312.9465514066473</v>
      </c>
      <c r="F133" s="11">
        <v>0</v>
      </c>
      <c r="G133" s="11">
        <v>0</v>
      </c>
      <c r="H133" s="11"/>
      <c r="I133" s="11"/>
      <c r="J133" s="11"/>
      <c r="K133" s="11"/>
      <c r="L133" s="11"/>
      <c r="M133" s="11"/>
      <c r="N133" s="11"/>
      <c r="O133" s="11">
        <f>Industrie!E38</f>
        <v>31.435535593960243</v>
      </c>
      <c r="P133" s="11">
        <f>Industrie!E36</f>
        <v>333.52089215656525</v>
      </c>
      <c r="Q133" s="11">
        <f>Industrie!E39</f>
        <v>489.49619710595232</v>
      </c>
      <c r="R133" s="11">
        <v>0</v>
      </c>
      <c r="S133" s="11">
        <f t="shared" si="17"/>
        <v>1167.3991762631251</v>
      </c>
      <c r="U133" s="22" t="s">
        <v>41</v>
      </c>
      <c r="V133" s="11">
        <v>0</v>
      </c>
      <c r="W133" s="11">
        <v>0</v>
      </c>
      <c r="X133" s="11">
        <f>Industrie!E56</f>
        <v>193.05922262696924</v>
      </c>
      <c r="Y133" s="11">
        <v>0</v>
      </c>
      <c r="Z133" s="11">
        <v>0</v>
      </c>
      <c r="AA133" s="11">
        <f>Industrie!E62</f>
        <v>79.70034125070255</v>
      </c>
      <c r="AB133" s="11">
        <f>Industrie!E57</f>
        <v>369.91720188690329</v>
      </c>
      <c r="AC133" s="11">
        <f>Industrie!E63</f>
        <v>489.49619710595232</v>
      </c>
      <c r="AD133" s="11">
        <v>0</v>
      </c>
      <c r="AE133" s="11">
        <f t="shared" si="18"/>
        <v>1132.1729628705275</v>
      </c>
    </row>
    <row r="134" spans="2:32">
      <c r="B134" s="22" t="s">
        <v>42</v>
      </c>
      <c r="C134" s="11">
        <v>0</v>
      </c>
      <c r="D134" s="11">
        <v>0</v>
      </c>
      <c r="E134" s="11">
        <f>Transports!G44</f>
        <v>4528.0485040263038</v>
      </c>
      <c r="F134" s="11">
        <v>0</v>
      </c>
      <c r="G134" s="11">
        <v>0</v>
      </c>
      <c r="H134" s="11"/>
      <c r="I134" s="11"/>
      <c r="J134" s="11"/>
      <c r="K134" s="11"/>
      <c r="L134" s="11"/>
      <c r="M134" s="11"/>
      <c r="N134" s="11"/>
      <c r="O134" s="11">
        <v>0</v>
      </c>
      <c r="P134" s="11">
        <f>Transports!G45</f>
        <v>171.0113652314941</v>
      </c>
      <c r="Q134" s="11">
        <v>0</v>
      </c>
      <c r="R134" s="11">
        <v>0</v>
      </c>
      <c r="S134" s="11">
        <f>Transports!G46</f>
        <v>4699.0598692577978</v>
      </c>
      <c r="U134" s="22" t="s">
        <v>42</v>
      </c>
      <c r="V134" s="11">
        <v>0</v>
      </c>
      <c r="W134" s="11">
        <v>0</v>
      </c>
      <c r="X134" s="11">
        <f>Transports!G71</f>
        <v>4100.6768513960842</v>
      </c>
      <c r="Y134" s="11">
        <v>0</v>
      </c>
      <c r="Z134" s="11">
        <v>0</v>
      </c>
      <c r="AA134" s="11">
        <v>0</v>
      </c>
      <c r="AB134" s="11">
        <f>Transports!G72</f>
        <v>295.83649734116176</v>
      </c>
      <c r="AC134" s="11">
        <v>0</v>
      </c>
      <c r="AD134" s="11">
        <v>0</v>
      </c>
      <c r="AE134" s="11">
        <f>Transports!G73</f>
        <v>4396.5133487372459</v>
      </c>
    </row>
    <row r="135" spans="2:32">
      <c r="B135" s="22" t="s">
        <v>43</v>
      </c>
      <c r="C135" s="11">
        <v>0</v>
      </c>
      <c r="D135" s="11">
        <v>0</v>
      </c>
      <c r="E135" s="11">
        <f>'Résidentiel-tertiaire'!E163</f>
        <v>99.224468258600027</v>
      </c>
      <c r="F135" s="11">
        <v>0</v>
      </c>
      <c r="G135" s="11">
        <v>0</v>
      </c>
      <c r="H135" s="11"/>
      <c r="I135" s="11"/>
      <c r="J135" s="11"/>
      <c r="K135" s="11"/>
      <c r="L135" s="11"/>
      <c r="M135" s="11"/>
      <c r="N135" s="11"/>
      <c r="O135" s="11">
        <f>'Résidentiel-tertiaire'!E164</f>
        <v>682.70748269232399</v>
      </c>
      <c r="P135" s="11">
        <f>'Résidentiel-tertiaire'!E165</f>
        <v>1326.5879995443263</v>
      </c>
      <c r="Q135" s="11">
        <v>0</v>
      </c>
      <c r="R135" s="11">
        <v>0</v>
      </c>
      <c r="S135" s="11">
        <f>SUM(C135:R135)</f>
        <v>2108.5199504952502</v>
      </c>
      <c r="U135" s="22" t="s">
        <v>43</v>
      </c>
      <c r="V135" s="11">
        <v>0</v>
      </c>
      <c r="W135" s="11">
        <v>0</v>
      </c>
      <c r="X135" s="11">
        <f>'Résidentiel-tertiaire'!E177</f>
        <v>87.333333333333343</v>
      </c>
      <c r="Y135" s="11">
        <v>0</v>
      </c>
      <c r="Z135" s="11">
        <v>0</v>
      </c>
      <c r="AA135" s="11">
        <f>'Résidentiel-tertiaire'!E178</f>
        <v>569.93655716343562</v>
      </c>
      <c r="AB135" s="11">
        <f>'Résidentiel-tertiaire'!E179</f>
        <v>1022.3516384251155</v>
      </c>
      <c r="AC135" s="11">
        <v>0</v>
      </c>
      <c r="AD135" s="11">
        <v>0</v>
      </c>
      <c r="AE135" s="11">
        <f>SUM(V135:AD135)</f>
        <v>1679.6215289218844</v>
      </c>
    </row>
    <row r="136" spans="2:32">
      <c r="B136" s="22" t="s">
        <v>44</v>
      </c>
      <c r="C136" s="11">
        <v>0</v>
      </c>
      <c r="D136" s="11">
        <v>0</v>
      </c>
      <c r="E136" s="11">
        <f>'Résidentiel-tertiaire'!E168</f>
        <v>336.10138731933773</v>
      </c>
      <c r="F136" s="11">
        <v>0</v>
      </c>
      <c r="G136" s="11">
        <v>0</v>
      </c>
      <c r="H136" s="11"/>
      <c r="I136" s="11"/>
      <c r="J136" s="11"/>
      <c r="K136" s="11"/>
      <c r="L136" s="11"/>
      <c r="M136" s="11"/>
      <c r="N136" s="11"/>
      <c r="O136" s="11">
        <f>'Résidentiel-tertiaire'!E169</f>
        <v>1.0093134754334467</v>
      </c>
      <c r="P136" s="11">
        <f>'Résidentiel-tertiaire'!E170</f>
        <v>1198.0550953395011</v>
      </c>
      <c r="Q136" s="11">
        <v>0</v>
      </c>
      <c r="R136" s="11">
        <v>0</v>
      </c>
      <c r="S136" s="11">
        <f>SUM(C136:R136)</f>
        <v>1535.1657961342723</v>
      </c>
      <c r="U136" s="22" t="s">
        <v>44</v>
      </c>
      <c r="V136" s="11">
        <v>0</v>
      </c>
      <c r="W136" s="11">
        <v>0</v>
      </c>
      <c r="X136" s="11">
        <f>'Résidentiel-tertiaire'!E182</f>
        <v>186.66666666666669</v>
      </c>
      <c r="Y136" s="11">
        <v>0</v>
      </c>
      <c r="Z136" s="11">
        <v>0</v>
      </c>
      <c r="AA136" s="11">
        <f>'Résidentiel-tertiaire'!E183</f>
        <v>0.88459385162582682</v>
      </c>
      <c r="AB136" s="11">
        <f>'Résidentiel-tertiaire'!E184</f>
        <v>1068.5720087903815</v>
      </c>
      <c r="AC136" s="11">
        <v>0</v>
      </c>
      <c r="AD136" s="11">
        <v>0</v>
      </c>
      <c r="AE136" s="11">
        <f>SUM(V136:AD136)</f>
        <v>1256.123269308674</v>
      </c>
    </row>
    <row r="137" spans="2:32">
      <c r="B137" s="22" t="s">
        <v>4</v>
      </c>
      <c r="C137" s="11">
        <v>0</v>
      </c>
      <c r="D137" s="11">
        <v>0</v>
      </c>
      <c r="E137" s="11">
        <f>Agriculture!M27</f>
        <v>103.61703433922996</v>
      </c>
      <c r="F137" s="11">
        <v>0</v>
      </c>
      <c r="G137" s="11">
        <v>0</v>
      </c>
      <c r="H137" s="11"/>
      <c r="I137" s="11"/>
      <c r="J137" s="11"/>
      <c r="K137" s="11"/>
      <c r="L137" s="11"/>
      <c r="M137" s="11"/>
      <c r="N137" s="11"/>
      <c r="O137" s="11">
        <v>0</v>
      </c>
      <c r="P137" s="11">
        <f>Agriculture!M28</f>
        <v>20.317065556711757</v>
      </c>
      <c r="Q137" s="11">
        <v>0</v>
      </c>
      <c r="R137" s="11">
        <v>0</v>
      </c>
      <c r="S137" s="11">
        <f>SUM(C137:R137)</f>
        <v>123.93409989594171</v>
      </c>
      <c r="U137" s="22" t="s">
        <v>4</v>
      </c>
      <c r="V137" s="11">
        <v>0</v>
      </c>
      <c r="W137" s="11">
        <v>0</v>
      </c>
      <c r="X137" s="11">
        <f>Agriculture!Q43</f>
        <v>65.806451612903231</v>
      </c>
      <c r="Y137" s="11">
        <v>0</v>
      </c>
      <c r="Z137" s="11">
        <v>0</v>
      </c>
      <c r="AA137" s="11">
        <f>Agriculture!Q45</f>
        <v>33.714290322580638</v>
      </c>
      <c r="AB137" s="11">
        <f>Agriculture!Q44</f>
        <v>13.63774193548387</v>
      </c>
      <c r="AC137" s="11">
        <v>0</v>
      </c>
      <c r="AD137" s="11">
        <v>0</v>
      </c>
      <c r="AE137" s="11">
        <f>SUM(V137:AD137)</f>
        <v>113.15848387096774</v>
      </c>
    </row>
    <row r="138" spans="2:32">
      <c r="B138" s="26" t="s">
        <v>45</v>
      </c>
      <c r="C138" s="19">
        <v>0</v>
      </c>
      <c r="D138" s="19">
        <v>0</v>
      </c>
      <c r="E138" s="19">
        <f t="shared" ref="E138:S138" si="21">SUM(E133:E137)</f>
        <v>5379.9379453501178</v>
      </c>
      <c r="F138" s="19">
        <f t="shared" si="21"/>
        <v>0</v>
      </c>
      <c r="G138" s="19">
        <f t="shared" si="21"/>
        <v>0</v>
      </c>
      <c r="H138" s="19"/>
      <c r="I138" s="19"/>
      <c r="J138" s="19"/>
      <c r="K138" s="19"/>
      <c r="L138" s="19"/>
      <c r="M138" s="19"/>
      <c r="N138" s="19"/>
      <c r="O138" s="19">
        <f t="shared" si="21"/>
        <v>715.15233176171773</v>
      </c>
      <c r="P138" s="19">
        <f t="shared" si="21"/>
        <v>3049.4924178285987</v>
      </c>
      <c r="Q138" s="19">
        <f t="shared" si="21"/>
        <v>489.49619710595232</v>
      </c>
      <c r="R138" s="19">
        <f t="shared" si="21"/>
        <v>0</v>
      </c>
      <c r="S138" s="19">
        <f t="shared" si="21"/>
        <v>9634.0788920463856</v>
      </c>
      <c r="U138" s="26" t="s">
        <v>45</v>
      </c>
      <c r="V138" s="19">
        <v>0</v>
      </c>
      <c r="W138" s="19">
        <v>0</v>
      </c>
      <c r="X138" s="19">
        <f t="shared" ref="X138:AE138" si="22">SUM(X133:X137)</f>
        <v>4633.5425256359567</v>
      </c>
      <c r="Y138" s="19">
        <f t="shared" si="22"/>
        <v>0</v>
      </c>
      <c r="Z138" s="19">
        <f t="shared" si="22"/>
        <v>0</v>
      </c>
      <c r="AA138" s="19">
        <f t="shared" si="22"/>
        <v>684.23578258834459</v>
      </c>
      <c r="AB138" s="19">
        <f t="shared" si="22"/>
        <v>2770.3150883790458</v>
      </c>
      <c r="AC138" s="19">
        <f t="shared" si="22"/>
        <v>489.49619710595232</v>
      </c>
      <c r="AD138" s="19">
        <f t="shared" si="22"/>
        <v>0</v>
      </c>
      <c r="AE138" s="19">
        <f t="shared" si="22"/>
        <v>8577.5895937092992</v>
      </c>
    </row>
    <row r="139" spans="2:32">
      <c r="B139" s="26" t="s">
        <v>46</v>
      </c>
      <c r="C139" s="19">
        <v>0</v>
      </c>
      <c r="D139" s="19">
        <v>0</v>
      </c>
      <c r="E139" s="19">
        <f>Industrie!E37</f>
        <v>300.88298354219091</v>
      </c>
      <c r="F139" s="19">
        <v>0</v>
      </c>
      <c r="G139" s="19">
        <v>0</v>
      </c>
      <c r="H139" s="19"/>
      <c r="I139" s="19"/>
      <c r="J139" s="19"/>
      <c r="K139" s="19"/>
      <c r="L139" s="19"/>
      <c r="M139" s="19"/>
      <c r="N139" s="19"/>
      <c r="O139" s="19">
        <v>0</v>
      </c>
      <c r="P139" s="19">
        <v>0</v>
      </c>
      <c r="Q139" s="19">
        <v>0</v>
      </c>
      <c r="R139" s="19">
        <v>0</v>
      </c>
      <c r="S139" s="19">
        <f>SUM(C139:R139)</f>
        <v>300.88298354219091</v>
      </c>
      <c r="U139" s="26" t="s">
        <v>46</v>
      </c>
      <c r="V139" s="19">
        <v>0</v>
      </c>
      <c r="W139" s="19">
        <v>0</v>
      </c>
      <c r="X139" s="19">
        <f>Industrie!E59</f>
        <v>300.88298354219091</v>
      </c>
      <c r="Y139" s="19">
        <v>0</v>
      </c>
      <c r="Z139" s="19">
        <v>0</v>
      </c>
      <c r="AA139" s="19">
        <f>Industrie!E61</f>
        <v>50.147163923698486</v>
      </c>
      <c r="AB139" s="19">
        <v>0</v>
      </c>
      <c r="AC139" s="19">
        <v>0</v>
      </c>
      <c r="AD139" s="19">
        <v>0</v>
      </c>
      <c r="AE139" s="19">
        <f>SUM(V139:AD139)</f>
        <v>351.0301474658894</v>
      </c>
    </row>
    <row r="140" spans="2:32">
      <c r="B140" s="24" t="s">
        <v>47</v>
      </c>
      <c r="C140" s="15">
        <v>0</v>
      </c>
      <c r="D140" s="15">
        <v>0</v>
      </c>
      <c r="E140" s="15">
        <f t="shared" ref="E140:S140" si="23">SUM(E138:E139)</f>
        <v>5680.820928892309</v>
      </c>
      <c r="F140" s="15">
        <f t="shared" si="23"/>
        <v>0</v>
      </c>
      <c r="G140" s="15">
        <f t="shared" si="23"/>
        <v>0</v>
      </c>
      <c r="H140" s="15"/>
      <c r="I140" s="15"/>
      <c r="J140" s="15"/>
      <c r="K140" s="15"/>
      <c r="L140" s="15"/>
      <c r="M140" s="15"/>
      <c r="N140" s="15"/>
      <c r="O140" s="15">
        <f t="shared" si="23"/>
        <v>715.15233176171773</v>
      </c>
      <c r="P140" s="15">
        <f t="shared" si="23"/>
        <v>3049.4924178285987</v>
      </c>
      <c r="Q140" s="15">
        <f t="shared" si="23"/>
        <v>489.49619710595232</v>
      </c>
      <c r="R140" s="15">
        <f t="shared" si="23"/>
        <v>0</v>
      </c>
      <c r="S140" s="15">
        <f t="shared" si="23"/>
        <v>9934.9618755885767</v>
      </c>
      <c r="T140" s="27">
        <f>SUM(C140:R140)</f>
        <v>9934.9618755885786</v>
      </c>
      <c r="U140" s="24" t="s">
        <v>47</v>
      </c>
      <c r="V140" s="15">
        <v>0</v>
      </c>
      <c r="W140" s="15">
        <v>0</v>
      </c>
      <c r="X140" s="15">
        <f t="shared" ref="X140:AE140" si="24">SUM(X138:X139)</f>
        <v>4934.4255091781479</v>
      </c>
      <c r="Y140" s="15">
        <f t="shared" si="24"/>
        <v>0</v>
      </c>
      <c r="Z140" s="15">
        <f t="shared" si="24"/>
        <v>0</v>
      </c>
      <c r="AA140" s="15">
        <f t="shared" si="24"/>
        <v>734.38294651204308</v>
      </c>
      <c r="AB140" s="15">
        <f t="shared" si="24"/>
        <v>2770.3150883790458</v>
      </c>
      <c r="AC140" s="15">
        <f t="shared" si="24"/>
        <v>489.49619710595232</v>
      </c>
      <c r="AD140" s="15">
        <f t="shared" si="24"/>
        <v>0</v>
      </c>
      <c r="AE140" s="15">
        <f t="shared" si="24"/>
        <v>8928.6197411751891</v>
      </c>
      <c r="AF140" s="27">
        <f>SUM(V140:AD140)</f>
        <v>8928.6197411751891</v>
      </c>
    </row>
    <row r="146" spans="2:31">
      <c r="C146" s="4" t="s">
        <v>54</v>
      </c>
      <c r="D146" s="4"/>
      <c r="E146" s="4"/>
      <c r="F146" s="4"/>
      <c r="G146" s="4"/>
      <c r="H146" s="4"/>
      <c r="I146" s="4"/>
      <c r="J146" s="4"/>
      <c r="K146" s="4"/>
      <c r="L146" s="4"/>
      <c r="M146" s="4"/>
      <c r="N146" s="4"/>
      <c r="O146" s="4"/>
      <c r="P146" s="4"/>
      <c r="Q146" s="4"/>
      <c r="R146" s="4"/>
      <c r="S146" s="4"/>
      <c r="T146" s="4"/>
      <c r="U146" s="4"/>
      <c r="V146" s="4" t="s">
        <v>54</v>
      </c>
      <c r="W146" s="4"/>
    </row>
    <row r="147" spans="2:31" ht="43.2">
      <c r="B147" s="20">
        <v>2035</v>
      </c>
      <c r="C147" s="7" t="s">
        <v>14</v>
      </c>
      <c r="D147" s="7" t="s">
        <v>15</v>
      </c>
      <c r="E147" s="7" t="s">
        <v>16</v>
      </c>
      <c r="F147" s="7" t="s">
        <v>17</v>
      </c>
      <c r="G147" s="7" t="s">
        <v>18</v>
      </c>
      <c r="H147" s="244"/>
      <c r="I147" s="244"/>
      <c r="J147" s="244"/>
      <c r="K147" s="244"/>
      <c r="L147" s="244"/>
      <c r="M147" s="244"/>
      <c r="N147" s="244"/>
      <c r="O147" s="7" t="s">
        <v>19</v>
      </c>
      <c r="P147" s="7" t="s">
        <v>20</v>
      </c>
      <c r="Q147" s="7" t="s">
        <v>21</v>
      </c>
      <c r="R147" s="7"/>
      <c r="S147" s="7" t="s">
        <v>23</v>
      </c>
      <c r="U147" s="21">
        <v>2035</v>
      </c>
      <c r="V147" s="7" t="s">
        <v>14</v>
      </c>
      <c r="W147" s="7" t="s">
        <v>15</v>
      </c>
      <c r="X147" s="7" t="s">
        <v>16</v>
      </c>
      <c r="Y147" s="7" t="s">
        <v>17</v>
      </c>
      <c r="Z147" s="7" t="s">
        <v>18</v>
      </c>
      <c r="AA147" s="7" t="s">
        <v>19</v>
      </c>
      <c r="AB147" s="7" t="s">
        <v>20</v>
      </c>
      <c r="AC147" s="7" t="s">
        <v>21</v>
      </c>
      <c r="AD147" s="7"/>
      <c r="AE147" s="7" t="s">
        <v>23</v>
      </c>
    </row>
    <row r="148" spans="2:31">
      <c r="B148" s="22" t="s">
        <v>24</v>
      </c>
      <c r="C148" s="11">
        <v>0</v>
      </c>
      <c r="D148" s="11">
        <v>0</v>
      </c>
      <c r="E148" s="11">
        <v>0</v>
      </c>
      <c r="F148" s="11">
        <v>0</v>
      </c>
      <c r="G148" s="11">
        <v>0</v>
      </c>
      <c r="H148" s="11"/>
      <c r="I148" s="11"/>
      <c r="J148" s="11"/>
      <c r="K148" s="11"/>
      <c r="L148" s="11"/>
      <c r="M148" s="11"/>
      <c r="N148" s="11"/>
      <c r="O148" s="11">
        <v>0</v>
      </c>
      <c r="P148" s="11">
        <v>0</v>
      </c>
      <c r="Q148" s="11">
        <v>0</v>
      </c>
      <c r="R148" s="11">
        <v>0</v>
      </c>
      <c r="S148" s="11">
        <f>SUM(C148:R148)</f>
        <v>0</v>
      </c>
      <c r="U148" s="22" t="s">
        <v>24</v>
      </c>
      <c r="V148" s="11">
        <v>0</v>
      </c>
      <c r="W148" s="11">
        <v>0</v>
      </c>
      <c r="X148" s="11">
        <v>0</v>
      </c>
      <c r="Y148" s="11">
        <v>0</v>
      </c>
      <c r="Z148" s="11">
        <v>0</v>
      </c>
      <c r="AA148" s="11">
        <v>0</v>
      </c>
      <c r="AB148" s="11">
        <v>0</v>
      </c>
      <c r="AC148" s="11">
        <v>0</v>
      </c>
      <c r="AD148" s="11">
        <v>0</v>
      </c>
      <c r="AE148" s="11">
        <f>SUM(V148:AD148)</f>
        <v>0</v>
      </c>
    </row>
    <row r="149" spans="2:31">
      <c r="B149" s="22" t="s">
        <v>25</v>
      </c>
      <c r="C149" s="11">
        <v>0</v>
      </c>
      <c r="D149" s="11">
        <v>0</v>
      </c>
      <c r="E149" s="11">
        <v>0</v>
      </c>
      <c r="F149" s="11">
        <v>0</v>
      </c>
      <c r="G149" s="11">
        <v>0</v>
      </c>
      <c r="H149" s="11"/>
      <c r="I149" s="11"/>
      <c r="J149" s="11"/>
      <c r="K149" s="11"/>
      <c r="L149" s="11"/>
      <c r="M149" s="11"/>
      <c r="N149" s="11"/>
      <c r="O149" s="11">
        <v>0</v>
      </c>
      <c r="P149" s="11">
        <v>0</v>
      </c>
      <c r="Q149" s="11">
        <v>0</v>
      </c>
      <c r="R149" s="11">
        <v>0</v>
      </c>
      <c r="S149" s="11">
        <f t="shared" ref="S149:S157" si="25">SUM(C149:R149)</f>
        <v>0</v>
      </c>
      <c r="U149" s="22" t="s">
        <v>25</v>
      </c>
      <c r="V149" s="11">
        <v>0</v>
      </c>
      <c r="W149" s="11">
        <v>0</v>
      </c>
      <c r="X149" s="11">
        <v>0</v>
      </c>
      <c r="Y149" s="11">
        <v>0</v>
      </c>
      <c r="Z149" s="11">
        <v>0</v>
      </c>
      <c r="AA149" s="11">
        <v>0</v>
      </c>
      <c r="AB149" s="11">
        <v>0</v>
      </c>
      <c r="AC149" s="11">
        <v>0</v>
      </c>
      <c r="AD149" s="11">
        <v>0</v>
      </c>
      <c r="AE149" s="11">
        <f t="shared" ref="AE149:AE157" si="26">SUM(V149:AD149)</f>
        <v>0</v>
      </c>
    </row>
    <row r="150" spans="2:31">
      <c r="B150" s="22" t="s">
        <v>26</v>
      </c>
      <c r="C150" s="11">
        <v>0</v>
      </c>
      <c r="D150" s="11">
        <v>0</v>
      </c>
      <c r="E150" s="11">
        <v>0</v>
      </c>
      <c r="F150" s="11">
        <v>0</v>
      </c>
      <c r="G150" s="11">
        <v>0</v>
      </c>
      <c r="H150" s="11"/>
      <c r="I150" s="11"/>
      <c r="J150" s="11"/>
      <c r="K150" s="11"/>
      <c r="L150" s="11"/>
      <c r="M150" s="11"/>
      <c r="N150" s="11"/>
      <c r="O150" s="11">
        <v>0</v>
      </c>
      <c r="P150" s="11">
        <v>0</v>
      </c>
      <c r="Q150" s="11">
        <v>0</v>
      </c>
      <c r="R150" s="11">
        <v>0</v>
      </c>
      <c r="S150" s="11">
        <f t="shared" si="25"/>
        <v>0</v>
      </c>
      <c r="U150" s="22" t="s">
        <v>26</v>
      </c>
      <c r="V150" s="11">
        <v>0</v>
      </c>
      <c r="W150" s="11">
        <v>0</v>
      </c>
      <c r="X150" s="11">
        <v>0</v>
      </c>
      <c r="Y150" s="11">
        <v>0</v>
      </c>
      <c r="Z150" s="11">
        <v>0</v>
      </c>
      <c r="AA150" s="11">
        <v>0</v>
      </c>
      <c r="AB150" s="11">
        <v>0</v>
      </c>
      <c r="AC150" s="11">
        <v>0</v>
      </c>
      <c r="AD150" s="11">
        <v>0</v>
      </c>
      <c r="AE150" s="11">
        <f t="shared" si="26"/>
        <v>0</v>
      </c>
    </row>
    <row r="151" spans="2:31">
      <c r="B151" s="22" t="s">
        <v>27</v>
      </c>
      <c r="C151" s="11">
        <v>0</v>
      </c>
      <c r="D151" s="11">
        <v>0</v>
      </c>
      <c r="E151" s="11">
        <v>0</v>
      </c>
      <c r="F151" s="11">
        <v>0</v>
      </c>
      <c r="G151" s="11">
        <v>0</v>
      </c>
      <c r="H151" s="11"/>
      <c r="I151" s="11"/>
      <c r="J151" s="11"/>
      <c r="K151" s="11"/>
      <c r="L151" s="11"/>
      <c r="M151" s="11"/>
      <c r="N151" s="11"/>
      <c r="O151" s="11">
        <v>0</v>
      </c>
      <c r="P151" s="11">
        <v>0</v>
      </c>
      <c r="Q151" s="11">
        <v>0</v>
      </c>
      <c r="R151" s="11">
        <v>0</v>
      </c>
      <c r="S151" s="11">
        <f t="shared" si="25"/>
        <v>0</v>
      </c>
      <c r="U151" s="22" t="s">
        <v>27</v>
      </c>
      <c r="V151" s="11">
        <v>0</v>
      </c>
      <c r="W151" s="11">
        <v>0</v>
      </c>
      <c r="X151" s="11">
        <v>0</v>
      </c>
      <c r="Y151" s="11">
        <v>0</v>
      </c>
      <c r="Z151" s="11">
        <v>0</v>
      </c>
      <c r="AA151" s="11">
        <v>0</v>
      </c>
      <c r="AB151" s="11">
        <v>0</v>
      </c>
      <c r="AC151" s="11">
        <v>0</v>
      </c>
      <c r="AD151" s="11">
        <v>0</v>
      </c>
      <c r="AE151" s="11">
        <f t="shared" si="26"/>
        <v>0</v>
      </c>
    </row>
    <row r="152" spans="2:31">
      <c r="B152" s="22" t="s">
        <v>28</v>
      </c>
      <c r="C152" s="11">
        <v>0</v>
      </c>
      <c r="D152" s="11">
        <v>0</v>
      </c>
      <c r="E152" s="11">
        <v>0</v>
      </c>
      <c r="F152" s="11">
        <v>0</v>
      </c>
      <c r="G152" s="11">
        <v>0</v>
      </c>
      <c r="H152" s="11"/>
      <c r="I152" s="11"/>
      <c r="J152" s="11"/>
      <c r="K152" s="11"/>
      <c r="L152" s="11"/>
      <c r="M152" s="11"/>
      <c r="N152" s="11"/>
      <c r="O152" s="11">
        <v>0</v>
      </c>
      <c r="P152" s="11">
        <v>0</v>
      </c>
      <c r="Q152" s="11">
        <v>0</v>
      </c>
      <c r="R152" s="11">
        <v>0</v>
      </c>
      <c r="S152" s="11">
        <f t="shared" si="25"/>
        <v>0</v>
      </c>
      <c r="U152" s="22" t="s">
        <v>28</v>
      </c>
      <c r="V152" s="11">
        <v>0</v>
      </c>
      <c r="W152" s="11">
        <v>0</v>
      </c>
      <c r="X152" s="11">
        <v>0</v>
      </c>
      <c r="Y152" s="11">
        <v>0</v>
      </c>
      <c r="Z152" s="11">
        <v>0</v>
      </c>
      <c r="AA152" s="11">
        <v>0</v>
      </c>
      <c r="AB152" s="11">
        <v>0</v>
      </c>
      <c r="AC152" s="11">
        <v>0</v>
      </c>
      <c r="AD152" s="11">
        <v>0</v>
      </c>
      <c r="AE152" s="11">
        <f t="shared" si="26"/>
        <v>0</v>
      </c>
    </row>
    <row r="153" spans="2:31">
      <c r="B153" s="22" t="s">
        <v>29</v>
      </c>
      <c r="C153" s="11">
        <v>0</v>
      </c>
      <c r="D153" s="11">
        <v>0</v>
      </c>
      <c r="E153" s="11">
        <v>0</v>
      </c>
      <c r="F153" s="11">
        <v>0</v>
      </c>
      <c r="G153" s="11">
        <v>0</v>
      </c>
      <c r="H153" s="11"/>
      <c r="I153" s="11"/>
      <c r="J153" s="11"/>
      <c r="K153" s="11"/>
      <c r="L153" s="11"/>
      <c r="M153" s="11"/>
      <c r="N153" s="11"/>
      <c r="O153" s="11">
        <v>0</v>
      </c>
      <c r="P153" s="11">
        <v>0</v>
      </c>
      <c r="Q153" s="11">
        <v>0</v>
      </c>
      <c r="R153" s="11">
        <v>0</v>
      </c>
      <c r="S153" s="11">
        <f t="shared" si="25"/>
        <v>0</v>
      </c>
      <c r="U153" s="22" t="s">
        <v>29</v>
      </c>
      <c r="V153" s="11">
        <v>0</v>
      </c>
      <c r="W153" s="11">
        <v>0</v>
      </c>
      <c r="X153" s="11">
        <v>0</v>
      </c>
      <c r="Y153" s="11">
        <v>0</v>
      </c>
      <c r="Z153" s="11">
        <v>0</v>
      </c>
      <c r="AA153" s="11">
        <v>0</v>
      </c>
      <c r="AB153" s="11">
        <v>0</v>
      </c>
      <c r="AC153" s="11">
        <v>0</v>
      </c>
      <c r="AD153" s="11">
        <v>0</v>
      </c>
      <c r="AE153" s="11">
        <f t="shared" si="26"/>
        <v>0</v>
      </c>
    </row>
    <row r="154" spans="2:31">
      <c r="B154" s="22" t="s">
        <v>30</v>
      </c>
      <c r="C154" s="11">
        <v>0</v>
      </c>
      <c r="D154" s="11">
        <v>0</v>
      </c>
      <c r="E154" s="11">
        <v>0</v>
      </c>
      <c r="F154" s="11">
        <v>0</v>
      </c>
      <c r="G154" s="11">
        <v>0</v>
      </c>
      <c r="H154" s="11"/>
      <c r="I154" s="11"/>
      <c r="J154" s="11"/>
      <c r="K154" s="11"/>
      <c r="L154" s="11"/>
      <c r="M154" s="11"/>
      <c r="N154" s="11"/>
      <c r="O154" s="11">
        <v>0</v>
      </c>
      <c r="P154" s="11">
        <v>0</v>
      </c>
      <c r="Q154" s="11">
        <v>0</v>
      </c>
      <c r="R154" s="11">
        <v>0</v>
      </c>
      <c r="S154" s="11">
        <f t="shared" si="25"/>
        <v>0</v>
      </c>
      <c r="U154" s="22" t="s">
        <v>30</v>
      </c>
      <c r="V154" s="11">
        <v>0</v>
      </c>
      <c r="W154" s="11">
        <v>0</v>
      </c>
      <c r="X154" s="11">
        <v>0</v>
      </c>
      <c r="Y154" s="11">
        <v>0</v>
      </c>
      <c r="Z154" s="11">
        <v>0</v>
      </c>
      <c r="AA154" s="11">
        <v>0</v>
      </c>
      <c r="AB154" s="11">
        <v>0</v>
      </c>
      <c r="AC154" s="11">
        <v>0</v>
      </c>
      <c r="AD154" s="11">
        <v>0</v>
      </c>
      <c r="AE154" s="11">
        <f t="shared" si="26"/>
        <v>0</v>
      </c>
    </row>
    <row r="155" spans="2:31">
      <c r="B155" s="22" t="s">
        <v>31</v>
      </c>
      <c r="C155" s="11">
        <v>0</v>
      </c>
      <c r="D155" s="11">
        <v>0</v>
      </c>
      <c r="E155" s="11">
        <v>0</v>
      </c>
      <c r="F155" s="11">
        <v>0</v>
      </c>
      <c r="G155" s="11">
        <v>0</v>
      </c>
      <c r="H155" s="11"/>
      <c r="I155" s="11"/>
      <c r="J155" s="11"/>
      <c r="K155" s="11"/>
      <c r="L155" s="11"/>
      <c r="M155" s="11"/>
      <c r="N155" s="11"/>
      <c r="O155" s="11">
        <v>0</v>
      </c>
      <c r="P155" s="11">
        <v>0</v>
      </c>
      <c r="Q155" s="11">
        <v>0</v>
      </c>
      <c r="R155" s="11">
        <v>0</v>
      </c>
      <c r="S155" s="11">
        <f t="shared" si="25"/>
        <v>0</v>
      </c>
      <c r="U155" s="22" t="s">
        <v>31</v>
      </c>
      <c r="V155" s="11">
        <v>0</v>
      </c>
      <c r="W155" s="11">
        <v>0</v>
      </c>
      <c r="X155" s="11">
        <v>0</v>
      </c>
      <c r="Y155" s="11">
        <v>0</v>
      </c>
      <c r="Z155" s="11">
        <v>0</v>
      </c>
      <c r="AA155" s="11">
        <v>0</v>
      </c>
      <c r="AB155" s="11">
        <v>0</v>
      </c>
      <c r="AC155" s="11">
        <v>0</v>
      </c>
      <c r="AD155" s="11">
        <v>0</v>
      </c>
      <c r="AE155" s="11">
        <f t="shared" si="26"/>
        <v>0</v>
      </c>
    </row>
    <row r="156" spans="2:31">
      <c r="B156" s="22" t="s">
        <v>32</v>
      </c>
      <c r="C156" s="11">
        <v>0</v>
      </c>
      <c r="D156" s="11">
        <v>0</v>
      </c>
      <c r="E156" s="23">
        <v>0</v>
      </c>
      <c r="F156" s="11">
        <v>0</v>
      </c>
      <c r="G156" s="11">
        <v>0</v>
      </c>
      <c r="H156" s="11"/>
      <c r="I156" s="11"/>
      <c r="J156" s="11"/>
      <c r="K156" s="11"/>
      <c r="L156" s="11"/>
      <c r="M156" s="11"/>
      <c r="N156" s="11"/>
      <c r="O156" s="11">
        <v>0</v>
      </c>
      <c r="P156" s="11">
        <v>0</v>
      </c>
      <c r="Q156" s="11">
        <v>0</v>
      </c>
      <c r="R156" s="11">
        <v>0</v>
      </c>
      <c r="S156" s="11">
        <f t="shared" si="25"/>
        <v>0</v>
      </c>
      <c r="U156" s="22" t="s">
        <v>32</v>
      </c>
      <c r="V156" s="11">
        <v>0</v>
      </c>
      <c r="W156" s="11">
        <v>0</v>
      </c>
      <c r="X156" s="23">
        <v>0</v>
      </c>
      <c r="Y156" s="11">
        <v>0</v>
      </c>
      <c r="Z156" s="11">
        <v>0</v>
      </c>
      <c r="AA156" s="11">
        <v>0</v>
      </c>
      <c r="AB156" s="11">
        <v>0</v>
      </c>
      <c r="AC156" s="11">
        <v>0</v>
      </c>
      <c r="AD156" s="11">
        <v>0</v>
      </c>
      <c r="AE156" s="11">
        <f t="shared" si="26"/>
        <v>0</v>
      </c>
    </row>
    <row r="157" spans="2:31">
      <c r="B157" s="24" t="s">
        <v>33</v>
      </c>
      <c r="C157" s="15">
        <f>C148+C152+C153+C154+C155+C156</f>
        <v>0</v>
      </c>
      <c r="D157" s="15">
        <f t="shared" ref="D157:R157" si="27">D148+D152+D153+D154+D155+D156</f>
        <v>0</v>
      </c>
      <c r="E157" s="15">
        <f t="shared" si="27"/>
        <v>0</v>
      </c>
      <c r="F157" s="15">
        <f t="shared" si="27"/>
        <v>0</v>
      </c>
      <c r="G157" s="15">
        <f t="shared" si="27"/>
        <v>0</v>
      </c>
      <c r="H157" s="15">
        <f t="shared" si="27"/>
        <v>0</v>
      </c>
      <c r="I157" s="15">
        <f t="shared" si="27"/>
        <v>0</v>
      </c>
      <c r="J157" s="15">
        <f t="shared" si="27"/>
        <v>0</v>
      </c>
      <c r="K157" s="15">
        <f t="shared" si="27"/>
        <v>0</v>
      </c>
      <c r="L157" s="15">
        <f t="shared" si="27"/>
        <v>0</v>
      </c>
      <c r="M157" s="15">
        <f t="shared" si="27"/>
        <v>0</v>
      </c>
      <c r="N157" s="15">
        <f t="shared" si="27"/>
        <v>0</v>
      </c>
      <c r="O157" s="15">
        <f t="shared" si="27"/>
        <v>0</v>
      </c>
      <c r="P157" s="15">
        <f t="shared" si="27"/>
        <v>0</v>
      </c>
      <c r="Q157" s="15">
        <f t="shared" si="27"/>
        <v>0</v>
      </c>
      <c r="R157" s="15">
        <f t="shared" si="27"/>
        <v>0</v>
      </c>
      <c r="S157" s="15">
        <f t="shared" si="25"/>
        <v>0</v>
      </c>
      <c r="U157" s="24" t="s">
        <v>33</v>
      </c>
      <c r="V157" s="15">
        <f>V148+V152+V153+V154+V155+V156</f>
        <v>0</v>
      </c>
      <c r="W157" s="15">
        <f t="shared" ref="W157:AD157" si="28">W148+W152+W153+W154+W155+W156</f>
        <v>0</v>
      </c>
      <c r="X157" s="15">
        <f t="shared" si="28"/>
        <v>0</v>
      </c>
      <c r="Y157" s="15">
        <f t="shared" si="28"/>
        <v>0</v>
      </c>
      <c r="Z157" s="15">
        <f t="shared" si="28"/>
        <v>0</v>
      </c>
      <c r="AA157" s="15">
        <f t="shared" si="28"/>
        <v>0</v>
      </c>
      <c r="AB157" s="15">
        <f t="shared" si="28"/>
        <v>0</v>
      </c>
      <c r="AC157" s="15">
        <f t="shared" si="28"/>
        <v>0</v>
      </c>
      <c r="AD157" s="15">
        <f t="shared" si="28"/>
        <v>0</v>
      </c>
      <c r="AE157" s="15">
        <f t="shared" si="26"/>
        <v>0</v>
      </c>
    </row>
    <row r="158" spans="2:31">
      <c r="B158" s="22" t="s">
        <v>34</v>
      </c>
      <c r="C158" s="11">
        <v>0</v>
      </c>
      <c r="D158" s="11">
        <v>0</v>
      </c>
      <c r="E158" s="11">
        <v>0</v>
      </c>
      <c r="F158" s="11">
        <v>0</v>
      </c>
      <c r="G158" s="11">
        <v>0</v>
      </c>
      <c r="H158" s="11"/>
      <c r="I158" s="11"/>
      <c r="J158" s="11"/>
      <c r="K158" s="11"/>
      <c r="L158" s="11"/>
      <c r="M158" s="11"/>
      <c r="N158" s="11"/>
      <c r="O158" s="11">
        <v>0</v>
      </c>
      <c r="P158" s="11">
        <v>0</v>
      </c>
      <c r="Q158" s="11">
        <v>0</v>
      </c>
      <c r="R158" s="11">
        <v>0</v>
      </c>
      <c r="S158" s="11">
        <f t="shared" ref="S158:S165" si="29">SUM(C158:R158)</f>
        <v>0</v>
      </c>
      <c r="U158" s="22" t="s">
        <v>34</v>
      </c>
      <c r="V158" s="11">
        <v>0</v>
      </c>
      <c r="W158" s="11">
        <v>0</v>
      </c>
      <c r="X158" s="11">
        <v>0</v>
      </c>
      <c r="Y158" s="11">
        <v>0</v>
      </c>
      <c r="Z158" s="11">
        <v>0</v>
      </c>
      <c r="AA158" s="11">
        <v>0</v>
      </c>
      <c r="AB158" s="11">
        <v>0</v>
      </c>
      <c r="AC158" s="11">
        <v>0</v>
      </c>
      <c r="AD158" s="11">
        <v>0</v>
      </c>
      <c r="AE158" s="11">
        <f t="shared" ref="AE158:AE165" si="30">SUM(V158:AD158)</f>
        <v>0</v>
      </c>
    </row>
    <row r="159" spans="2:31">
      <c r="B159" s="22" t="s">
        <v>35</v>
      </c>
      <c r="C159" s="11">
        <f>(P159-Q159)*$X$48*('Prod Energie'!F32)</f>
        <v>0</v>
      </c>
      <c r="D159" s="11">
        <v>0</v>
      </c>
      <c r="E159" s="11">
        <f>(P159-Q159)*$X$48*('Prod Energie'!F33)</f>
        <v>0</v>
      </c>
      <c r="F159" s="11">
        <v>0</v>
      </c>
      <c r="G159" s="11">
        <f>(P159-Q159)*$X$48*('Prod Energie'!F40+'Prod Energie'!D39)</f>
        <v>1181.836341477939</v>
      </c>
      <c r="H159" s="11"/>
      <c r="I159" s="11"/>
      <c r="J159" s="11"/>
      <c r="K159" s="11"/>
      <c r="L159" s="11"/>
      <c r="M159" s="11"/>
      <c r="N159" s="11"/>
      <c r="O159" s="11">
        <f>(P159-Q159)*$X$48*('Prod Energie'!F38)</f>
        <v>2759.9734664877951</v>
      </c>
      <c r="P159" s="11">
        <f>P164/(1+$P$48+$Q$48)</f>
        <v>-3640.6589741550174</v>
      </c>
      <c r="Q159" s="11">
        <f>Q164/(1+$D$48)</f>
        <v>-561.90747842469091</v>
      </c>
      <c r="R159" s="11">
        <v>0</v>
      </c>
      <c r="S159" s="11">
        <f t="shared" si="29"/>
        <v>-260.75664461397446</v>
      </c>
      <c r="U159" s="22" t="s">
        <v>35</v>
      </c>
      <c r="V159" s="11">
        <f>(AB159-AC159)*$X$48*('Prod Energie'!F53)</f>
        <v>0</v>
      </c>
      <c r="W159" s="11">
        <v>0</v>
      </c>
      <c r="X159" s="11">
        <f>(AB159-AC159)*$X$48*('Prod Energie'!F54)</f>
        <v>0</v>
      </c>
      <c r="Y159" s="11">
        <v>0</v>
      </c>
      <c r="Z159" s="11">
        <f>(AB159-AC159)*$X$48*('Prod Energie'!F61+'Prod Energie'!D60)</f>
        <v>1119.3339487840708</v>
      </c>
      <c r="AA159" s="11">
        <f>(AB159-AC159)*$X$48*('Prod Energie'!F59)</f>
        <v>2233.0738703320822</v>
      </c>
      <c r="AB159" s="11">
        <f>AB164/(1+$P$48+$Q$48)</f>
        <v>-3378.5407463857146</v>
      </c>
      <c r="AC159" s="11">
        <f>AC164/(1+$D$48)</f>
        <v>-561.90747842469091</v>
      </c>
      <c r="AD159" s="11">
        <v>0</v>
      </c>
      <c r="AE159" s="11">
        <f t="shared" si="30"/>
        <v>-588.04040569425251</v>
      </c>
    </row>
    <row r="160" spans="2:31">
      <c r="B160" s="22" t="s">
        <v>36</v>
      </c>
      <c r="C160" s="11">
        <v>0</v>
      </c>
      <c r="D160" s="11">
        <v>0</v>
      </c>
      <c r="E160" s="11">
        <v>0</v>
      </c>
      <c r="F160" s="11">
        <v>0</v>
      </c>
      <c r="G160" s="11">
        <v>0</v>
      </c>
      <c r="H160" s="11"/>
      <c r="I160" s="11"/>
      <c r="J160" s="11"/>
      <c r="K160" s="11"/>
      <c r="L160" s="11"/>
      <c r="M160" s="11"/>
      <c r="N160" s="11"/>
      <c r="O160" s="11">
        <v>0</v>
      </c>
      <c r="P160" s="11">
        <v>0</v>
      </c>
      <c r="Q160" s="11">
        <v>0</v>
      </c>
      <c r="R160" s="11">
        <v>0</v>
      </c>
      <c r="S160" s="11">
        <f t="shared" si="29"/>
        <v>0</v>
      </c>
      <c r="U160" s="22" t="s">
        <v>36</v>
      </c>
      <c r="V160" s="11">
        <v>0</v>
      </c>
      <c r="W160" s="11">
        <v>0</v>
      </c>
      <c r="X160" s="11">
        <v>0</v>
      </c>
      <c r="Y160" s="11">
        <v>0</v>
      </c>
      <c r="Z160" s="11">
        <v>0</v>
      </c>
      <c r="AA160" s="11">
        <v>0</v>
      </c>
      <c r="AB160" s="11">
        <v>0</v>
      </c>
      <c r="AC160" s="11">
        <v>0</v>
      </c>
      <c r="AD160" s="11">
        <v>0</v>
      </c>
      <c r="AE160" s="11">
        <f t="shared" si="30"/>
        <v>0</v>
      </c>
    </row>
    <row r="161" spans="2:32">
      <c r="B161" s="22" t="s">
        <v>37</v>
      </c>
      <c r="C161" s="11">
        <v>0</v>
      </c>
      <c r="D161" s="11">
        <v>0</v>
      </c>
      <c r="E161" s="11">
        <v>0</v>
      </c>
      <c r="F161" s="11">
        <v>0</v>
      </c>
      <c r="G161" s="11">
        <v>0</v>
      </c>
      <c r="H161" s="11"/>
      <c r="I161" s="11"/>
      <c r="J161" s="11"/>
      <c r="K161" s="11"/>
      <c r="L161" s="11"/>
      <c r="M161" s="11"/>
      <c r="N161" s="11"/>
      <c r="O161" s="11">
        <v>0</v>
      </c>
      <c r="P161" s="11">
        <v>0</v>
      </c>
      <c r="Q161" s="11">
        <v>0</v>
      </c>
      <c r="R161" s="11">
        <v>0</v>
      </c>
      <c r="S161" s="11">
        <f t="shared" si="29"/>
        <v>0</v>
      </c>
      <c r="U161" s="22" t="s">
        <v>37</v>
      </c>
      <c r="V161" s="11">
        <v>0</v>
      </c>
      <c r="W161" s="11">
        <v>0</v>
      </c>
      <c r="X161" s="11">
        <v>0</v>
      </c>
      <c r="Y161" s="11">
        <v>0</v>
      </c>
      <c r="Z161" s="11">
        <v>0</v>
      </c>
      <c r="AA161" s="11">
        <v>0</v>
      </c>
      <c r="AB161" s="11">
        <v>0</v>
      </c>
      <c r="AC161" s="11">
        <v>0</v>
      </c>
      <c r="AD161" s="11">
        <v>0</v>
      </c>
      <c r="AE161" s="11">
        <f t="shared" si="30"/>
        <v>0</v>
      </c>
    </row>
    <row r="162" spans="2:32">
      <c r="B162" s="22" t="s">
        <v>38</v>
      </c>
      <c r="C162" s="11">
        <v>0</v>
      </c>
      <c r="D162" s="11">
        <v>0</v>
      </c>
      <c r="E162" s="11">
        <v>0</v>
      </c>
      <c r="F162" s="11">
        <v>0</v>
      </c>
      <c r="G162" s="11">
        <v>0</v>
      </c>
      <c r="H162" s="11"/>
      <c r="I162" s="11"/>
      <c r="J162" s="11"/>
      <c r="K162" s="11"/>
      <c r="L162" s="11"/>
      <c r="M162" s="11"/>
      <c r="N162" s="11"/>
      <c r="O162" s="11">
        <v>0</v>
      </c>
      <c r="P162" s="11">
        <f>P159*$P$48</f>
        <v>43.474188153730665</v>
      </c>
      <c r="Q162" s="11">
        <v>0</v>
      </c>
      <c r="R162" s="11">
        <v>0</v>
      </c>
      <c r="S162" s="11">
        <f t="shared" si="29"/>
        <v>43.474188153730665</v>
      </c>
      <c r="U162" s="22" t="s">
        <v>38</v>
      </c>
      <c r="V162" s="11">
        <v>0</v>
      </c>
      <c r="W162" s="11">
        <v>0</v>
      </c>
      <c r="X162" s="11">
        <v>0</v>
      </c>
      <c r="Y162" s="11">
        <v>0</v>
      </c>
      <c r="Z162" s="11">
        <v>0</v>
      </c>
      <c r="AA162" s="11">
        <v>0</v>
      </c>
      <c r="AB162" s="11">
        <f>AB159*$P$48</f>
        <v>40.3441566859495</v>
      </c>
      <c r="AC162" s="11">
        <v>0</v>
      </c>
      <c r="AD162" s="11">
        <v>0</v>
      </c>
      <c r="AE162" s="11">
        <f t="shared" si="30"/>
        <v>40.3441566859495</v>
      </c>
    </row>
    <row r="163" spans="2:32">
      <c r="B163" s="22" t="s">
        <v>39</v>
      </c>
      <c r="C163" s="11">
        <v>0</v>
      </c>
      <c r="D163" s="11">
        <v>0</v>
      </c>
      <c r="E163" s="11">
        <v>0</v>
      </c>
      <c r="F163" s="11">
        <v>0</v>
      </c>
      <c r="G163" s="11">
        <v>0</v>
      </c>
      <c r="H163" s="11"/>
      <c r="I163" s="11"/>
      <c r="J163" s="11"/>
      <c r="K163" s="11"/>
      <c r="L163" s="11"/>
      <c r="M163" s="11"/>
      <c r="N163" s="11"/>
      <c r="O163" s="11">
        <v>0</v>
      </c>
      <c r="P163" s="11">
        <f>P159*$Q$48</f>
        <v>232.83358768131313</v>
      </c>
      <c r="Q163" s="11">
        <f>Q159*$D$48</f>
        <v>47.518602826612337</v>
      </c>
      <c r="R163" s="11">
        <v>0</v>
      </c>
      <c r="S163" s="11">
        <f t="shared" si="29"/>
        <v>280.35219050792546</v>
      </c>
      <c r="U163" s="22" t="s">
        <v>39</v>
      </c>
      <c r="V163" s="11">
        <v>0</v>
      </c>
      <c r="W163" s="11">
        <v>0</v>
      </c>
      <c r="X163" s="11">
        <v>0</v>
      </c>
      <c r="Y163" s="11">
        <v>0</v>
      </c>
      <c r="Z163" s="11">
        <v>0</v>
      </c>
      <c r="AA163" s="11">
        <v>0</v>
      </c>
      <c r="AB163" s="11">
        <f>AB159*$Q$48</f>
        <v>216.07015891705782</v>
      </c>
      <c r="AC163" s="11">
        <f>AC159*$D$48</f>
        <v>47.518602826612337</v>
      </c>
      <c r="AD163" s="11">
        <v>0</v>
      </c>
      <c r="AE163" s="11">
        <f t="shared" si="30"/>
        <v>263.58876174367015</v>
      </c>
    </row>
    <row r="164" spans="2:32">
      <c r="B164" s="24" t="s">
        <v>40</v>
      </c>
      <c r="C164" s="15">
        <f t="shared" ref="C164:O164" si="31">SUM(C158:C163)</f>
        <v>0</v>
      </c>
      <c r="D164" s="15">
        <f t="shared" si="31"/>
        <v>0</v>
      </c>
      <c r="E164" s="15">
        <f t="shared" si="31"/>
        <v>0</v>
      </c>
      <c r="F164" s="15">
        <f t="shared" si="31"/>
        <v>0</v>
      </c>
      <c r="G164" s="15">
        <f t="shared" si="31"/>
        <v>1181.836341477939</v>
      </c>
      <c r="H164" s="15"/>
      <c r="I164" s="15"/>
      <c r="J164" s="15"/>
      <c r="K164" s="15"/>
      <c r="L164" s="15"/>
      <c r="M164" s="15"/>
      <c r="N164" s="15"/>
      <c r="O164" s="15">
        <f t="shared" si="31"/>
        <v>2759.9734664877951</v>
      </c>
      <c r="P164" s="15">
        <f>-P172</f>
        <v>-3364.3511983199737</v>
      </c>
      <c r="Q164" s="15">
        <f>-Q172</f>
        <v>-514.38887559807858</v>
      </c>
      <c r="R164" s="15">
        <v>0</v>
      </c>
      <c r="S164" s="15">
        <f t="shared" si="29"/>
        <v>63.06973404768155</v>
      </c>
      <c r="U164" s="24" t="s">
        <v>40</v>
      </c>
      <c r="V164" s="15">
        <f t="shared" ref="V164:AA164" si="32">SUM(V158:V163)</f>
        <v>0</v>
      </c>
      <c r="W164" s="15">
        <f t="shared" si="32"/>
        <v>0</v>
      </c>
      <c r="X164" s="15">
        <f t="shared" si="32"/>
        <v>0</v>
      </c>
      <c r="Y164" s="15">
        <f t="shared" si="32"/>
        <v>0</v>
      </c>
      <c r="Z164" s="15">
        <f t="shared" si="32"/>
        <v>1119.3339487840708</v>
      </c>
      <c r="AA164" s="15">
        <f t="shared" si="32"/>
        <v>2233.0738703320822</v>
      </c>
      <c r="AB164" s="15">
        <f>-AB172</f>
        <v>-3122.1264307827073</v>
      </c>
      <c r="AC164" s="15">
        <f>-AC172</f>
        <v>-514.38887559807858</v>
      </c>
      <c r="AD164" s="15">
        <v>0</v>
      </c>
      <c r="AE164" s="15">
        <f t="shared" si="30"/>
        <v>-284.10748726463294</v>
      </c>
    </row>
    <row r="165" spans="2:32">
      <c r="B165" s="22" t="s">
        <v>41</v>
      </c>
      <c r="C165" s="11">
        <v>0</v>
      </c>
      <c r="D165" s="11">
        <v>0</v>
      </c>
      <c r="E165" s="11">
        <f>Industrie!F35</f>
        <v>323.36168396024226</v>
      </c>
      <c r="F165" s="11">
        <v>0</v>
      </c>
      <c r="G165" s="11">
        <v>0</v>
      </c>
      <c r="H165" s="11"/>
      <c r="I165" s="11"/>
      <c r="J165" s="11"/>
      <c r="K165" s="11"/>
      <c r="L165" s="11"/>
      <c r="M165" s="11"/>
      <c r="N165" s="11"/>
      <c r="O165" s="11">
        <f>Industrie!F38</f>
        <v>33.034147974188535</v>
      </c>
      <c r="P165" s="11">
        <f>Industrie!F36</f>
        <v>344.62075660814747</v>
      </c>
      <c r="Q165" s="11">
        <f>Industrie!F39</f>
        <v>514.38887559807858</v>
      </c>
      <c r="R165" s="11">
        <v>0</v>
      </c>
      <c r="S165" s="11">
        <f t="shared" si="29"/>
        <v>1215.4054641406569</v>
      </c>
      <c r="U165" s="22" t="s">
        <v>41</v>
      </c>
      <c r="V165" s="11">
        <v>0</v>
      </c>
      <c r="W165" s="11">
        <v>0</v>
      </c>
      <c r="X165" s="11">
        <f>Industrie!F56</f>
        <v>130.63045671189141</v>
      </c>
      <c r="Y165" s="11">
        <v>0</v>
      </c>
      <c r="Z165" s="11">
        <v>0</v>
      </c>
      <c r="AA165" s="11">
        <f>Industrie!F62</f>
        <v>120.12111911544949</v>
      </c>
      <c r="AB165" s="11">
        <f>Industrie!F57</f>
        <v>396.03805681631343</v>
      </c>
      <c r="AC165" s="11">
        <f>Industrie!F63</f>
        <v>514.38887559807858</v>
      </c>
      <c r="AD165" s="11">
        <v>0</v>
      </c>
      <c r="AE165" s="11">
        <f t="shared" si="30"/>
        <v>1161.178508241733</v>
      </c>
    </row>
    <row r="166" spans="2:32">
      <c r="B166" s="22" t="s">
        <v>42</v>
      </c>
      <c r="C166" s="11">
        <v>0</v>
      </c>
      <c r="D166" s="11">
        <v>0</v>
      </c>
      <c r="E166" s="11">
        <f>Transports!H44</f>
        <v>3959.7601930089972</v>
      </c>
      <c r="F166" s="11">
        <v>0</v>
      </c>
      <c r="G166" s="11">
        <v>0</v>
      </c>
      <c r="H166" s="11"/>
      <c r="I166" s="11"/>
      <c r="J166" s="11"/>
      <c r="K166" s="11"/>
      <c r="L166" s="11"/>
      <c r="M166" s="11"/>
      <c r="N166" s="11"/>
      <c r="O166" s="11">
        <v>0</v>
      </c>
      <c r="P166" s="11">
        <f>Transports!H45</f>
        <v>334.89736315986852</v>
      </c>
      <c r="Q166" s="11">
        <v>0</v>
      </c>
      <c r="R166" s="11">
        <v>0</v>
      </c>
      <c r="S166" s="11">
        <f>Transports!H46</f>
        <v>4294.657556168866</v>
      </c>
      <c r="U166" s="22" t="s">
        <v>42</v>
      </c>
      <c r="V166" s="11">
        <v>0</v>
      </c>
      <c r="W166" s="11">
        <v>0</v>
      </c>
      <c r="X166" s="11">
        <f>Transports!H71</f>
        <v>2892.1927217606208</v>
      </c>
      <c r="Y166" s="11">
        <v>0</v>
      </c>
      <c r="Z166" s="11">
        <v>0</v>
      </c>
      <c r="AA166" s="11">
        <v>0</v>
      </c>
      <c r="AB166" s="11">
        <f>Transports!H72</f>
        <v>699.07120418567956</v>
      </c>
      <c r="AC166" s="11">
        <v>0</v>
      </c>
      <c r="AD166" s="11">
        <v>0</v>
      </c>
      <c r="AE166" s="11">
        <f>Transports!H73</f>
        <v>3591.2639259463003</v>
      </c>
    </row>
    <row r="167" spans="2:32">
      <c r="B167" s="22" t="s">
        <v>43</v>
      </c>
      <c r="C167" s="11">
        <v>0</v>
      </c>
      <c r="D167" s="11">
        <v>0</v>
      </c>
      <c r="E167" s="11">
        <f>'Résidentiel-tertiaire'!F163</f>
        <v>105.36889992015332</v>
      </c>
      <c r="F167" s="11">
        <v>0</v>
      </c>
      <c r="G167" s="11">
        <v>0</v>
      </c>
      <c r="H167" s="11"/>
      <c r="I167" s="11"/>
      <c r="J167" s="11"/>
      <c r="K167" s="11"/>
      <c r="L167" s="11"/>
      <c r="M167" s="11"/>
      <c r="N167" s="11"/>
      <c r="O167" s="11">
        <f>'Résidentiel-tertiaire'!F164</f>
        <v>724.98384401583746</v>
      </c>
      <c r="P167" s="11">
        <f>'Résidentiel-tertiaire'!F165</f>
        <v>1408.7363793672673</v>
      </c>
      <c r="Q167" s="11">
        <v>0</v>
      </c>
      <c r="R167" s="11">
        <v>0</v>
      </c>
      <c r="S167" s="11">
        <f>SUM(C167:R167)</f>
        <v>2239.089123303258</v>
      </c>
      <c r="U167" s="22" t="s">
        <v>43</v>
      </c>
      <c r="V167" s="11">
        <v>0</v>
      </c>
      <c r="W167" s="11">
        <v>0</v>
      </c>
      <c r="X167" s="11">
        <f>'Résidentiel-tertiaire'!F177</f>
        <v>65.500000000000014</v>
      </c>
      <c r="Y167" s="11">
        <v>0</v>
      </c>
      <c r="Z167" s="11">
        <v>0</v>
      </c>
      <c r="AA167" s="11">
        <f>'Résidentiel-tertiaire'!F178</f>
        <v>545.61921733129645</v>
      </c>
      <c r="AB167" s="11">
        <f>'Résidentiel-tertiaire'!F179</f>
        <v>996.8383219854112</v>
      </c>
      <c r="AC167" s="11">
        <v>0</v>
      </c>
      <c r="AD167" s="11">
        <v>0</v>
      </c>
      <c r="AE167" s="11">
        <f>SUM(V167:AD167)</f>
        <v>1607.9575393167077</v>
      </c>
    </row>
    <row r="168" spans="2:32">
      <c r="B168" s="22" t="s">
        <v>44</v>
      </c>
      <c r="C168" s="11">
        <v>0</v>
      </c>
      <c r="D168" s="11">
        <v>0</v>
      </c>
      <c r="E168" s="11">
        <f>'Résidentiel-tertiaire'!F168</f>
        <v>352.26195630971876</v>
      </c>
      <c r="F168" s="11">
        <v>0</v>
      </c>
      <c r="G168" s="11">
        <v>0</v>
      </c>
      <c r="H168" s="11"/>
      <c r="I168" s="11"/>
      <c r="J168" s="11"/>
      <c r="K168" s="11"/>
      <c r="L168" s="11"/>
      <c r="M168" s="11"/>
      <c r="N168" s="11"/>
      <c r="O168" s="11">
        <f>'Résidentiel-tertiaire'!F169</f>
        <v>1.0578437126417981</v>
      </c>
      <c r="P168" s="11">
        <f>'Résidentiel-tertiaire'!F170</f>
        <v>1255.6604869058142</v>
      </c>
      <c r="Q168" s="11">
        <v>0</v>
      </c>
      <c r="R168" s="11">
        <v>0</v>
      </c>
      <c r="S168" s="11">
        <f>SUM(C168:R168)</f>
        <v>1608.9802869281748</v>
      </c>
      <c r="U168" s="22" t="s">
        <v>44</v>
      </c>
      <c r="V168" s="11">
        <v>0</v>
      </c>
      <c r="W168" s="11">
        <v>0</v>
      </c>
      <c r="X168" s="11">
        <f>'Résidentiel-tertiaire'!F182</f>
        <v>140.00000000000003</v>
      </c>
      <c r="Y168" s="11">
        <v>0</v>
      </c>
      <c r="Z168" s="11">
        <v>0</v>
      </c>
      <c r="AA168" s="11">
        <f>'Résidentiel-tertiaire'!F183</f>
        <v>0.8170775485156383</v>
      </c>
      <c r="AB168" s="11">
        <f>'Résidentiel-tertiaire'!F184</f>
        <v>1019.4330413436907</v>
      </c>
      <c r="AC168" s="11">
        <v>0</v>
      </c>
      <c r="AD168" s="11">
        <v>0</v>
      </c>
      <c r="AE168" s="11">
        <f>SUM(V168:AD168)</f>
        <v>1160.2501188922063</v>
      </c>
    </row>
    <row r="169" spans="2:32">
      <c r="B169" s="22" t="s">
        <v>4</v>
      </c>
      <c r="C169" s="11">
        <v>0</v>
      </c>
      <c r="D169" s="11">
        <v>0</v>
      </c>
      <c r="E169" s="11">
        <f>Agriculture!P27</f>
        <v>104.22468262226846</v>
      </c>
      <c r="F169" s="11">
        <v>0</v>
      </c>
      <c r="G169" s="11">
        <v>0</v>
      </c>
      <c r="H169" s="11"/>
      <c r="I169" s="11"/>
      <c r="J169" s="11"/>
      <c r="K169" s="11"/>
      <c r="L169" s="11"/>
      <c r="M169" s="11"/>
      <c r="N169" s="11"/>
      <c r="O169" s="11">
        <v>0</v>
      </c>
      <c r="P169" s="11">
        <f>Agriculture!P28</f>
        <v>20.43621227887617</v>
      </c>
      <c r="Q169" s="11">
        <v>0</v>
      </c>
      <c r="R169" s="11">
        <v>0</v>
      </c>
      <c r="S169" s="11">
        <f>SUM(C169:R169)</f>
        <v>124.66089490114463</v>
      </c>
      <c r="U169" s="22" t="s">
        <v>4</v>
      </c>
      <c r="V169" s="11">
        <v>0</v>
      </c>
      <c r="W169" s="11">
        <v>0</v>
      </c>
      <c r="X169" s="11">
        <f>Agriculture!U43</f>
        <v>49.354838709677416</v>
      </c>
      <c r="Y169" s="11">
        <v>0</v>
      </c>
      <c r="Z169" s="11">
        <v>0</v>
      </c>
      <c r="AA169" s="11">
        <f>Agriculture!U45</f>
        <v>49.03896774193548</v>
      </c>
      <c r="AB169" s="11">
        <f>Agriculture!U44</f>
        <v>10.745806451612903</v>
      </c>
      <c r="AC169" s="11">
        <v>0</v>
      </c>
      <c r="AD169" s="11">
        <v>0</v>
      </c>
      <c r="AE169" s="11">
        <f>SUM(V169:AD169)</f>
        <v>109.13961290322581</v>
      </c>
    </row>
    <row r="170" spans="2:32">
      <c r="B170" s="26" t="s">
        <v>45</v>
      </c>
      <c r="C170" s="19">
        <v>0</v>
      </c>
      <c r="D170" s="19">
        <v>0</v>
      </c>
      <c r="E170" s="19">
        <f t="shared" ref="E170:S170" si="33">SUM(E165:E169)</f>
        <v>4844.9774158213795</v>
      </c>
      <c r="F170" s="19">
        <f t="shared" si="33"/>
        <v>0</v>
      </c>
      <c r="G170" s="19">
        <f t="shared" si="33"/>
        <v>0</v>
      </c>
      <c r="H170" s="19"/>
      <c r="I170" s="19"/>
      <c r="J170" s="19"/>
      <c r="K170" s="19"/>
      <c r="L170" s="19"/>
      <c r="M170" s="19"/>
      <c r="N170" s="19"/>
      <c r="O170" s="19">
        <f t="shared" si="33"/>
        <v>759.07583570266775</v>
      </c>
      <c r="P170" s="19">
        <f t="shared" si="33"/>
        <v>3364.3511983199737</v>
      </c>
      <c r="Q170" s="19">
        <f t="shared" si="33"/>
        <v>514.38887559807858</v>
      </c>
      <c r="R170" s="19">
        <f t="shared" si="33"/>
        <v>0</v>
      </c>
      <c r="S170" s="19">
        <f t="shared" si="33"/>
        <v>9482.7933254420986</v>
      </c>
      <c r="U170" s="26" t="s">
        <v>45</v>
      </c>
      <c r="V170" s="19">
        <v>0</v>
      </c>
      <c r="W170" s="19">
        <v>0</v>
      </c>
      <c r="X170" s="19">
        <f t="shared" ref="X170:AE170" si="34">SUM(X165:X169)</f>
        <v>3277.6780171821897</v>
      </c>
      <c r="Y170" s="19">
        <f t="shared" si="34"/>
        <v>0</v>
      </c>
      <c r="Z170" s="19">
        <f t="shared" si="34"/>
        <v>0</v>
      </c>
      <c r="AA170" s="19">
        <f t="shared" si="34"/>
        <v>715.59638173719702</v>
      </c>
      <c r="AB170" s="19">
        <f t="shared" si="34"/>
        <v>3122.1264307827073</v>
      </c>
      <c r="AC170" s="19">
        <f t="shared" si="34"/>
        <v>514.38887559807858</v>
      </c>
      <c r="AD170" s="19">
        <f t="shared" si="34"/>
        <v>0</v>
      </c>
      <c r="AE170" s="19">
        <f t="shared" si="34"/>
        <v>7629.7897053001725</v>
      </c>
    </row>
    <row r="171" spans="2:32">
      <c r="B171" s="26" t="s">
        <v>46</v>
      </c>
      <c r="C171" s="19">
        <v>0</v>
      </c>
      <c r="D171" s="19">
        <v>0</v>
      </c>
      <c r="E171" s="19">
        <f>Industrie!F37</f>
        <v>316.18398775294742</v>
      </c>
      <c r="F171" s="19">
        <v>0</v>
      </c>
      <c r="G171" s="19">
        <v>0</v>
      </c>
      <c r="H171" s="19"/>
      <c r="I171" s="19"/>
      <c r="J171" s="19"/>
      <c r="K171" s="19"/>
      <c r="L171" s="19"/>
      <c r="M171" s="19"/>
      <c r="N171" s="19"/>
      <c r="O171" s="19">
        <v>0</v>
      </c>
      <c r="P171" s="19">
        <v>0</v>
      </c>
      <c r="Q171" s="19">
        <v>0</v>
      </c>
      <c r="R171" s="19">
        <v>0</v>
      </c>
      <c r="S171" s="19">
        <f>SUM(C171:R171)</f>
        <v>316.18398775294742</v>
      </c>
      <c r="U171" s="26" t="s">
        <v>46</v>
      </c>
      <c r="V171" s="19">
        <v>0</v>
      </c>
      <c r="W171" s="19">
        <v>0</v>
      </c>
      <c r="X171" s="19">
        <f>Industrie!F59</f>
        <v>316.18398775294742</v>
      </c>
      <c r="Y171" s="19">
        <v>0</v>
      </c>
      <c r="Z171" s="19">
        <v>0</v>
      </c>
      <c r="AA171" s="19">
        <f>Industrie!F61</f>
        <v>79.045996938236854</v>
      </c>
      <c r="AB171" s="19">
        <v>0</v>
      </c>
      <c r="AC171" s="19">
        <v>0</v>
      </c>
      <c r="AD171" s="19">
        <v>0</v>
      </c>
      <c r="AE171" s="19">
        <f>SUM(V171:AD171)</f>
        <v>395.22998469118426</v>
      </c>
    </row>
    <row r="172" spans="2:32">
      <c r="B172" s="24" t="s">
        <v>47</v>
      </c>
      <c r="C172" s="15">
        <v>0</v>
      </c>
      <c r="D172" s="15">
        <v>0</v>
      </c>
      <c r="E172" s="15">
        <f t="shared" ref="E172:S172" si="35">SUM(E170:E171)</f>
        <v>5161.1614035743269</v>
      </c>
      <c r="F172" s="15">
        <f t="shared" si="35"/>
        <v>0</v>
      </c>
      <c r="G172" s="15">
        <f t="shared" si="35"/>
        <v>0</v>
      </c>
      <c r="H172" s="15"/>
      <c r="I172" s="15"/>
      <c r="J172" s="15"/>
      <c r="K172" s="15"/>
      <c r="L172" s="15"/>
      <c r="M172" s="15"/>
      <c r="N172" s="15"/>
      <c r="O172" s="15">
        <f t="shared" si="35"/>
        <v>759.07583570266775</v>
      </c>
      <c r="P172" s="15">
        <f t="shared" si="35"/>
        <v>3364.3511983199737</v>
      </c>
      <c r="Q172" s="15">
        <f t="shared" si="35"/>
        <v>514.38887559807858</v>
      </c>
      <c r="R172" s="15">
        <f t="shared" si="35"/>
        <v>0</v>
      </c>
      <c r="S172" s="15">
        <f t="shared" si="35"/>
        <v>9798.977313195046</v>
      </c>
      <c r="T172" s="27">
        <f>SUM(C172:R172)</f>
        <v>9798.9773131950478</v>
      </c>
      <c r="U172" s="24" t="s">
        <v>47</v>
      </c>
      <c r="V172" s="15">
        <v>0</v>
      </c>
      <c r="W172" s="15">
        <v>0</v>
      </c>
      <c r="X172" s="15">
        <f t="shared" ref="X172:AE172" si="36">SUM(X170:X171)</f>
        <v>3593.8620049351371</v>
      </c>
      <c r="Y172" s="15">
        <f t="shared" si="36"/>
        <v>0</v>
      </c>
      <c r="Z172" s="15">
        <f t="shared" si="36"/>
        <v>0</v>
      </c>
      <c r="AA172" s="15">
        <f t="shared" si="36"/>
        <v>794.64237867543386</v>
      </c>
      <c r="AB172" s="15">
        <f t="shared" si="36"/>
        <v>3122.1264307827073</v>
      </c>
      <c r="AC172" s="15">
        <f t="shared" si="36"/>
        <v>514.38887559807858</v>
      </c>
      <c r="AD172" s="15">
        <f t="shared" si="36"/>
        <v>0</v>
      </c>
      <c r="AE172" s="15">
        <f t="shared" si="36"/>
        <v>8025.0196899913572</v>
      </c>
      <c r="AF172" s="27">
        <f>SUM(V172:AD172)</f>
        <v>8025.0196899913572</v>
      </c>
    </row>
    <row r="178" spans="2:31">
      <c r="C178" s="4" t="s">
        <v>54</v>
      </c>
      <c r="D178" s="4"/>
      <c r="E178" s="4"/>
      <c r="F178" s="4"/>
      <c r="G178" s="4"/>
      <c r="H178" s="4"/>
      <c r="I178" s="4"/>
      <c r="J178" s="4"/>
      <c r="K178" s="4"/>
      <c r="L178" s="4"/>
      <c r="M178" s="4"/>
      <c r="N178" s="4"/>
      <c r="O178" s="4"/>
      <c r="P178" s="4"/>
      <c r="Q178" s="4"/>
      <c r="R178" s="4"/>
      <c r="S178" s="4"/>
      <c r="T178" s="4"/>
      <c r="U178" s="4"/>
      <c r="V178" s="4" t="s">
        <v>54</v>
      </c>
      <c r="W178" s="4"/>
    </row>
    <row r="179" spans="2:31" ht="43.2">
      <c r="B179" s="20">
        <v>2040</v>
      </c>
      <c r="C179" s="7" t="s">
        <v>14</v>
      </c>
      <c r="D179" s="7" t="s">
        <v>15</v>
      </c>
      <c r="E179" s="7" t="s">
        <v>16</v>
      </c>
      <c r="F179" s="7" t="s">
        <v>17</v>
      </c>
      <c r="G179" s="7" t="s">
        <v>18</v>
      </c>
      <c r="H179" s="244"/>
      <c r="I179" s="244"/>
      <c r="J179" s="244"/>
      <c r="K179" s="244"/>
      <c r="L179" s="244"/>
      <c r="M179" s="244"/>
      <c r="N179" s="244"/>
      <c r="O179" s="7" t="s">
        <v>19</v>
      </c>
      <c r="P179" s="7" t="s">
        <v>20</v>
      </c>
      <c r="Q179" s="7" t="s">
        <v>21</v>
      </c>
      <c r="R179" s="7"/>
      <c r="S179" s="7" t="s">
        <v>23</v>
      </c>
      <c r="U179" s="21">
        <v>2040</v>
      </c>
      <c r="V179" s="7" t="s">
        <v>14</v>
      </c>
      <c r="W179" s="7" t="s">
        <v>15</v>
      </c>
      <c r="X179" s="7" t="s">
        <v>16</v>
      </c>
      <c r="Y179" s="7" t="s">
        <v>17</v>
      </c>
      <c r="Z179" s="7" t="s">
        <v>18</v>
      </c>
      <c r="AA179" s="7" t="s">
        <v>19</v>
      </c>
      <c r="AB179" s="7" t="s">
        <v>20</v>
      </c>
      <c r="AC179" s="7" t="s">
        <v>21</v>
      </c>
      <c r="AD179" s="7"/>
      <c r="AE179" s="7" t="s">
        <v>23</v>
      </c>
    </row>
    <row r="180" spans="2:31">
      <c r="B180" s="22" t="s">
        <v>24</v>
      </c>
      <c r="C180" s="11">
        <v>0</v>
      </c>
      <c r="D180" s="11">
        <v>0</v>
      </c>
      <c r="E180" s="11">
        <v>0</v>
      </c>
      <c r="F180" s="11">
        <v>0</v>
      </c>
      <c r="G180" s="11">
        <v>0</v>
      </c>
      <c r="H180" s="11"/>
      <c r="I180" s="11"/>
      <c r="J180" s="11"/>
      <c r="K180" s="11"/>
      <c r="L180" s="11"/>
      <c r="M180" s="11"/>
      <c r="N180" s="11"/>
      <c r="O180" s="11">
        <v>0</v>
      </c>
      <c r="P180" s="11">
        <v>0</v>
      </c>
      <c r="Q180" s="11">
        <v>0</v>
      </c>
      <c r="R180" s="11">
        <v>0</v>
      </c>
      <c r="S180" s="11">
        <f>SUM(C180:R180)</f>
        <v>0</v>
      </c>
      <c r="U180" s="22" t="s">
        <v>24</v>
      </c>
      <c r="V180" s="11">
        <v>0</v>
      </c>
      <c r="W180" s="11">
        <v>0</v>
      </c>
      <c r="X180" s="11">
        <v>0</v>
      </c>
      <c r="Y180" s="11">
        <v>0</v>
      </c>
      <c r="Z180" s="11">
        <v>0</v>
      </c>
      <c r="AA180" s="11">
        <v>0</v>
      </c>
      <c r="AB180" s="11">
        <v>0</v>
      </c>
      <c r="AC180" s="11">
        <v>0</v>
      </c>
      <c r="AD180" s="11">
        <v>0</v>
      </c>
      <c r="AE180" s="11">
        <f>SUM(V180:AD180)</f>
        <v>0</v>
      </c>
    </row>
    <row r="181" spans="2:31">
      <c r="B181" s="22" t="s">
        <v>25</v>
      </c>
      <c r="C181" s="11">
        <v>0</v>
      </c>
      <c r="D181" s="11">
        <v>0</v>
      </c>
      <c r="E181" s="11">
        <v>0</v>
      </c>
      <c r="F181" s="11">
        <v>0</v>
      </c>
      <c r="G181" s="11">
        <v>0</v>
      </c>
      <c r="H181" s="11"/>
      <c r="I181" s="11"/>
      <c r="J181" s="11"/>
      <c r="K181" s="11"/>
      <c r="L181" s="11"/>
      <c r="M181" s="11"/>
      <c r="N181" s="11"/>
      <c r="O181" s="11">
        <v>0</v>
      </c>
      <c r="P181" s="11">
        <v>0</v>
      </c>
      <c r="Q181" s="11">
        <v>0</v>
      </c>
      <c r="R181" s="11">
        <v>0</v>
      </c>
      <c r="S181" s="11">
        <f t="shared" ref="S181:S189" si="37">SUM(C181:R181)</f>
        <v>0</v>
      </c>
      <c r="U181" s="22" t="s">
        <v>25</v>
      </c>
      <c r="V181" s="11">
        <v>0</v>
      </c>
      <c r="W181" s="11">
        <v>0</v>
      </c>
      <c r="X181" s="11">
        <v>0</v>
      </c>
      <c r="Y181" s="11">
        <v>0</v>
      </c>
      <c r="Z181" s="11">
        <v>0</v>
      </c>
      <c r="AA181" s="11">
        <v>0</v>
      </c>
      <c r="AB181" s="11">
        <v>0</v>
      </c>
      <c r="AC181" s="11">
        <v>0</v>
      </c>
      <c r="AD181" s="11">
        <v>0</v>
      </c>
      <c r="AE181" s="11">
        <f t="shared" ref="AE181:AE188" si="38">SUM(V181:AD181)</f>
        <v>0</v>
      </c>
    </row>
    <row r="182" spans="2:31">
      <c r="B182" s="22" t="s">
        <v>26</v>
      </c>
      <c r="C182" s="11">
        <v>0</v>
      </c>
      <c r="D182" s="11">
        <v>0</v>
      </c>
      <c r="E182" s="11">
        <v>0</v>
      </c>
      <c r="F182" s="11">
        <v>0</v>
      </c>
      <c r="G182" s="11">
        <v>0</v>
      </c>
      <c r="H182" s="11"/>
      <c r="I182" s="11"/>
      <c r="J182" s="11"/>
      <c r="K182" s="11"/>
      <c r="L182" s="11"/>
      <c r="M182" s="11"/>
      <c r="N182" s="11"/>
      <c r="O182" s="11">
        <v>0</v>
      </c>
      <c r="P182" s="11">
        <v>0</v>
      </c>
      <c r="Q182" s="11">
        <v>0</v>
      </c>
      <c r="R182" s="11">
        <v>0</v>
      </c>
      <c r="S182" s="11">
        <f t="shared" si="37"/>
        <v>0</v>
      </c>
      <c r="U182" s="22" t="s">
        <v>26</v>
      </c>
      <c r="V182" s="11">
        <v>0</v>
      </c>
      <c r="W182" s="11">
        <v>0</v>
      </c>
      <c r="X182" s="11">
        <v>0</v>
      </c>
      <c r="Y182" s="11">
        <v>0</v>
      </c>
      <c r="Z182" s="11">
        <v>0</v>
      </c>
      <c r="AA182" s="11">
        <v>0</v>
      </c>
      <c r="AB182" s="11">
        <v>0</v>
      </c>
      <c r="AC182" s="11">
        <v>0</v>
      </c>
      <c r="AD182" s="11">
        <v>0</v>
      </c>
      <c r="AE182" s="11">
        <f t="shared" si="38"/>
        <v>0</v>
      </c>
    </row>
    <row r="183" spans="2:31">
      <c r="B183" s="22" t="s">
        <v>27</v>
      </c>
      <c r="C183" s="11">
        <v>0</v>
      </c>
      <c r="D183" s="11">
        <v>0</v>
      </c>
      <c r="E183" s="11">
        <v>0</v>
      </c>
      <c r="F183" s="11">
        <v>0</v>
      </c>
      <c r="G183" s="11">
        <v>0</v>
      </c>
      <c r="H183" s="11"/>
      <c r="I183" s="11"/>
      <c r="J183" s="11"/>
      <c r="K183" s="11"/>
      <c r="L183" s="11"/>
      <c r="M183" s="11"/>
      <c r="N183" s="11"/>
      <c r="O183" s="11">
        <v>0</v>
      </c>
      <c r="P183" s="11">
        <v>0</v>
      </c>
      <c r="Q183" s="11">
        <v>0</v>
      </c>
      <c r="R183" s="11">
        <v>0</v>
      </c>
      <c r="S183" s="11">
        <f t="shared" si="37"/>
        <v>0</v>
      </c>
      <c r="U183" s="22" t="s">
        <v>27</v>
      </c>
      <c r="V183" s="11">
        <v>0</v>
      </c>
      <c r="W183" s="11">
        <v>0</v>
      </c>
      <c r="X183" s="11">
        <v>0</v>
      </c>
      <c r="Y183" s="11">
        <v>0</v>
      </c>
      <c r="Z183" s="11">
        <v>0</v>
      </c>
      <c r="AA183" s="11">
        <v>0</v>
      </c>
      <c r="AB183" s="11">
        <v>0</v>
      </c>
      <c r="AC183" s="11">
        <v>0</v>
      </c>
      <c r="AD183" s="11">
        <v>0</v>
      </c>
      <c r="AE183" s="11">
        <f t="shared" si="38"/>
        <v>0</v>
      </c>
    </row>
    <row r="184" spans="2:31">
      <c r="B184" s="22" t="s">
        <v>28</v>
      </c>
      <c r="C184" s="11">
        <v>0</v>
      </c>
      <c r="D184" s="11">
        <v>0</v>
      </c>
      <c r="E184" s="11">
        <v>0</v>
      </c>
      <c r="F184" s="11">
        <v>0</v>
      </c>
      <c r="G184" s="11">
        <v>0</v>
      </c>
      <c r="H184" s="11"/>
      <c r="I184" s="11"/>
      <c r="J184" s="11"/>
      <c r="K184" s="11"/>
      <c r="L184" s="11"/>
      <c r="M184" s="11"/>
      <c r="N184" s="11"/>
      <c r="O184" s="11">
        <v>0</v>
      </c>
      <c r="P184" s="11">
        <v>0</v>
      </c>
      <c r="Q184" s="11">
        <v>0</v>
      </c>
      <c r="R184" s="11">
        <v>0</v>
      </c>
      <c r="S184" s="11">
        <f t="shared" si="37"/>
        <v>0</v>
      </c>
      <c r="U184" s="22" t="s">
        <v>28</v>
      </c>
      <c r="V184" s="11">
        <v>0</v>
      </c>
      <c r="W184" s="11">
        <v>0</v>
      </c>
      <c r="X184" s="11">
        <v>0</v>
      </c>
      <c r="Y184" s="11">
        <v>0</v>
      </c>
      <c r="Z184" s="11">
        <v>0</v>
      </c>
      <c r="AA184" s="11">
        <v>0</v>
      </c>
      <c r="AB184" s="11">
        <v>0</v>
      </c>
      <c r="AC184" s="11">
        <v>0</v>
      </c>
      <c r="AD184" s="11">
        <v>0</v>
      </c>
      <c r="AE184" s="11">
        <f t="shared" si="38"/>
        <v>0</v>
      </c>
    </row>
    <row r="185" spans="2:31">
      <c r="B185" s="22" t="s">
        <v>29</v>
      </c>
      <c r="C185" s="11">
        <v>0</v>
      </c>
      <c r="D185" s="11">
        <v>0</v>
      </c>
      <c r="E185" s="11">
        <v>0</v>
      </c>
      <c r="F185" s="11">
        <v>0</v>
      </c>
      <c r="G185" s="11">
        <v>0</v>
      </c>
      <c r="H185" s="11"/>
      <c r="I185" s="11"/>
      <c r="J185" s="11"/>
      <c r="K185" s="11"/>
      <c r="L185" s="11"/>
      <c r="M185" s="11"/>
      <c r="N185" s="11"/>
      <c r="O185" s="11">
        <v>0</v>
      </c>
      <c r="P185" s="11">
        <v>0</v>
      </c>
      <c r="Q185" s="11">
        <v>0</v>
      </c>
      <c r="R185" s="11">
        <v>0</v>
      </c>
      <c r="S185" s="11">
        <f t="shared" si="37"/>
        <v>0</v>
      </c>
      <c r="U185" s="22" t="s">
        <v>29</v>
      </c>
      <c r="V185" s="11">
        <v>0</v>
      </c>
      <c r="W185" s="11">
        <v>0</v>
      </c>
      <c r="X185" s="11">
        <v>0</v>
      </c>
      <c r="Y185" s="11">
        <v>0</v>
      </c>
      <c r="Z185" s="11">
        <v>0</v>
      </c>
      <c r="AA185" s="11">
        <v>0</v>
      </c>
      <c r="AB185" s="11">
        <v>0</v>
      </c>
      <c r="AC185" s="11">
        <v>0</v>
      </c>
      <c r="AD185" s="11">
        <v>0</v>
      </c>
      <c r="AE185" s="11">
        <f t="shared" si="38"/>
        <v>0</v>
      </c>
    </row>
    <row r="186" spans="2:31">
      <c r="B186" s="22" t="s">
        <v>30</v>
      </c>
      <c r="C186" s="11">
        <v>0</v>
      </c>
      <c r="D186" s="11">
        <v>0</v>
      </c>
      <c r="E186" s="11">
        <v>0</v>
      </c>
      <c r="F186" s="11">
        <v>0</v>
      </c>
      <c r="G186" s="11">
        <v>0</v>
      </c>
      <c r="H186" s="11"/>
      <c r="I186" s="11"/>
      <c r="J186" s="11"/>
      <c r="K186" s="11"/>
      <c r="L186" s="11"/>
      <c r="M186" s="11"/>
      <c r="N186" s="11"/>
      <c r="O186" s="11">
        <v>0</v>
      </c>
      <c r="P186" s="11">
        <v>0</v>
      </c>
      <c r="Q186" s="11">
        <v>0</v>
      </c>
      <c r="R186" s="11">
        <v>0</v>
      </c>
      <c r="S186" s="11">
        <f t="shared" si="37"/>
        <v>0</v>
      </c>
      <c r="U186" s="22" t="s">
        <v>30</v>
      </c>
      <c r="V186" s="11">
        <v>0</v>
      </c>
      <c r="W186" s="11">
        <v>0</v>
      </c>
      <c r="X186" s="11">
        <v>0</v>
      </c>
      <c r="Y186" s="11">
        <v>0</v>
      </c>
      <c r="Z186" s="11">
        <v>0</v>
      </c>
      <c r="AA186" s="11">
        <v>0</v>
      </c>
      <c r="AB186" s="11">
        <v>0</v>
      </c>
      <c r="AC186" s="11">
        <v>0</v>
      </c>
      <c r="AD186" s="11">
        <v>0</v>
      </c>
      <c r="AE186" s="11">
        <f t="shared" si="38"/>
        <v>0</v>
      </c>
    </row>
    <row r="187" spans="2:31">
      <c r="B187" s="22" t="s">
        <v>31</v>
      </c>
      <c r="C187" s="11">
        <v>0</v>
      </c>
      <c r="D187" s="11">
        <v>0</v>
      </c>
      <c r="E187" s="11">
        <v>0</v>
      </c>
      <c r="F187" s="11">
        <v>0</v>
      </c>
      <c r="G187" s="11">
        <v>0</v>
      </c>
      <c r="H187" s="11"/>
      <c r="I187" s="11"/>
      <c r="J187" s="11"/>
      <c r="K187" s="11"/>
      <c r="L187" s="11"/>
      <c r="M187" s="11"/>
      <c r="N187" s="11"/>
      <c r="O187" s="11">
        <v>0</v>
      </c>
      <c r="P187" s="11">
        <v>0</v>
      </c>
      <c r="Q187" s="11">
        <v>0</v>
      </c>
      <c r="R187" s="11">
        <v>0</v>
      </c>
      <c r="S187" s="11">
        <f t="shared" si="37"/>
        <v>0</v>
      </c>
      <c r="U187" s="22" t="s">
        <v>31</v>
      </c>
      <c r="V187" s="11">
        <v>0</v>
      </c>
      <c r="W187" s="11">
        <v>0</v>
      </c>
      <c r="X187" s="11">
        <v>0</v>
      </c>
      <c r="Y187" s="11">
        <v>0</v>
      </c>
      <c r="Z187" s="11">
        <v>0</v>
      </c>
      <c r="AA187" s="11">
        <v>0</v>
      </c>
      <c r="AB187" s="11">
        <v>0</v>
      </c>
      <c r="AC187" s="11">
        <v>0</v>
      </c>
      <c r="AD187" s="11">
        <v>0</v>
      </c>
      <c r="AE187" s="11">
        <f t="shared" si="38"/>
        <v>0</v>
      </c>
    </row>
    <row r="188" spans="2:31">
      <c r="B188" s="22" t="s">
        <v>32</v>
      </c>
      <c r="C188" s="11">
        <v>0</v>
      </c>
      <c r="D188" s="11">
        <v>0</v>
      </c>
      <c r="E188" s="23">
        <v>0</v>
      </c>
      <c r="F188" s="11">
        <v>0</v>
      </c>
      <c r="G188" s="11">
        <v>0</v>
      </c>
      <c r="H188" s="11"/>
      <c r="I188" s="11"/>
      <c r="J188" s="11"/>
      <c r="K188" s="11"/>
      <c r="L188" s="11"/>
      <c r="M188" s="11"/>
      <c r="N188" s="11"/>
      <c r="O188" s="11">
        <v>0</v>
      </c>
      <c r="P188" s="11">
        <v>0</v>
      </c>
      <c r="Q188" s="11">
        <v>0</v>
      </c>
      <c r="R188" s="11">
        <v>0</v>
      </c>
      <c r="S188" s="11">
        <f t="shared" si="37"/>
        <v>0</v>
      </c>
      <c r="U188" s="22" t="s">
        <v>32</v>
      </c>
      <c r="V188" s="11">
        <v>0</v>
      </c>
      <c r="W188" s="11">
        <v>0</v>
      </c>
      <c r="X188" s="23">
        <v>0</v>
      </c>
      <c r="Y188" s="11">
        <v>0</v>
      </c>
      <c r="Z188" s="11">
        <v>0</v>
      </c>
      <c r="AA188" s="11">
        <v>0</v>
      </c>
      <c r="AB188" s="11">
        <v>0</v>
      </c>
      <c r="AC188" s="11">
        <v>0</v>
      </c>
      <c r="AD188" s="11">
        <v>0</v>
      </c>
      <c r="AE188" s="11">
        <f t="shared" si="38"/>
        <v>0</v>
      </c>
    </row>
    <row r="189" spans="2:31">
      <c r="B189" s="24" t="s">
        <v>33</v>
      </c>
      <c r="C189" s="15">
        <f>C180+C185+C184+C186+C187+C188</f>
        <v>0</v>
      </c>
      <c r="D189" s="15">
        <f t="shared" ref="D189:R189" si="39">D180+D185+D184+D186+D187+D188</f>
        <v>0</v>
      </c>
      <c r="E189" s="15">
        <f t="shared" si="39"/>
        <v>0</v>
      </c>
      <c r="F189" s="15">
        <f t="shared" si="39"/>
        <v>0</v>
      </c>
      <c r="G189" s="15">
        <f t="shared" si="39"/>
        <v>0</v>
      </c>
      <c r="H189" s="15">
        <f t="shared" si="39"/>
        <v>0</v>
      </c>
      <c r="I189" s="15">
        <f t="shared" si="39"/>
        <v>0</v>
      </c>
      <c r="J189" s="15">
        <f t="shared" si="39"/>
        <v>0</v>
      </c>
      <c r="K189" s="15">
        <f t="shared" si="39"/>
        <v>0</v>
      </c>
      <c r="L189" s="15">
        <f t="shared" si="39"/>
        <v>0</v>
      </c>
      <c r="M189" s="15">
        <f t="shared" si="39"/>
        <v>0</v>
      </c>
      <c r="N189" s="15">
        <f t="shared" si="39"/>
        <v>0</v>
      </c>
      <c r="O189" s="15">
        <f t="shared" si="39"/>
        <v>0</v>
      </c>
      <c r="P189" s="15">
        <f t="shared" si="39"/>
        <v>0</v>
      </c>
      <c r="Q189" s="15">
        <f t="shared" si="39"/>
        <v>0</v>
      </c>
      <c r="R189" s="15">
        <f t="shared" si="39"/>
        <v>0</v>
      </c>
      <c r="S189" s="15">
        <f t="shared" si="37"/>
        <v>0</v>
      </c>
      <c r="U189" s="24" t="s">
        <v>33</v>
      </c>
      <c r="V189" s="15">
        <f>V180+V184+V185+V186+V187+V188</f>
        <v>0</v>
      </c>
      <c r="W189" s="15">
        <f t="shared" ref="W189:AD189" si="40">W180+W184+W185+W186+W187+W188</f>
        <v>0</v>
      </c>
      <c r="X189" s="15">
        <f t="shared" si="40"/>
        <v>0</v>
      </c>
      <c r="Y189" s="15">
        <f t="shared" si="40"/>
        <v>0</v>
      </c>
      <c r="Z189" s="15">
        <f t="shared" si="40"/>
        <v>0</v>
      </c>
      <c r="AA189" s="15">
        <f t="shared" si="40"/>
        <v>0</v>
      </c>
      <c r="AB189" s="15">
        <f t="shared" si="40"/>
        <v>0</v>
      </c>
      <c r="AC189" s="15">
        <f t="shared" si="40"/>
        <v>0</v>
      </c>
      <c r="AD189" s="15">
        <f t="shared" si="40"/>
        <v>0</v>
      </c>
      <c r="AE189" s="15">
        <f>SUM(V189:AD189)</f>
        <v>0</v>
      </c>
    </row>
    <row r="190" spans="2:31">
      <c r="B190" s="22" t="s">
        <v>34</v>
      </c>
      <c r="C190" s="11">
        <v>0</v>
      </c>
      <c r="D190" s="11">
        <v>0</v>
      </c>
      <c r="E190" s="11">
        <v>0</v>
      </c>
      <c r="F190" s="11">
        <v>0</v>
      </c>
      <c r="G190" s="11">
        <v>0</v>
      </c>
      <c r="H190" s="11"/>
      <c r="I190" s="11"/>
      <c r="J190" s="11"/>
      <c r="K190" s="11"/>
      <c r="L190" s="11"/>
      <c r="M190" s="11"/>
      <c r="N190" s="11"/>
      <c r="O190" s="11">
        <v>0</v>
      </c>
      <c r="P190" s="11">
        <v>0</v>
      </c>
      <c r="Q190" s="11">
        <v>0</v>
      </c>
      <c r="R190" s="11">
        <v>0</v>
      </c>
      <c r="S190" s="11">
        <f t="shared" ref="S190:S197" si="41">SUM(C190:R190)</f>
        <v>0</v>
      </c>
      <c r="U190" s="22" t="s">
        <v>34</v>
      </c>
      <c r="V190" s="11">
        <v>0</v>
      </c>
      <c r="W190" s="11">
        <v>0</v>
      </c>
      <c r="X190" s="11">
        <v>0</v>
      </c>
      <c r="Y190" s="11">
        <v>0</v>
      </c>
      <c r="Z190" s="11">
        <v>0</v>
      </c>
      <c r="AA190" s="11">
        <v>0</v>
      </c>
      <c r="AB190" s="11">
        <v>0</v>
      </c>
      <c r="AC190" s="11">
        <v>0</v>
      </c>
      <c r="AD190" s="11">
        <v>0</v>
      </c>
      <c r="AE190" s="11">
        <f t="shared" ref="AE190:AE197" si="42">SUM(V190:AD190)</f>
        <v>0</v>
      </c>
    </row>
    <row r="191" spans="2:31">
      <c r="B191" s="22" t="s">
        <v>35</v>
      </c>
      <c r="C191" s="11">
        <f>(P191-Q191)*$X$48*('Prod Energie'!G32)</f>
        <v>0</v>
      </c>
      <c r="D191" s="11">
        <v>0</v>
      </c>
      <c r="E191" s="11">
        <f>(P191-Q191)*$X$48*('Prod Energie'!G33)</f>
        <v>0</v>
      </c>
      <c r="F191" s="11">
        <v>0</v>
      </c>
      <c r="G191" s="11">
        <f>(P191-Q191)*$X$48*('Prod Energie'!G40+'Prod Energie'!D39)</f>
        <v>1206.7178535516539</v>
      </c>
      <c r="H191" s="11"/>
      <c r="I191" s="11"/>
      <c r="J191" s="11"/>
      <c r="K191" s="11"/>
      <c r="L191" s="11"/>
      <c r="M191" s="11"/>
      <c r="N191" s="11"/>
      <c r="O191" s="11">
        <f>(P191-Q191)*$X$48*('Prod Energie'!G38)</f>
        <v>3173.7760863738722</v>
      </c>
      <c r="P191" s="11">
        <f>P196/(1+$P$48+$Q$48)</f>
        <v>-4008.1958242566679</v>
      </c>
      <c r="Q191" s="11">
        <f>Q196/(1+$D$48)</f>
        <v>-589.10462626283459</v>
      </c>
      <c r="R191" s="11">
        <v>0</v>
      </c>
      <c r="S191" s="11">
        <f t="shared" si="41"/>
        <v>-216.80651059397621</v>
      </c>
      <c r="U191" s="22" t="s">
        <v>35</v>
      </c>
      <c r="V191" s="11">
        <f>(AB191-AC191)*$X$48*('Prod Energie'!G53)</f>
        <v>0</v>
      </c>
      <c r="W191" s="11">
        <v>0</v>
      </c>
      <c r="X191" s="11">
        <f>(AB191-AC191)*$X$48*('Prod Energie'!G54)</f>
        <v>0</v>
      </c>
      <c r="Y191" s="11">
        <v>0</v>
      </c>
      <c r="Z191" s="11">
        <f>(AB191-AC191)*$X$48*('Prod Energie'!G61+'Prod Energie'!D60)</f>
        <v>1147.3356420266593</v>
      </c>
      <c r="AA191" s="11">
        <f>(AB191-AC191)*$X$48*('Prod Energie'!G59)</f>
        <v>2637.786742796955</v>
      </c>
      <c r="AB191" s="11">
        <f>AB196/(1+$P$48+$Q$48)</f>
        <v>-3760.9695466058188</v>
      </c>
      <c r="AC191" s="11">
        <f>AC196/(1+$D$48)</f>
        <v>-589.10462626283459</v>
      </c>
      <c r="AD191" s="11">
        <v>0</v>
      </c>
      <c r="AE191" s="11">
        <f t="shared" si="42"/>
        <v>-564.95178804503928</v>
      </c>
    </row>
    <row r="192" spans="2:31">
      <c r="B192" s="22" t="s">
        <v>36</v>
      </c>
      <c r="C192" s="11">
        <v>0</v>
      </c>
      <c r="D192" s="11">
        <v>0</v>
      </c>
      <c r="E192" s="11">
        <v>0</v>
      </c>
      <c r="F192" s="11">
        <v>0</v>
      </c>
      <c r="G192" s="11">
        <v>0</v>
      </c>
      <c r="H192" s="11"/>
      <c r="I192" s="11"/>
      <c r="J192" s="11"/>
      <c r="K192" s="11"/>
      <c r="L192" s="11"/>
      <c r="M192" s="11"/>
      <c r="N192" s="11"/>
      <c r="O192" s="11">
        <v>0</v>
      </c>
      <c r="P192" s="11">
        <v>0</v>
      </c>
      <c r="Q192" s="11">
        <v>0</v>
      </c>
      <c r="R192" s="11">
        <v>0</v>
      </c>
      <c r="S192" s="11">
        <f t="shared" si="41"/>
        <v>0</v>
      </c>
      <c r="U192" s="22" t="s">
        <v>36</v>
      </c>
      <c r="V192" s="11">
        <v>0</v>
      </c>
      <c r="W192" s="11">
        <v>0</v>
      </c>
      <c r="X192" s="11">
        <v>0</v>
      </c>
      <c r="Y192" s="11">
        <v>0</v>
      </c>
      <c r="Z192" s="11">
        <v>0</v>
      </c>
      <c r="AA192" s="11">
        <v>0</v>
      </c>
      <c r="AB192" s="11">
        <v>0</v>
      </c>
      <c r="AC192" s="11">
        <v>0</v>
      </c>
      <c r="AD192" s="11">
        <v>0</v>
      </c>
      <c r="AE192" s="11">
        <f t="shared" si="42"/>
        <v>0</v>
      </c>
    </row>
    <row r="193" spans="2:32">
      <c r="B193" s="22" t="s">
        <v>37</v>
      </c>
      <c r="C193" s="11">
        <v>0</v>
      </c>
      <c r="D193" s="11">
        <v>0</v>
      </c>
      <c r="E193" s="11">
        <v>0</v>
      </c>
      <c r="F193" s="11">
        <v>0</v>
      </c>
      <c r="G193" s="11">
        <v>0</v>
      </c>
      <c r="H193" s="11"/>
      <c r="I193" s="11"/>
      <c r="J193" s="11"/>
      <c r="K193" s="11"/>
      <c r="L193" s="11"/>
      <c r="M193" s="11"/>
      <c r="N193" s="11"/>
      <c r="O193" s="11">
        <v>0</v>
      </c>
      <c r="P193" s="11">
        <v>0</v>
      </c>
      <c r="Q193" s="11">
        <v>0</v>
      </c>
      <c r="R193" s="11">
        <v>0</v>
      </c>
      <c r="S193" s="11">
        <f t="shared" si="41"/>
        <v>0</v>
      </c>
      <c r="U193" s="22" t="s">
        <v>37</v>
      </c>
      <c r="V193" s="11">
        <v>0</v>
      </c>
      <c r="W193" s="11">
        <v>0</v>
      </c>
      <c r="X193" s="11">
        <v>0</v>
      </c>
      <c r="Y193" s="11">
        <v>0</v>
      </c>
      <c r="Z193" s="11">
        <v>0</v>
      </c>
      <c r="AA193" s="11">
        <v>0</v>
      </c>
      <c r="AB193" s="11">
        <v>0</v>
      </c>
      <c r="AC193" s="11">
        <v>0</v>
      </c>
      <c r="AD193" s="11">
        <v>0</v>
      </c>
      <c r="AE193" s="11">
        <f t="shared" si="42"/>
        <v>0</v>
      </c>
    </row>
    <row r="194" spans="2:32">
      <c r="B194" s="22" t="s">
        <v>38</v>
      </c>
      <c r="C194" s="11">
        <v>0</v>
      </c>
      <c r="D194" s="11">
        <v>0</v>
      </c>
      <c r="E194" s="11">
        <v>0</v>
      </c>
      <c r="F194" s="11">
        <v>0</v>
      </c>
      <c r="G194" s="11">
        <v>0</v>
      </c>
      <c r="H194" s="11"/>
      <c r="I194" s="11"/>
      <c r="J194" s="11"/>
      <c r="K194" s="11"/>
      <c r="L194" s="11"/>
      <c r="M194" s="11"/>
      <c r="N194" s="11"/>
      <c r="O194" s="11">
        <v>0</v>
      </c>
      <c r="P194" s="11">
        <f>P191*$P$48</f>
        <v>47.863054644159689</v>
      </c>
      <c r="Q194" s="11">
        <v>0</v>
      </c>
      <c r="R194" s="11">
        <v>0</v>
      </c>
      <c r="S194" s="11">
        <f t="shared" si="41"/>
        <v>47.863054644159689</v>
      </c>
      <c r="U194" s="22" t="s">
        <v>38</v>
      </c>
      <c r="V194" s="11">
        <v>0</v>
      </c>
      <c r="W194" s="11">
        <v>0</v>
      </c>
      <c r="X194" s="11">
        <v>0</v>
      </c>
      <c r="Y194" s="11">
        <v>0</v>
      </c>
      <c r="Z194" s="11">
        <v>0</v>
      </c>
      <c r="AA194" s="11">
        <v>0</v>
      </c>
      <c r="AB194" s="11">
        <f>AB191*$P$48</f>
        <v>44.910852367747893</v>
      </c>
      <c r="AC194" s="11">
        <v>0</v>
      </c>
      <c r="AD194" s="11">
        <v>0</v>
      </c>
      <c r="AE194" s="11">
        <f t="shared" si="42"/>
        <v>44.910852367747893</v>
      </c>
    </row>
    <row r="195" spans="2:32">
      <c r="B195" s="22" t="s">
        <v>39</v>
      </c>
      <c r="C195" s="11">
        <v>0</v>
      </c>
      <c r="D195" s="11">
        <v>0</v>
      </c>
      <c r="E195" s="11">
        <v>0</v>
      </c>
      <c r="F195" s="11">
        <v>0</v>
      </c>
      <c r="G195" s="11">
        <v>0</v>
      </c>
      <c r="H195" s="11"/>
      <c r="I195" s="11"/>
      <c r="J195" s="11"/>
      <c r="K195" s="11"/>
      <c r="L195" s="11"/>
      <c r="M195" s="11"/>
      <c r="N195" s="11"/>
      <c r="O195" s="11">
        <v>0</v>
      </c>
      <c r="P195" s="11">
        <f>P191*$Q$48</f>
        <v>256.3389266932204</v>
      </c>
      <c r="Q195" s="11">
        <f>Q191*$D$48</f>
        <v>49.818573045482843</v>
      </c>
      <c r="R195" s="11">
        <v>0</v>
      </c>
      <c r="S195" s="11">
        <f t="shared" si="41"/>
        <v>306.15749973870322</v>
      </c>
      <c r="U195" s="22" t="s">
        <v>39</v>
      </c>
      <c r="V195" s="11">
        <v>0</v>
      </c>
      <c r="W195" s="11">
        <v>0</v>
      </c>
      <c r="X195" s="11">
        <v>0</v>
      </c>
      <c r="Y195" s="11">
        <v>0</v>
      </c>
      <c r="Z195" s="11">
        <v>0</v>
      </c>
      <c r="AA195" s="11">
        <v>0</v>
      </c>
      <c r="AB195" s="11">
        <f>AB191*$Q$48</f>
        <v>240.52789314045441</v>
      </c>
      <c r="AC195" s="11">
        <f>AC191*$D$48</f>
        <v>49.818573045482843</v>
      </c>
      <c r="AD195" s="11">
        <v>0</v>
      </c>
      <c r="AE195" s="11">
        <f t="shared" si="42"/>
        <v>290.34646618593723</v>
      </c>
    </row>
    <row r="196" spans="2:32">
      <c r="B196" s="24" t="s">
        <v>40</v>
      </c>
      <c r="C196" s="15">
        <f t="shared" ref="C196:O196" si="43">SUM(C190:C195)</f>
        <v>0</v>
      </c>
      <c r="D196" s="15">
        <f t="shared" si="43"/>
        <v>0</v>
      </c>
      <c r="E196" s="15">
        <f t="shared" si="43"/>
        <v>0</v>
      </c>
      <c r="F196" s="15">
        <f t="shared" si="43"/>
        <v>0</v>
      </c>
      <c r="G196" s="15">
        <f t="shared" si="43"/>
        <v>1206.7178535516539</v>
      </c>
      <c r="H196" s="15"/>
      <c r="I196" s="15"/>
      <c r="J196" s="15"/>
      <c r="K196" s="15"/>
      <c r="L196" s="15"/>
      <c r="M196" s="15"/>
      <c r="N196" s="15"/>
      <c r="O196" s="15">
        <f t="shared" si="43"/>
        <v>3173.7760863738722</v>
      </c>
      <c r="P196" s="15">
        <f>-P204</f>
        <v>-3703.993842919288</v>
      </c>
      <c r="Q196" s="15">
        <f>-Q204</f>
        <v>-539.28605321735176</v>
      </c>
      <c r="R196" s="15">
        <v>0</v>
      </c>
      <c r="S196" s="15">
        <f t="shared" si="41"/>
        <v>137.21404378888656</v>
      </c>
      <c r="U196" s="24" t="s">
        <v>40</v>
      </c>
      <c r="V196" s="15">
        <f t="shared" ref="V196:AA196" si="44">SUM(V190:V195)</f>
        <v>0</v>
      </c>
      <c r="W196" s="15">
        <f t="shared" si="44"/>
        <v>0</v>
      </c>
      <c r="X196" s="15">
        <f t="shared" si="44"/>
        <v>0</v>
      </c>
      <c r="Y196" s="15">
        <f t="shared" si="44"/>
        <v>0</v>
      </c>
      <c r="Z196" s="15">
        <f t="shared" si="44"/>
        <v>1147.3356420266593</v>
      </c>
      <c r="AA196" s="15">
        <f t="shared" si="44"/>
        <v>2637.786742796955</v>
      </c>
      <c r="AB196" s="15">
        <f>-AB204</f>
        <v>-3475.5308010976164</v>
      </c>
      <c r="AC196" s="15">
        <f>-AC204</f>
        <v>-539.28605321735176</v>
      </c>
      <c r="AD196" s="15">
        <v>0</v>
      </c>
      <c r="AE196" s="15">
        <f t="shared" si="42"/>
        <v>-229.69446949135408</v>
      </c>
    </row>
    <row r="197" spans="2:32">
      <c r="B197" s="22" t="s">
        <v>41</v>
      </c>
      <c r="C197" s="11">
        <v>0</v>
      </c>
      <c r="D197" s="11">
        <v>0</v>
      </c>
      <c r="E197" s="11">
        <f>Industrie!G35</f>
        <v>333.2473398251438</v>
      </c>
      <c r="F197" s="11">
        <v>0</v>
      </c>
      <c r="G197" s="11">
        <v>0</v>
      </c>
      <c r="H197" s="11"/>
      <c r="I197" s="11"/>
      <c r="J197" s="11"/>
      <c r="K197" s="11"/>
      <c r="L197" s="11"/>
      <c r="M197" s="11"/>
      <c r="N197" s="11"/>
      <c r="O197" s="11">
        <f>Industrie!H38</f>
        <v>36.10892532829655</v>
      </c>
      <c r="P197" s="11">
        <f>Industrie!G36</f>
        <v>355.15633448492832</v>
      </c>
      <c r="Q197" s="11">
        <f>Industrie!G39</f>
        <v>539.28605321735176</v>
      </c>
      <c r="R197" s="11">
        <v>0</v>
      </c>
      <c r="S197" s="11">
        <f t="shared" si="41"/>
        <v>1263.7986528557203</v>
      </c>
      <c r="U197" s="22" t="s">
        <v>41</v>
      </c>
      <c r="V197" s="11">
        <v>0</v>
      </c>
      <c r="W197" s="11">
        <v>0</v>
      </c>
      <c r="X197" s="11">
        <f>Industrie!G56</f>
        <v>77.260265616387244</v>
      </c>
      <c r="Y197" s="11">
        <v>0</v>
      </c>
      <c r="Z197" s="11">
        <v>0</v>
      </c>
      <c r="AA197" s="11">
        <f>Industrie!G62</f>
        <v>150.52344771376858</v>
      </c>
      <c r="AB197" s="11">
        <f>Industrie!G57</f>
        <v>420.10799211726101</v>
      </c>
      <c r="AC197" s="11">
        <f>Industrie!G63</f>
        <v>539.28605321735176</v>
      </c>
      <c r="AD197" s="11">
        <v>0</v>
      </c>
      <c r="AE197" s="11">
        <f t="shared" si="42"/>
        <v>1187.1777586647686</v>
      </c>
      <c r="AF197" s="27">
        <f t="shared" ref="AF197:AF202" si="45">SUM(V197:AD197)</f>
        <v>1187.1777586647686</v>
      </c>
    </row>
    <row r="198" spans="2:32">
      <c r="B198" s="22" t="s">
        <v>42</v>
      </c>
      <c r="C198" s="11">
        <v>0</v>
      </c>
      <c r="D198" s="11">
        <v>0</v>
      </c>
      <c r="E198" s="11">
        <f>Transports!I44</f>
        <v>3446.147310036411</v>
      </c>
      <c r="F198" s="11">
        <v>0</v>
      </c>
      <c r="G198" s="11">
        <v>0</v>
      </c>
      <c r="H198" s="11"/>
      <c r="I198" s="11"/>
      <c r="J198" s="11"/>
      <c r="K198" s="11"/>
      <c r="L198" s="11"/>
      <c r="M198" s="11"/>
      <c r="N198" s="11"/>
      <c r="O198" s="11">
        <v>0</v>
      </c>
      <c r="P198" s="11">
        <f>Transports!I45</f>
        <v>507.87096767845344</v>
      </c>
      <c r="Q198" s="11">
        <v>0</v>
      </c>
      <c r="R198" s="11">
        <v>0</v>
      </c>
      <c r="S198" s="11">
        <f>Transports!I46</f>
        <v>3954.0182777148643</v>
      </c>
      <c r="U198" s="22" t="s">
        <v>42</v>
      </c>
      <c r="V198" s="11">
        <v>0</v>
      </c>
      <c r="W198" s="11">
        <v>0</v>
      </c>
      <c r="X198" s="11">
        <f>Transports!I71</f>
        <v>1820.8727723067036</v>
      </c>
      <c r="Y198" s="11">
        <v>0</v>
      </c>
      <c r="Z198" s="11">
        <v>0</v>
      </c>
      <c r="AA198" s="11">
        <v>0</v>
      </c>
      <c r="AB198" s="11">
        <f>Transports!I72</f>
        <v>1105.9498585699062</v>
      </c>
      <c r="AC198" s="11">
        <v>0</v>
      </c>
      <c r="AD198" s="11">
        <v>0</v>
      </c>
      <c r="AE198" s="11">
        <f>Transports!I73</f>
        <v>2926.8226308766098</v>
      </c>
      <c r="AF198" s="27">
        <f t="shared" si="45"/>
        <v>2926.8226308766098</v>
      </c>
    </row>
    <row r="199" spans="2:32">
      <c r="B199" s="22" t="s">
        <v>43</v>
      </c>
      <c r="C199" s="11">
        <v>0</v>
      </c>
      <c r="D199" s="11">
        <v>0</v>
      </c>
      <c r="E199" s="11">
        <f>'Résidentiel-tertiaire'!G163</f>
        <v>112.15159027012658</v>
      </c>
      <c r="F199" s="11">
        <v>0</v>
      </c>
      <c r="G199" s="11">
        <v>0</v>
      </c>
      <c r="H199" s="11"/>
      <c r="I199" s="11"/>
      <c r="J199" s="11"/>
      <c r="K199" s="11"/>
      <c r="L199" s="11"/>
      <c r="M199" s="11"/>
      <c r="N199" s="11"/>
      <c r="O199" s="11">
        <f>'Résidentiel-tertiaire'!G164</f>
        <v>771.65170261945775</v>
      </c>
      <c r="P199" s="11">
        <f>'Résidentiel-tertiaire'!G165</f>
        <v>1499.4180003506053</v>
      </c>
      <c r="Q199" s="11">
        <v>0</v>
      </c>
      <c r="R199" s="11">
        <v>0</v>
      </c>
      <c r="S199" s="11">
        <f>SUM(C199:R199)</f>
        <v>2383.2212932401899</v>
      </c>
      <c r="U199" s="22" t="s">
        <v>43</v>
      </c>
      <c r="V199" s="11">
        <v>0</v>
      </c>
      <c r="W199" s="11">
        <v>0</v>
      </c>
      <c r="X199" s="11">
        <f>'Résidentiel-tertiaire'!G177</f>
        <v>43.666666666666686</v>
      </c>
      <c r="Y199" s="11">
        <v>0</v>
      </c>
      <c r="Z199" s="11">
        <v>0</v>
      </c>
      <c r="AA199" s="11">
        <f>'Résidentiel-tertiaire'!G178</f>
        <v>521.3018774991574</v>
      </c>
      <c r="AB199" s="11">
        <f>'Résidentiel-tertiaire'!G179</f>
        <v>971.3250055457072</v>
      </c>
      <c r="AC199" s="11">
        <v>0</v>
      </c>
      <c r="AD199" s="11">
        <v>0</v>
      </c>
      <c r="AE199" s="11">
        <f>SUM(V199:AD199)</f>
        <v>1536.2935497115313</v>
      </c>
      <c r="AF199" s="27">
        <f t="shared" si="45"/>
        <v>1536.2935497115313</v>
      </c>
    </row>
    <row r="200" spans="2:32">
      <c r="B200" s="22" t="s">
        <v>44</v>
      </c>
      <c r="C200" s="11">
        <v>0</v>
      </c>
      <c r="D200" s="11">
        <v>0</v>
      </c>
      <c r="E200" s="11">
        <f>'Résidentiel-tertiaire'!G168</f>
        <v>370.59471534821949</v>
      </c>
      <c r="F200" s="11">
        <v>0</v>
      </c>
      <c r="G200" s="11">
        <v>0</v>
      </c>
      <c r="H200" s="11"/>
      <c r="I200" s="11"/>
      <c r="J200" s="11"/>
      <c r="K200" s="11"/>
      <c r="L200" s="11"/>
      <c r="M200" s="11"/>
      <c r="N200" s="11"/>
      <c r="O200" s="11">
        <f>'Résidentiel-tertiaire'!G169</f>
        <v>1.1128970430877463</v>
      </c>
      <c r="P200" s="11">
        <f>'Résidentiel-tertiaire'!G170</f>
        <v>1321.0087901451548</v>
      </c>
      <c r="Q200" s="11">
        <v>0</v>
      </c>
      <c r="R200" s="11">
        <v>0</v>
      </c>
      <c r="S200" s="11">
        <f>SUM(C200:R200)</f>
        <v>1692.7164025364621</v>
      </c>
      <c r="U200" s="22" t="s">
        <v>44</v>
      </c>
      <c r="V200" s="11">
        <v>0</v>
      </c>
      <c r="W200" s="11">
        <v>0</v>
      </c>
      <c r="X200" s="11">
        <f>'Résidentiel-tertiaire'!G182</f>
        <v>93.333333333333371</v>
      </c>
      <c r="Y200" s="11">
        <v>0</v>
      </c>
      <c r="Z200" s="11">
        <v>0</v>
      </c>
      <c r="AA200" s="11">
        <f>'Résidentiel-tertiaire'!G183</f>
        <v>0.74956124540544988</v>
      </c>
      <c r="AB200" s="11">
        <f>'Résidentiel-tertiaire'!G184</f>
        <v>970.29407389699998</v>
      </c>
      <c r="AC200" s="11">
        <v>0</v>
      </c>
      <c r="AD200" s="11">
        <v>0</v>
      </c>
      <c r="AE200" s="11">
        <f>SUM(V200:AD200)</f>
        <v>1064.3769684757387</v>
      </c>
      <c r="AF200" s="27">
        <f t="shared" si="45"/>
        <v>1064.3769684757387</v>
      </c>
    </row>
    <row r="201" spans="2:32">
      <c r="B201" s="22" t="s">
        <v>4</v>
      </c>
      <c r="C201" s="11">
        <v>0</v>
      </c>
      <c r="D201" s="11">
        <v>0</v>
      </c>
      <c r="E201" s="11">
        <f>Agriculture!S27</f>
        <v>104.75272632674297</v>
      </c>
      <c r="F201" s="11">
        <v>0</v>
      </c>
      <c r="G201" s="11">
        <v>0</v>
      </c>
      <c r="H201" s="11"/>
      <c r="I201" s="11"/>
      <c r="J201" s="11"/>
      <c r="K201" s="11"/>
      <c r="L201" s="11"/>
      <c r="M201" s="11"/>
      <c r="N201" s="11"/>
      <c r="O201" s="11">
        <v>0</v>
      </c>
      <c r="P201" s="11">
        <f>Agriculture!S28</f>
        <v>20.539750260145681</v>
      </c>
      <c r="Q201" s="11">
        <v>0</v>
      </c>
      <c r="R201" s="11">
        <v>0</v>
      </c>
      <c r="S201" s="11">
        <f>SUM(C201:R201)</f>
        <v>125.29247658688865</v>
      </c>
      <c r="U201" s="22" t="s">
        <v>4</v>
      </c>
      <c r="V201" s="11">
        <v>0</v>
      </c>
      <c r="W201" s="11">
        <v>0</v>
      </c>
      <c r="X201" s="11">
        <f>Agriculture!Y43</f>
        <v>32.903225806451616</v>
      </c>
      <c r="Y201" s="11">
        <v>0</v>
      </c>
      <c r="Z201" s="11">
        <v>0</v>
      </c>
      <c r="AA201" s="11">
        <f>Agriculture!Y45</f>
        <v>64.363645161290322</v>
      </c>
      <c r="AB201" s="11">
        <f>Agriculture!Y44</f>
        <v>7.8538709677419369</v>
      </c>
      <c r="AC201" s="11">
        <v>0</v>
      </c>
      <c r="AD201" s="11">
        <v>0</v>
      </c>
      <c r="AE201" s="11">
        <f>SUM(V201:AD201)</f>
        <v>105.12074193548388</v>
      </c>
      <c r="AF201" s="27">
        <f t="shared" si="45"/>
        <v>105.12074193548388</v>
      </c>
    </row>
    <row r="202" spans="2:32">
      <c r="B202" s="26" t="s">
        <v>45</v>
      </c>
      <c r="C202" s="19">
        <v>0</v>
      </c>
      <c r="D202" s="19">
        <v>0</v>
      </c>
      <c r="E202" s="19">
        <f t="shared" ref="E202:S202" si="46">SUM(E197:E201)</f>
        <v>4366.8936818066441</v>
      </c>
      <c r="F202" s="19">
        <f t="shared" si="46"/>
        <v>0</v>
      </c>
      <c r="G202" s="19">
        <f t="shared" si="46"/>
        <v>0</v>
      </c>
      <c r="H202" s="19"/>
      <c r="I202" s="19"/>
      <c r="J202" s="19"/>
      <c r="K202" s="19"/>
      <c r="L202" s="19"/>
      <c r="M202" s="19"/>
      <c r="N202" s="19"/>
      <c r="O202" s="19">
        <f t="shared" si="46"/>
        <v>808.87352499084204</v>
      </c>
      <c r="P202" s="19">
        <f t="shared" si="46"/>
        <v>3703.993842919288</v>
      </c>
      <c r="Q202" s="19">
        <f t="shared" si="46"/>
        <v>539.28605321735176</v>
      </c>
      <c r="R202" s="19">
        <f t="shared" si="46"/>
        <v>0</v>
      </c>
      <c r="S202" s="19">
        <f t="shared" si="46"/>
        <v>9419.0471029341261</v>
      </c>
      <c r="U202" s="26" t="s">
        <v>45</v>
      </c>
      <c r="V202" s="19">
        <v>0</v>
      </c>
      <c r="W202" s="19">
        <v>0</v>
      </c>
      <c r="X202" s="19">
        <f t="shared" ref="X202:AE202" si="47">SUM(X197:X201)</f>
        <v>2068.0362637295425</v>
      </c>
      <c r="Y202" s="19">
        <f t="shared" si="47"/>
        <v>0</v>
      </c>
      <c r="Z202" s="19">
        <f t="shared" si="47"/>
        <v>0</v>
      </c>
      <c r="AA202" s="19">
        <f t="shared" si="47"/>
        <v>736.9385316196217</v>
      </c>
      <c r="AB202" s="19">
        <f t="shared" si="47"/>
        <v>3475.5308010976164</v>
      </c>
      <c r="AC202" s="19">
        <f t="shared" si="47"/>
        <v>539.28605321735176</v>
      </c>
      <c r="AD202" s="19">
        <f t="shared" si="47"/>
        <v>0</v>
      </c>
      <c r="AE202" s="19">
        <f t="shared" si="47"/>
        <v>6819.7916496641328</v>
      </c>
      <c r="AF202" s="27">
        <f t="shared" si="45"/>
        <v>6819.7916496641328</v>
      </c>
    </row>
    <row r="203" spans="2:32">
      <c r="B203" s="26" t="s">
        <v>46</v>
      </c>
      <c r="C203" s="19">
        <v>0</v>
      </c>
      <c r="D203" s="19">
        <v>0</v>
      </c>
      <c r="E203" s="19">
        <f>Industrie!G37</f>
        <v>331.48775748222539</v>
      </c>
      <c r="F203" s="19">
        <v>0</v>
      </c>
      <c r="G203" s="19">
        <v>0</v>
      </c>
      <c r="H203" s="19"/>
      <c r="I203" s="19"/>
      <c r="J203" s="19"/>
      <c r="K203" s="19"/>
      <c r="L203" s="19"/>
      <c r="M203" s="19"/>
      <c r="N203" s="19"/>
      <c r="O203" s="19">
        <v>0</v>
      </c>
      <c r="P203" s="19">
        <v>0</v>
      </c>
      <c r="Q203" s="19">
        <v>0</v>
      </c>
      <c r="R203" s="19">
        <v>0</v>
      </c>
      <c r="S203" s="19">
        <f>SUM(C203:R203)</f>
        <v>331.48775748222539</v>
      </c>
      <c r="U203" s="26" t="s">
        <v>46</v>
      </c>
      <c r="V203" s="19">
        <v>0</v>
      </c>
      <c r="W203" s="19">
        <v>0</v>
      </c>
      <c r="X203" s="19">
        <f>Industrie!G59</f>
        <v>331.48775748222539</v>
      </c>
      <c r="Y203" s="19">
        <v>0</v>
      </c>
      <c r="Z203" s="19">
        <v>0</v>
      </c>
      <c r="AA203" s="19">
        <f>Industrie!G61</f>
        <v>110.49591916074179</v>
      </c>
      <c r="AB203" s="19">
        <v>0</v>
      </c>
      <c r="AC203" s="19">
        <v>0</v>
      </c>
      <c r="AD203" s="19">
        <v>0</v>
      </c>
      <c r="AE203" s="19">
        <f>SUM(V203:AD203)</f>
        <v>441.98367664296717</v>
      </c>
      <c r="AF203" s="27">
        <f>SUM(AF197:AF201)</f>
        <v>6819.7916496641328</v>
      </c>
    </row>
    <row r="204" spans="2:32">
      <c r="B204" s="24" t="s">
        <v>47</v>
      </c>
      <c r="C204" s="15">
        <v>0</v>
      </c>
      <c r="D204" s="15">
        <v>0</v>
      </c>
      <c r="E204" s="15">
        <f t="shared" ref="E204:S204" si="48">SUM(E202:E203)</f>
        <v>4698.3814392888698</v>
      </c>
      <c r="F204" s="15">
        <f t="shared" si="48"/>
        <v>0</v>
      </c>
      <c r="G204" s="15">
        <f t="shared" si="48"/>
        <v>0</v>
      </c>
      <c r="H204" s="15"/>
      <c r="I204" s="15"/>
      <c r="J204" s="15"/>
      <c r="K204" s="15"/>
      <c r="L204" s="15"/>
      <c r="M204" s="15"/>
      <c r="N204" s="15"/>
      <c r="O204" s="15">
        <f t="shared" si="48"/>
        <v>808.87352499084204</v>
      </c>
      <c r="P204" s="15">
        <f t="shared" si="48"/>
        <v>3703.993842919288</v>
      </c>
      <c r="Q204" s="15">
        <f t="shared" si="48"/>
        <v>539.28605321735176</v>
      </c>
      <c r="R204" s="15">
        <f t="shared" si="48"/>
        <v>0</v>
      </c>
      <c r="S204" s="15">
        <f t="shared" si="48"/>
        <v>9750.5348604163519</v>
      </c>
      <c r="T204" s="27">
        <f>SUM(C204:R204)</f>
        <v>9750.5348604163519</v>
      </c>
      <c r="U204" s="24" t="s">
        <v>47</v>
      </c>
      <c r="V204" s="15">
        <v>0</v>
      </c>
      <c r="W204" s="15">
        <v>0</v>
      </c>
      <c r="X204" s="15">
        <f t="shared" ref="X204:AE204" si="49">SUM(X202:X203)</f>
        <v>2399.5240212117678</v>
      </c>
      <c r="Y204" s="15">
        <f t="shared" si="49"/>
        <v>0</v>
      </c>
      <c r="Z204" s="15">
        <f t="shared" si="49"/>
        <v>0</v>
      </c>
      <c r="AA204" s="15">
        <f t="shared" si="49"/>
        <v>847.43445078036348</v>
      </c>
      <c r="AB204" s="15">
        <f t="shared" si="49"/>
        <v>3475.5308010976164</v>
      </c>
      <c r="AC204" s="15">
        <f t="shared" si="49"/>
        <v>539.28605321735176</v>
      </c>
      <c r="AD204" s="15">
        <f t="shared" si="49"/>
        <v>0</v>
      </c>
      <c r="AE204" s="15">
        <f t="shared" si="49"/>
        <v>7261.7753263070999</v>
      </c>
      <c r="AF204" s="28">
        <f>SUM(V204:AD204)</f>
        <v>7261.7753263070999</v>
      </c>
    </row>
    <row r="213" spans="2:31">
      <c r="C213" s="4" t="s">
        <v>54</v>
      </c>
      <c r="D213" s="4"/>
      <c r="E213" s="4"/>
      <c r="F213" s="4"/>
      <c r="G213" s="4"/>
      <c r="H213" s="4"/>
      <c r="I213" s="4"/>
      <c r="J213" s="4"/>
      <c r="K213" s="4"/>
      <c r="L213" s="4"/>
      <c r="M213" s="4"/>
      <c r="N213" s="4"/>
      <c r="O213" s="4"/>
      <c r="P213" s="4"/>
      <c r="Q213" s="4"/>
      <c r="R213" s="4"/>
      <c r="S213" s="4"/>
      <c r="T213" s="4"/>
      <c r="U213" s="4"/>
      <c r="V213" s="4" t="s">
        <v>54</v>
      </c>
      <c r="W213" s="4"/>
    </row>
    <row r="214" spans="2:31" ht="43.2">
      <c r="B214" s="20">
        <v>2045</v>
      </c>
      <c r="C214" s="7" t="s">
        <v>14</v>
      </c>
      <c r="D214" s="7" t="s">
        <v>15</v>
      </c>
      <c r="E214" s="7" t="s">
        <v>16</v>
      </c>
      <c r="F214" s="7" t="s">
        <v>17</v>
      </c>
      <c r="G214" s="7" t="s">
        <v>18</v>
      </c>
      <c r="H214" s="244"/>
      <c r="I214" s="244"/>
      <c r="J214" s="244"/>
      <c r="K214" s="244"/>
      <c r="L214" s="244"/>
      <c r="M214" s="244"/>
      <c r="N214" s="244"/>
      <c r="O214" s="7" t="s">
        <v>19</v>
      </c>
      <c r="P214" s="7" t="s">
        <v>20</v>
      </c>
      <c r="Q214" s="7" t="s">
        <v>21</v>
      </c>
      <c r="R214" s="7"/>
      <c r="S214" s="7" t="s">
        <v>23</v>
      </c>
      <c r="U214" s="21">
        <v>2045</v>
      </c>
      <c r="V214" s="7" t="s">
        <v>14</v>
      </c>
      <c r="W214" s="7" t="s">
        <v>15</v>
      </c>
      <c r="X214" s="7" t="s">
        <v>16</v>
      </c>
      <c r="Y214" s="7" t="s">
        <v>17</v>
      </c>
      <c r="Z214" s="7" t="s">
        <v>18</v>
      </c>
      <c r="AA214" s="7" t="s">
        <v>19</v>
      </c>
      <c r="AB214" s="7" t="s">
        <v>20</v>
      </c>
      <c r="AC214" s="7" t="s">
        <v>21</v>
      </c>
      <c r="AD214" s="7"/>
      <c r="AE214" s="7" t="s">
        <v>23</v>
      </c>
    </row>
    <row r="215" spans="2:31">
      <c r="B215" s="22" t="s">
        <v>24</v>
      </c>
      <c r="C215" s="11">
        <v>0</v>
      </c>
      <c r="D215" s="11">
        <v>0</v>
      </c>
      <c r="E215" s="11">
        <v>0</v>
      </c>
      <c r="F215" s="11">
        <v>0</v>
      </c>
      <c r="G215" s="11">
        <v>0</v>
      </c>
      <c r="H215" s="11"/>
      <c r="I215" s="11"/>
      <c r="J215" s="11"/>
      <c r="K215" s="11"/>
      <c r="L215" s="11"/>
      <c r="M215" s="11"/>
      <c r="N215" s="11"/>
      <c r="O215" s="11">
        <v>0</v>
      </c>
      <c r="P215" s="11">
        <v>0</v>
      </c>
      <c r="Q215" s="11">
        <v>0</v>
      </c>
      <c r="R215" s="11">
        <v>0</v>
      </c>
      <c r="S215" s="11">
        <f>SUM(C215:R215)</f>
        <v>0</v>
      </c>
      <c r="U215" s="22" t="s">
        <v>24</v>
      </c>
      <c r="V215" s="11">
        <v>0</v>
      </c>
      <c r="W215" s="11">
        <v>0</v>
      </c>
      <c r="X215" s="11">
        <v>0</v>
      </c>
      <c r="Y215" s="11">
        <v>0</v>
      </c>
      <c r="Z215" s="11">
        <v>0</v>
      </c>
      <c r="AA215" s="11">
        <v>0</v>
      </c>
      <c r="AB215" s="11">
        <v>0</v>
      </c>
      <c r="AC215" s="11">
        <v>0</v>
      </c>
      <c r="AD215" s="11">
        <v>0</v>
      </c>
      <c r="AE215" s="11">
        <f>SUM(V215:AD215)</f>
        <v>0</v>
      </c>
    </row>
    <row r="216" spans="2:31">
      <c r="B216" s="22" t="s">
        <v>25</v>
      </c>
      <c r="C216" s="11">
        <v>0</v>
      </c>
      <c r="D216" s="11">
        <v>0</v>
      </c>
      <c r="E216" s="11">
        <v>0</v>
      </c>
      <c r="F216" s="11">
        <v>0</v>
      </c>
      <c r="G216" s="11">
        <v>0</v>
      </c>
      <c r="H216" s="11"/>
      <c r="I216" s="11"/>
      <c r="J216" s="11"/>
      <c r="K216" s="11"/>
      <c r="L216" s="11"/>
      <c r="M216" s="11"/>
      <c r="N216" s="11"/>
      <c r="O216" s="11">
        <v>0</v>
      </c>
      <c r="P216" s="11">
        <v>0</v>
      </c>
      <c r="Q216" s="11">
        <v>0</v>
      </c>
      <c r="R216" s="11">
        <v>0</v>
      </c>
      <c r="S216" s="11">
        <f t="shared" ref="S216:S223" si="50">SUM(C216:R216)</f>
        <v>0</v>
      </c>
      <c r="U216" s="22" t="s">
        <v>25</v>
      </c>
      <c r="V216" s="11">
        <v>0</v>
      </c>
      <c r="W216" s="11">
        <v>0</v>
      </c>
      <c r="X216" s="11">
        <v>0</v>
      </c>
      <c r="Y216" s="11">
        <v>0</v>
      </c>
      <c r="Z216" s="11">
        <v>0</v>
      </c>
      <c r="AA216" s="11">
        <v>0</v>
      </c>
      <c r="AB216" s="11">
        <v>0</v>
      </c>
      <c r="AC216" s="11">
        <v>0</v>
      </c>
      <c r="AD216" s="11">
        <v>0</v>
      </c>
      <c r="AE216" s="11">
        <f t="shared" ref="AE216:AE223" si="51">SUM(V216:AD216)</f>
        <v>0</v>
      </c>
    </row>
    <row r="217" spans="2:31">
      <c r="B217" s="22" t="s">
        <v>26</v>
      </c>
      <c r="C217" s="11">
        <v>0</v>
      </c>
      <c r="D217" s="11">
        <v>0</v>
      </c>
      <c r="E217" s="11">
        <v>0</v>
      </c>
      <c r="F217" s="11">
        <v>0</v>
      </c>
      <c r="G217" s="11">
        <v>0</v>
      </c>
      <c r="H217" s="11"/>
      <c r="I217" s="11"/>
      <c r="J217" s="11"/>
      <c r="K217" s="11"/>
      <c r="L217" s="11"/>
      <c r="M217" s="11"/>
      <c r="N217" s="11"/>
      <c r="O217" s="11">
        <v>0</v>
      </c>
      <c r="P217" s="11">
        <v>0</v>
      </c>
      <c r="Q217" s="11">
        <v>0</v>
      </c>
      <c r="R217" s="11">
        <v>0</v>
      </c>
      <c r="S217" s="11">
        <f t="shared" si="50"/>
        <v>0</v>
      </c>
      <c r="U217" s="22" t="s">
        <v>26</v>
      </c>
      <c r="V217" s="11">
        <v>0</v>
      </c>
      <c r="W217" s="11">
        <v>0</v>
      </c>
      <c r="X217" s="11">
        <v>0</v>
      </c>
      <c r="Y217" s="11">
        <v>0</v>
      </c>
      <c r="Z217" s="11">
        <v>0</v>
      </c>
      <c r="AA217" s="11">
        <v>0</v>
      </c>
      <c r="AB217" s="11">
        <v>0</v>
      </c>
      <c r="AC217" s="11">
        <v>0</v>
      </c>
      <c r="AD217" s="11">
        <v>0</v>
      </c>
      <c r="AE217" s="11">
        <f t="shared" si="51"/>
        <v>0</v>
      </c>
    </row>
    <row r="218" spans="2:31">
      <c r="B218" s="22" t="s">
        <v>27</v>
      </c>
      <c r="C218" s="11">
        <v>0</v>
      </c>
      <c r="D218" s="11">
        <v>0</v>
      </c>
      <c r="E218" s="11">
        <v>0</v>
      </c>
      <c r="F218" s="11">
        <v>0</v>
      </c>
      <c r="G218" s="11">
        <v>0</v>
      </c>
      <c r="H218" s="11"/>
      <c r="I218" s="11"/>
      <c r="J218" s="11"/>
      <c r="K218" s="11"/>
      <c r="L218" s="11"/>
      <c r="M218" s="11"/>
      <c r="N218" s="11"/>
      <c r="O218" s="11">
        <v>0</v>
      </c>
      <c r="P218" s="11">
        <v>0</v>
      </c>
      <c r="Q218" s="11">
        <v>0</v>
      </c>
      <c r="R218" s="11">
        <v>0</v>
      </c>
      <c r="S218" s="11">
        <f t="shared" si="50"/>
        <v>0</v>
      </c>
      <c r="U218" s="22" t="s">
        <v>27</v>
      </c>
      <c r="V218" s="11">
        <v>0</v>
      </c>
      <c r="W218" s="11">
        <v>0</v>
      </c>
      <c r="X218" s="11">
        <v>0</v>
      </c>
      <c r="Y218" s="11">
        <v>0</v>
      </c>
      <c r="Z218" s="11">
        <v>0</v>
      </c>
      <c r="AA218" s="11">
        <v>0</v>
      </c>
      <c r="AB218" s="11">
        <v>0</v>
      </c>
      <c r="AC218" s="11">
        <v>0</v>
      </c>
      <c r="AD218" s="11">
        <v>0</v>
      </c>
      <c r="AE218" s="11">
        <f t="shared" si="51"/>
        <v>0</v>
      </c>
    </row>
    <row r="219" spans="2:31">
      <c r="B219" s="22" t="s">
        <v>28</v>
      </c>
      <c r="C219" s="11">
        <v>0</v>
      </c>
      <c r="D219" s="11">
        <v>0</v>
      </c>
      <c r="E219" s="11">
        <v>0</v>
      </c>
      <c r="F219" s="11">
        <v>0</v>
      </c>
      <c r="G219" s="11">
        <v>0</v>
      </c>
      <c r="H219" s="11"/>
      <c r="I219" s="11"/>
      <c r="J219" s="11"/>
      <c r="K219" s="11"/>
      <c r="L219" s="11"/>
      <c r="M219" s="11"/>
      <c r="N219" s="11"/>
      <c r="O219" s="11">
        <v>0</v>
      </c>
      <c r="P219" s="11">
        <v>0</v>
      </c>
      <c r="Q219" s="11">
        <v>0</v>
      </c>
      <c r="R219" s="11">
        <v>0</v>
      </c>
      <c r="S219" s="11">
        <f t="shared" si="50"/>
        <v>0</v>
      </c>
      <c r="U219" s="22" t="s">
        <v>28</v>
      </c>
      <c r="V219" s="11">
        <v>0</v>
      </c>
      <c r="W219" s="11">
        <v>0</v>
      </c>
      <c r="X219" s="11">
        <v>0</v>
      </c>
      <c r="Y219" s="11">
        <v>0</v>
      </c>
      <c r="Z219" s="11">
        <v>0</v>
      </c>
      <c r="AA219" s="11">
        <v>0</v>
      </c>
      <c r="AB219" s="11">
        <v>0</v>
      </c>
      <c r="AC219" s="11">
        <v>0</v>
      </c>
      <c r="AD219" s="11">
        <v>0</v>
      </c>
      <c r="AE219" s="11">
        <f t="shared" si="51"/>
        <v>0</v>
      </c>
    </row>
    <row r="220" spans="2:31">
      <c r="B220" s="22" t="s">
        <v>29</v>
      </c>
      <c r="C220" s="11">
        <v>0</v>
      </c>
      <c r="D220" s="11">
        <v>0</v>
      </c>
      <c r="E220" s="11">
        <v>0</v>
      </c>
      <c r="F220" s="11">
        <v>0</v>
      </c>
      <c r="G220" s="11">
        <v>0</v>
      </c>
      <c r="H220" s="11"/>
      <c r="I220" s="11"/>
      <c r="J220" s="11"/>
      <c r="K220" s="11"/>
      <c r="L220" s="11"/>
      <c r="M220" s="11"/>
      <c r="N220" s="11"/>
      <c r="O220" s="11">
        <v>0</v>
      </c>
      <c r="P220" s="11">
        <v>0</v>
      </c>
      <c r="Q220" s="11">
        <v>0</v>
      </c>
      <c r="R220" s="11">
        <v>0</v>
      </c>
      <c r="S220" s="11">
        <f t="shared" si="50"/>
        <v>0</v>
      </c>
      <c r="U220" s="22" t="s">
        <v>29</v>
      </c>
      <c r="V220" s="11">
        <v>0</v>
      </c>
      <c r="W220" s="11">
        <v>0</v>
      </c>
      <c r="X220" s="11">
        <v>0</v>
      </c>
      <c r="Y220" s="11">
        <v>0</v>
      </c>
      <c r="Z220" s="11">
        <v>0</v>
      </c>
      <c r="AA220" s="11">
        <v>0</v>
      </c>
      <c r="AB220" s="11">
        <v>0</v>
      </c>
      <c r="AC220" s="11">
        <v>0</v>
      </c>
      <c r="AD220" s="11">
        <v>0</v>
      </c>
      <c r="AE220" s="11">
        <f t="shared" si="51"/>
        <v>0</v>
      </c>
    </row>
    <row r="221" spans="2:31">
      <c r="B221" s="22" t="s">
        <v>30</v>
      </c>
      <c r="C221" s="11">
        <v>0</v>
      </c>
      <c r="D221" s="11">
        <v>0</v>
      </c>
      <c r="E221" s="11">
        <v>0</v>
      </c>
      <c r="F221" s="11">
        <v>0</v>
      </c>
      <c r="G221" s="11">
        <v>0</v>
      </c>
      <c r="H221" s="11"/>
      <c r="I221" s="11"/>
      <c r="J221" s="11"/>
      <c r="K221" s="11"/>
      <c r="L221" s="11"/>
      <c r="M221" s="11"/>
      <c r="N221" s="11"/>
      <c r="O221" s="11">
        <v>0</v>
      </c>
      <c r="P221" s="11">
        <v>0</v>
      </c>
      <c r="Q221" s="11">
        <v>0</v>
      </c>
      <c r="R221" s="11">
        <v>0</v>
      </c>
      <c r="S221" s="11">
        <f t="shared" si="50"/>
        <v>0</v>
      </c>
      <c r="U221" s="22" t="s">
        <v>30</v>
      </c>
      <c r="V221" s="11">
        <v>0</v>
      </c>
      <c r="W221" s="11">
        <v>0</v>
      </c>
      <c r="X221" s="11">
        <v>0</v>
      </c>
      <c r="Y221" s="11">
        <v>0</v>
      </c>
      <c r="Z221" s="11">
        <v>0</v>
      </c>
      <c r="AA221" s="11">
        <v>0</v>
      </c>
      <c r="AB221" s="11">
        <v>0</v>
      </c>
      <c r="AC221" s="11">
        <v>0</v>
      </c>
      <c r="AD221" s="11">
        <v>0</v>
      </c>
      <c r="AE221" s="11">
        <f t="shared" si="51"/>
        <v>0</v>
      </c>
    </row>
    <row r="222" spans="2:31">
      <c r="B222" s="22" t="s">
        <v>31</v>
      </c>
      <c r="C222" s="11">
        <v>0</v>
      </c>
      <c r="D222" s="11">
        <v>0</v>
      </c>
      <c r="E222" s="11">
        <v>0</v>
      </c>
      <c r="F222" s="11">
        <v>0</v>
      </c>
      <c r="G222" s="11">
        <v>0</v>
      </c>
      <c r="H222" s="11"/>
      <c r="I222" s="11"/>
      <c r="J222" s="11"/>
      <c r="K222" s="11"/>
      <c r="L222" s="11"/>
      <c r="M222" s="11"/>
      <c r="N222" s="11"/>
      <c r="O222" s="11">
        <v>0</v>
      </c>
      <c r="P222" s="11">
        <v>0</v>
      </c>
      <c r="Q222" s="11">
        <v>0</v>
      </c>
      <c r="R222" s="11">
        <v>0</v>
      </c>
      <c r="S222" s="11">
        <f t="shared" si="50"/>
        <v>0</v>
      </c>
      <c r="U222" s="22" t="s">
        <v>31</v>
      </c>
      <c r="V222" s="11">
        <v>0</v>
      </c>
      <c r="W222" s="11">
        <v>0</v>
      </c>
      <c r="X222" s="11">
        <v>0</v>
      </c>
      <c r="Y222" s="11">
        <v>0</v>
      </c>
      <c r="Z222" s="11">
        <v>0</v>
      </c>
      <c r="AA222" s="11">
        <v>0</v>
      </c>
      <c r="AB222" s="11">
        <v>0</v>
      </c>
      <c r="AC222" s="11">
        <v>0</v>
      </c>
      <c r="AD222" s="11">
        <v>0</v>
      </c>
      <c r="AE222" s="11">
        <f t="shared" si="51"/>
        <v>0</v>
      </c>
    </row>
    <row r="223" spans="2:31">
      <c r="B223" s="22" t="s">
        <v>32</v>
      </c>
      <c r="C223" s="11">
        <v>0</v>
      </c>
      <c r="D223" s="11">
        <v>0</v>
      </c>
      <c r="E223" s="23">
        <v>0</v>
      </c>
      <c r="F223" s="11">
        <v>0</v>
      </c>
      <c r="G223" s="11">
        <v>0</v>
      </c>
      <c r="H223" s="11"/>
      <c r="I223" s="11"/>
      <c r="J223" s="11"/>
      <c r="K223" s="11"/>
      <c r="L223" s="11"/>
      <c r="M223" s="11"/>
      <c r="N223" s="11"/>
      <c r="O223" s="11">
        <v>0</v>
      </c>
      <c r="P223" s="11">
        <v>0</v>
      </c>
      <c r="Q223" s="11">
        <v>0</v>
      </c>
      <c r="R223" s="11">
        <v>0</v>
      </c>
      <c r="S223" s="11">
        <f t="shared" si="50"/>
        <v>0</v>
      </c>
      <c r="U223" s="22" t="s">
        <v>32</v>
      </c>
      <c r="V223" s="11">
        <v>0</v>
      </c>
      <c r="W223" s="11">
        <v>0</v>
      </c>
      <c r="X223" s="23">
        <v>0</v>
      </c>
      <c r="Y223" s="11">
        <v>0</v>
      </c>
      <c r="Z223" s="11">
        <v>0</v>
      </c>
      <c r="AA223" s="11">
        <v>0</v>
      </c>
      <c r="AB223" s="11">
        <v>0</v>
      </c>
      <c r="AC223" s="11">
        <v>0</v>
      </c>
      <c r="AD223" s="11">
        <v>0</v>
      </c>
      <c r="AE223" s="11">
        <f t="shared" si="51"/>
        <v>0</v>
      </c>
    </row>
    <row r="224" spans="2:31">
      <c r="B224" s="24" t="s">
        <v>33</v>
      </c>
      <c r="C224" s="15">
        <f>C215+C219+C220+C221+C222+C223</f>
        <v>0</v>
      </c>
      <c r="D224" s="15">
        <f t="shared" ref="D224:R224" si="52">D215+D219+D220+D221+D222+D223</f>
        <v>0</v>
      </c>
      <c r="E224" s="15">
        <f t="shared" si="52"/>
        <v>0</v>
      </c>
      <c r="F224" s="15">
        <f t="shared" si="52"/>
        <v>0</v>
      </c>
      <c r="G224" s="15">
        <f t="shared" si="52"/>
        <v>0</v>
      </c>
      <c r="H224" s="15">
        <f t="shared" si="52"/>
        <v>0</v>
      </c>
      <c r="I224" s="15">
        <f t="shared" si="52"/>
        <v>0</v>
      </c>
      <c r="J224" s="15">
        <f t="shared" si="52"/>
        <v>0</v>
      </c>
      <c r="K224" s="15">
        <f t="shared" si="52"/>
        <v>0</v>
      </c>
      <c r="L224" s="15">
        <f t="shared" si="52"/>
        <v>0</v>
      </c>
      <c r="M224" s="15">
        <f t="shared" si="52"/>
        <v>0</v>
      </c>
      <c r="N224" s="15">
        <f t="shared" si="52"/>
        <v>0</v>
      </c>
      <c r="O224" s="15">
        <f t="shared" si="52"/>
        <v>0</v>
      </c>
      <c r="P224" s="15">
        <f t="shared" si="52"/>
        <v>0</v>
      </c>
      <c r="Q224" s="15">
        <f t="shared" si="52"/>
        <v>0</v>
      </c>
      <c r="R224" s="15">
        <f t="shared" si="52"/>
        <v>0</v>
      </c>
      <c r="S224" s="15">
        <f>SUM(C224:R224)</f>
        <v>0</v>
      </c>
      <c r="U224" s="24" t="s">
        <v>33</v>
      </c>
      <c r="V224" s="15">
        <f>V215+V219+V220+V221+V222+V223</f>
        <v>0</v>
      </c>
      <c r="W224" s="15">
        <f t="shared" ref="W224:AD224" si="53">W215+W219+W220+W221+W222+W223</f>
        <v>0</v>
      </c>
      <c r="X224" s="15">
        <f t="shared" si="53"/>
        <v>0</v>
      </c>
      <c r="Y224" s="15">
        <f t="shared" si="53"/>
        <v>0</v>
      </c>
      <c r="Z224" s="15">
        <f t="shared" si="53"/>
        <v>0</v>
      </c>
      <c r="AA224" s="15">
        <f t="shared" si="53"/>
        <v>0</v>
      </c>
      <c r="AB224" s="15">
        <f t="shared" si="53"/>
        <v>0</v>
      </c>
      <c r="AC224" s="15">
        <f t="shared" si="53"/>
        <v>0</v>
      </c>
      <c r="AD224" s="15">
        <f t="shared" si="53"/>
        <v>0</v>
      </c>
      <c r="AE224" s="15">
        <f>SUM(V224:AD224)</f>
        <v>0</v>
      </c>
    </row>
    <row r="225" spans="2:32">
      <c r="B225" s="22" t="s">
        <v>34</v>
      </c>
      <c r="C225" s="11">
        <v>0</v>
      </c>
      <c r="D225" s="11">
        <v>0</v>
      </c>
      <c r="E225" s="11">
        <v>0</v>
      </c>
      <c r="F225" s="11">
        <v>0</v>
      </c>
      <c r="G225" s="11">
        <v>0</v>
      </c>
      <c r="H225" s="11"/>
      <c r="I225" s="11"/>
      <c r="J225" s="11"/>
      <c r="K225" s="11"/>
      <c r="L225" s="11"/>
      <c r="M225" s="11"/>
      <c r="N225" s="11"/>
      <c r="O225" s="11">
        <v>0</v>
      </c>
      <c r="P225" s="11">
        <v>0</v>
      </c>
      <c r="Q225" s="11">
        <v>0</v>
      </c>
      <c r="R225" s="11">
        <v>0</v>
      </c>
      <c r="S225" s="11">
        <f t="shared" ref="S225:S232" si="54">SUM(C225:R225)</f>
        <v>0</v>
      </c>
      <c r="U225" s="22" t="s">
        <v>34</v>
      </c>
      <c r="V225" s="11">
        <v>0</v>
      </c>
      <c r="W225" s="11">
        <v>0</v>
      </c>
      <c r="X225" s="11">
        <v>0</v>
      </c>
      <c r="Y225" s="11">
        <v>0</v>
      </c>
      <c r="Z225" s="11">
        <v>0</v>
      </c>
      <c r="AA225" s="11">
        <v>0</v>
      </c>
      <c r="AB225" s="11">
        <v>0</v>
      </c>
      <c r="AC225" s="11">
        <v>0</v>
      </c>
      <c r="AD225" s="11">
        <v>0</v>
      </c>
      <c r="AE225" s="11">
        <f t="shared" ref="AE225:AE232" si="55">SUM(V225:AD225)</f>
        <v>0</v>
      </c>
    </row>
    <row r="226" spans="2:32">
      <c r="B226" s="22" t="s">
        <v>35</v>
      </c>
      <c r="C226" s="11">
        <f>(P226-Q226)*$X$48*('Prod Energie'!H32)</f>
        <v>0</v>
      </c>
      <c r="D226" s="11">
        <v>0</v>
      </c>
      <c r="E226" s="11">
        <f>(P226-Q226)*$X$48*('Prod Energie'!H33)</f>
        <v>0</v>
      </c>
      <c r="F226" s="11">
        <v>0</v>
      </c>
      <c r="G226" s="11">
        <f>(P226-Q226)*$X$48*('Prod Energie'!H40+'Prod Energie'!D39)</f>
        <v>1228.7810174844217</v>
      </c>
      <c r="H226" s="11"/>
      <c r="I226" s="11"/>
      <c r="J226" s="11"/>
      <c r="K226" s="11"/>
      <c r="L226" s="11"/>
      <c r="M226" s="11"/>
      <c r="N226" s="11"/>
      <c r="O226" s="11">
        <f>(P226-Q226)*$X$48*('Prod Energie'!H38)</f>
        <v>3563.4524028832361</v>
      </c>
      <c r="P226" s="11">
        <f>P231/(1+$P$48+$Q$48)</f>
        <v>-4352.7080826797246</v>
      </c>
      <c r="Q226" s="11">
        <f>Q231/(1+$D$48)</f>
        <v>-614.20912674067483</v>
      </c>
      <c r="R226" s="11">
        <v>0</v>
      </c>
      <c r="S226" s="11">
        <f t="shared" si="54"/>
        <v>-174.68378905274119</v>
      </c>
      <c r="U226" s="22" t="s">
        <v>35</v>
      </c>
      <c r="V226" s="11">
        <f>(AB226-AC226)*$X$48*('Prod Energie'!H53)</f>
        <v>0</v>
      </c>
      <c r="W226" s="11">
        <v>0</v>
      </c>
      <c r="X226" s="11">
        <f>(AB226-AC226)*$X$48*('Prod Energie'!H54)</f>
        <v>0</v>
      </c>
      <c r="Y226" s="11">
        <v>0</v>
      </c>
      <c r="Z226" s="11">
        <f>(AB226-AC226)*$X$48*('Prod Energie'!H61+'Prod Energie'!D60)</f>
        <v>1171.1826993433383</v>
      </c>
      <c r="AA226" s="11">
        <f>(AB226-AC226)*$X$48*('Prod Energie'!H59)</f>
        <v>3012.0778746012738</v>
      </c>
      <c r="AB226" s="11">
        <f>AB231/(1+$P$48+$Q$48)</f>
        <v>-4112.7835883892167</v>
      </c>
      <c r="AC226" s="11">
        <f>AC231/(1+$D$48)</f>
        <v>-614.20912674067483</v>
      </c>
      <c r="AD226" s="11">
        <v>0</v>
      </c>
      <c r="AE226" s="11">
        <f t="shared" si="55"/>
        <v>-543.73214118527983</v>
      </c>
    </row>
    <row r="227" spans="2:32">
      <c r="B227" s="22" t="s">
        <v>36</v>
      </c>
      <c r="C227" s="11">
        <v>0</v>
      </c>
      <c r="D227" s="11">
        <v>0</v>
      </c>
      <c r="E227" s="11">
        <v>0</v>
      </c>
      <c r="F227" s="11">
        <v>0</v>
      </c>
      <c r="G227" s="11">
        <v>0</v>
      </c>
      <c r="H227" s="11"/>
      <c r="I227" s="11"/>
      <c r="J227" s="11"/>
      <c r="K227" s="11"/>
      <c r="L227" s="11"/>
      <c r="M227" s="11"/>
      <c r="N227" s="11"/>
      <c r="O227" s="11">
        <v>0</v>
      </c>
      <c r="P227" s="11">
        <v>0</v>
      </c>
      <c r="Q227" s="11">
        <v>0</v>
      </c>
      <c r="R227" s="11">
        <v>0</v>
      </c>
      <c r="S227" s="11">
        <f t="shared" si="54"/>
        <v>0</v>
      </c>
      <c r="U227" s="22" t="s">
        <v>36</v>
      </c>
      <c r="V227" s="11">
        <v>0</v>
      </c>
      <c r="W227" s="11">
        <v>0</v>
      </c>
      <c r="X227" s="11">
        <v>0</v>
      </c>
      <c r="Y227" s="11">
        <v>0</v>
      </c>
      <c r="Z227" s="11">
        <v>0</v>
      </c>
      <c r="AA227" s="11">
        <v>0</v>
      </c>
      <c r="AB227" s="11">
        <v>0</v>
      </c>
      <c r="AC227" s="11">
        <v>0</v>
      </c>
      <c r="AD227" s="11">
        <v>0</v>
      </c>
      <c r="AE227" s="11">
        <f t="shared" si="55"/>
        <v>0</v>
      </c>
    </row>
    <row r="228" spans="2:32">
      <c r="B228" s="22" t="s">
        <v>37</v>
      </c>
      <c r="C228" s="11">
        <v>0</v>
      </c>
      <c r="D228" s="11">
        <v>0</v>
      </c>
      <c r="E228" s="11">
        <v>0</v>
      </c>
      <c r="F228" s="11">
        <v>0</v>
      </c>
      <c r="G228" s="11">
        <v>0</v>
      </c>
      <c r="H228" s="11"/>
      <c r="I228" s="11"/>
      <c r="J228" s="11"/>
      <c r="K228" s="11"/>
      <c r="L228" s="11"/>
      <c r="M228" s="11"/>
      <c r="N228" s="11"/>
      <c r="O228" s="11">
        <v>0</v>
      </c>
      <c r="P228" s="11">
        <v>0</v>
      </c>
      <c r="Q228" s="11">
        <v>0</v>
      </c>
      <c r="R228" s="11">
        <v>0</v>
      </c>
      <c r="S228" s="11">
        <f t="shared" si="54"/>
        <v>0</v>
      </c>
      <c r="U228" s="22" t="s">
        <v>37</v>
      </c>
      <c r="V228" s="11">
        <v>0</v>
      </c>
      <c r="W228" s="11">
        <v>0</v>
      </c>
      <c r="X228" s="11">
        <v>0</v>
      </c>
      <c r="Y228" s="11">
        <v>0</v>
      </c>
      <c r="Z228" s="11">
        <v>0</v>
      </c>
      <c r="AA228" s="11">
        <v>0</v>
      </c>
      <c r="AB228" s="11">
        <v>0</v>
      </c>
      <c r="AC228" s="11">
        <v>0</v>
      </c>
      <c r="AD228" s="11">
        <v>0</v>
      </c>
      <c r="AE228" s="11">
        <f t="shared" si="55"/>
        <v>0</v>
      </c>
    </row>
    <row r="229" spans="2:32">
      <c r="B229" s="22" t="s">
        <v>38</v>
      </c>
      <c r="C229" s="11">
        <v>0</v>
      </c>
      <c r="D229" s="11">
        <v>0</v>
      </c>
      <c r="E229" s="11">
        <v>0</v>
      </c>
      <c r="F229" s="11">
        <v>0</v>
      </c>
      <c r="G229" s="11">
        <v>0</v>
      </c>
      <c r="H229" s="11"/>
      <c r="I229" s="11"/>
      <c r="J229" s="11"/>
      <c r="K229" s="11"/>
      <c r="L229" s="11"/>
      <c r="M229" s="11"/>
      <c r="N229" s="11"/>
      <c r="O229" s="11">
        <v>0</v>
      </c>
      <c r="P229" s="11">
        <f>P226*$P$48</f>
        <v>51.976977659271768</v>
      </c>
      <c r="Q229" s="11">
        <v>0</v>
      </c>
      <c r="R229" s="11">
        <v>0</v>
      </c>
      <c r="S229" s="11">
        <f t="shared" si="54"/>
        <v>51.976977659271768</v>
      </c>
      <c r="U229" s="22" t="s">
        <v>38</v>
      </c>
      <c r="V229" s="11">
        <v>0</v>
      </c>
      <c r="W229" s="11">
        <v>0</v>
      </c>
      <c r="X229" s="11">
        <v>0</v>
      </c>
      <c r="Y229" s="11">
        <v>0</v>
      </c>
      <c r="Z229" s="11">
        <v>0</v>
      </c>
      <c r="AA229" s="11">
        <v>0</v>
      </c>
      <c r="AB229" s="11">
        <f>AB226*$P$48</f>
        <v>49.11196814271986</v>
      </c>
      <c r="AC229" s="11">
        <v>0</v>
      </c>
      <c r="AD229" s="11">
        <v>0</v>
      </c>
      <c r="AE229" s="11">
        <f t="shared" si="55"/>
        <v>49.11196814271986</v>
      </c>
    </row>
    <row r="230" spans="2:32">
      <c r="B230" s="22" t="s">
        <v>39</v>
      </c>
      <c r="C230" s="11">
        <v>0</v>
      </c>
      <c r="D230" s="11">
        <v>0</v>
      </c>
      <c r="E230" s="11">
        <v>0</v>
      </c>
      <c r="F230" s="11">
        <v>0</v>
      </c>
      <c r="G230" s="11">
        <v>0</v>
      </c>
      <c r="H230" s="11"/>
      <c r="I230" s="11"/>
      <c r="J230" s="11"/>
      <c r="K230" s="11"/>
      <c r="L230" s="11"/>
      <c r="M230" s="11"/>
      <c r="N230" s="11"/>
      <c r="O230" s="11">
        <v>0</v>
      </c>
      <c r="P230" s="11">
        <f>P226*$Q$48</f>
        <v>278.37175802905006</v>
      </c>
      <c r="Q230" s="11">
        <f>Q226*$D$48</f>
        <v>51.941575200057066</v>
      </c>
      <c r="R230" s="11">
        <v>0</v>
      </c>
      <c r="S230" s="11">
        <f t="shared" si="54"/>
        <v>330.31333322910712</v>
      </c>
      <c r="U230" s="22" t="s">
        <v>39</v>
      </c>
      <c r="V230" s="11">
        <v>0</v>
      </c>
      <c r="W230" s="11">
        <v>0</v>
      </c>
      <c r="X230" s="11">
        <v>0</v>
      </c>
      <c r="Y230" s="11">
        <v>0</v>
      </c>
      <c r="Z230" s="11">
        <v>0</v>
      </c>
      <c r="AA230" s="11">
        <v>0</v>
      </c>
      <c r="AB230" s="11">
        <f>AB226*$Q$48</f>
        <v>263.02770049033228</v>
      </c>
      <c r="AC230" s="11">
        <f>AC226*$D$48</f>
        <v>51.941575200057066</v>
      </c>
      <c r="AD230" s="11">
        <v>0</v>
      </c>
      <c r="AE230" s="11">
        <f t="shared" si="55"/>
        <v>314.96927569038934</v>
      </c>
    </row>
    <row r="231" spans="2:32">
      <c r="B231" s="24" t="s">
        <v>40</v>
      </c>
      <c r="C231" s="15">
        <f t="shared" ref="C231:O231" si="56">SUM(C225:C230)</f>
        <v>0</v>
      </c>
      <c r="D231" s="15">
        <f t="shared" si="56"/>
        <v>0</v>
      </c>
      <c r="E231" s="15">
        <f t="shared" si="56"/>
        <v>0</v>
      </c>
      <c r="F231" s="15">
        <f t="shared" si="56"/>
        <v>0</v>
      </c>
      <c r="G231" s="15">
        <f t="shared" si="56"/>
        <v>1228.7810174844217</v>
      </c>
      <c r="H231" s="15"/>
      <c r="I231" s="15"/>
      <c r="J231" s="15"/>
      <c r="K231" s="15"/>
      <c r="L231" s="15"/>
      <c r="M231" s="15"/>
      <c r="N231" s="15"/>
      <c r="O231" s="15">
        <f t="shared" si="56"/>
        <v>3563.4524028832361</v>
      </c>
      <c r="P231" s="15">
        <f>-P239</f>
        <v>-4022.3593469914031</v>
      </c>
      <c r="Q231" s="15">
        <f>-Q239</f>
        <v>-562.26755154061777</v>
      </c>
      <c r="R231" s="15">
        <v>0</v>
      </c>
      <c r="S231" s="15">
        <f t="shared" si="54"/>
        <v>207.60652183563741</v>
      </c>
      <c r="U231" s="24" t="s">
        <v>40</v>
      </c>
      <c r="V231" s="15">
        <f t="shared" ref="V231:AA231" si="57">SUM(V225:V230)</f>
        <v>0</v>
      </c>
      <c r="W231" s="15">
        <f t="shared" si="57"/>
        <v>0</v>
      </c>
      <c r="X231" s="15">
        <f t="shared" si="57"/>
        <v>0</v>
      </c>
      <c r="Y231" s="15">
        <f t="shared" si="57"/>
        <v>0</v>
      </c>
      <c r="Z231" s="15">
        <f t="shared" si="57"/>
        <v>1171.1826993433383</v>
      </c>
      <c r="AA231" s="15">
        <f t="shared" si="57"/>
        <v>3012.0778746012738</v>
      </c>
      <c r="AB231" s="15">
        <f>-AB239</f>
        <v>-3800.6439197561645</v>
      </c>
      <c r="AC231" s="15">
        <f>-AC239</f>
        <v>-562.26755154061777</v>
      </c>
      <c r="AD231" s="15">
        <v>0</v>
      </c>
      <c r="AE231" s="15">
        <f t="shared" si="55"/>
        <v>-179.65089735217055</v>
      </c>
    </row>
    <row r="232" spans="2:32">
      <c r="B232" s="22" t="s">
        <v>41</v>
      </c>
      <c r="C232" s="11">
        <v>0</v>
      </c>
      <c r="D232" s="11">
        <v>0</v>
      </c>
      <c r="E232" s="11">
        <f>Industrie!H35</f>
        <v>341.43734507433959</v>
      </c>
      <c r="F232" s="11">
        <v>0</v>
      </c>
      <c r="G232" s="11">
        <v>0</v>
      </c>
      <c r="H232" s="11"/>
      <c r="I232" s="11"/>
      <c r="J232" s="11"/>
      <c r="K232" s="11"/>
      <c r="L232" s="11"/>
      <c r="M232" s="11"/>
      <c r="N232" s="11"/>
      <c r="O232" s="11">
        <f>Industrie!H38</f>
        <v>36.10892532829655</v>
      </c>
      <c r="P232" s="11">
        <f>Industrie!H36</f>
        <v>363.88478298580139</v>
      </c>
      <c r="Q232" s="11">
        <f>Industrie!H39</f>
        <v>562.26755154061777</v>
      </c>
      <c r="R232" s="11">
        <v>0</v>
      </c>
      <c r="S232" s="11">
        <f t="shared" si="54"/>
        <v>1303.6986049290554</v>
      </c>
      <c r="U232" s="22" t="s">
        <v>41</v>
      </c>
      <c r="V232" s="11">
        <v>0</v>
      </c>
      <c r="W232" s="11">
        <v>0</v>
      </c>
      <c r="X232" s="11">
        <f>Industrie!H56</f>
        <v>33.4797854674893</v>
      </c>
      <c r="Y232" s="11">
        <v>0</v>
      </c>
      <c r="Z232" s="11">
        <v>0</v>
      </c>
      <c r="AA232" s="11">
        <f>Industrie!H62</f>
        <v>170.02806719825378</v>
      </c>
      <c r="AB232" s="11">
        <f>Industrie!H57</f>
        <v>440.24115825171191</v>
      </c>
      <c r="AC232" s="11">
        <f>Industrie!H63</f>
        <v>562.26755154061777</v>
      </c>
      <c r="AD232" s="11">
        <v>0</v>
      </c>
      <c r="AE232" s="11">
        <f t="shared" si="55"/>
        <v>1206.0165624580727</v>
      </c>
    </row>
    <row r="233" spans="2:32">
      <c r="B233" s="22" t="s">
        <v>42</v>
      </c>
      <c r="C233" s="11">
        <v>0</v>
      </c>
      <c r="D233" s="11">
        <v>0</v>
      </c>
      <c r="E233" s="11">
        <f>Transports!J44</f>
        <v>3094.9151724037074</v>
      </c>
      <c r="F233" s="11">
        <v>0</v>
      </c>
      <c r="G233" s="11">
        <v>0</v>
      </c>
      <c r="H233" s="11"/>
      <c r="I233" s="11"/>
      <c r="J233" s="11"/>
      <c r="K233" s="11"/>
      <c r="L233" s="11"/>
      <c r="M233" s="11"/>
      <c r="N233" s="11"/>
      <c r="O233" s="11">
        <v>0</v>
      </c>
      <c r="P233" s="11">
        <f>Transports!J45</f>
        <v>644.14605350588431</v>
      </c>
      <c r="Q233" s="11">
        <v>0</v>
      </c>
      <c r="R233" s="11">
        <v>0</v>
      </c>
      <c r="S233" s="11">
        <f>Transports!J46</f>
        <v>3739.0612259095915</v>
      </c>
      <c r="U233" s="22" t="s">
        <v>42</v>
      </c>
      <c r="V233" s="11">
        <v>0</v>
      </c>
      <c r="W233" s="11">
        <v>0</v>
      </c>
      <c r="X233" s="11">
        <f>Transports!J71</f>
        <v>975.27689441149346</v>
      </c>
      <c r="Y233" s="11">
        <v>0</v>
      </c>
      <c r="Z233" s="11">
        <v>0</v>
      </c>
      <c r="AA233" s="11">
        <v>0</v>
      </c>
      <c r="AB233" s="11">
        <f>Transports!J72</f>
        <v>1458.0128577375328</v>
      </c>
      <c r="AC233" s="11">
        <v>0</v>
      </c>
      <c r="AD233" s="11">
        <v>0</v>
      </c>
      <c r="AE233" s="11">
        <f>Transports!J73</f>
        <v>2433.2897521490263</v>
      </c>
    </row>
    <row r="234" spans="2:32">
      <c r="B234" s="22" t="s">
        <v>43</v>
      </c>
      <c r="C234" s="11">
        <v>0</v>
      </c>
      <c r="D234" s="11">
        <v>0</v>
      </c>
      <c r="E234" s="11">
        <f>'Résidentiel-tertiaire'!H163</f>
        <v>120.04365395365815</v>
      </c>
      <c r="F234" s="11">
        <v>0</v>
      </c>
      <c r="G234" s="11">
        <v>0</v>
      </c>
      <c r="H234" s="11"/>
      <c r="I234" s="11"/>
      <c r="J234" s="11"/>
      <c r="K234" s="11"/>
      <c r="L234" s="11"/>
      <c r="M234" s="11"/>
      <c r="N234" s="11"/>
      <c r="O234" s="11">
        <f>'Résidentiel-tertiaire'!H164</f>
        <v>825.95253209419127</v>
      </c>
      <c r="P234" s="11">
        <f>'Résidentiel-tertiaire'!H165</f>
        <v>1604.9314604673862</v>
      </c>
      <c r="Q234" s="11">
        <v>0</v>
      </c>
      <c r="R234" s="11">
        <v>0</v>
      </c>
      <c r="S234" s="11">
        <f>SUM(C234:R234)</f>
        <v>2550.9276465152357</v>
      </c>
      <c r="U234" s="22" t="s">
        <v>43</v>
      </c>
      <c r="V234" s="11">
        <v>0</v>
      </c>
      <c r="W234" s="11">
        <v>0</v>
      </c>
      <c r="X234" s="11">
        <f>'Résidentiel-tertiaire'!H177</f>
        <v>21.833333333333353</v>
      </c>
      <c r="Y234" s="11">
        <v>0</v>
      </c>
      <c r="Z234" s="11">
        <v>0</v>
      </c>
      <c r="AA234" s="11">
        <f>'Résidentiel-tertiaire'!H178</f>
        <v>498.43205894466672</v>
      </c>
      <c r="AB234" s="11">
        <f>'Résidentiel-tertiaire'!H179</f>
        <v>948.63006000697078</v>
      </c>
      <c r="AC234" s="11">
        <v>0</v>
      </c>
      <c r="AD234" s="11">
        <v>0</v>
      </c>
      <c r="AE234" s="11">
        <f>SUM(V234:AD234)</f>
        <v>1468.8954522849708</v>
      </c>
    </row>
    <row r="235" spans="2:32">
      <c r="B235" s="22" t="s">
        <v>44</v>
      </c>
      <c r="C235" s="11">
        <v>0</v>
      </c>
      <c r="D235" s="11">
        <v>0</v>
      </c>
      <c r="E235" s="11">
        <f>'Résidentiel-tertiaire'!H168</f>
        <v>389.60421262602625</v>
      </c>
      <c r="F235" s="11">
        <v>0</v>
      </c>
      <c r="G235" s="11">
        <v>0</v>
      </c>
      <c r="H235" s="11"/>
      <c r="I235" s="11"/>
      <c r="J235" s="11"/>
      <c r="K235" s="11"/>
      <c r="L235" s="11"/>
      <c r="M235" s="11"/>
      <c r="N235" s="11"/>
      <c r="O235" s="11">
        <f>'Résidentiel-tertiaire'!H169</f>
        <v>1.1699826204985773</v>
      </c>
      <c r="P235" s="11">
        <f>'Résidentiel-tertiaire'!H170</f>
        <v>1388.7693705318111</v>
      </c>
      <c r="Q235" s="11">
        <v>0</v>
      </c>
      <c r="R235" s="11">
        <v>0</v>
      </c>
      <c r="S235" s="11">
        <f>SUM(C235:R235)</f>
        <v>1779.543565778336</v>
      </c>
      <c r="U235" s="22" t="s">
        <v>44</v>
      </c>
      <c r="V235" s="11">
        <v>0</v>
      </c>
      <c r="W235" s="11">
        <v>0</v>
      </c>
      <c r="X235" s="11">
        <f>'Résidentiel-tertiaire'!H182</f>
        <v>46.666666666666707</v>
      </c>
      <c r="Y235" s="11">
        <v>0</v>
      </c>
      <c r="Z235" s="11">
        <v>0</v>
      </c>
      <c r="AA235" s="11">
        <f>'Résidentiel-tertiaire'!H183</f>
        <v>0.70152542279263186</v>
      </c>
      <c r="AB235" s="11">
        <f>'Résidentiel-tertiaire'!H184</f>
        <v>948.79790827607781</v>
      </c>
      <c r="AC235" s="11">
        <v>0</v>
      </c>
      <c r="AD235" s="11">
        <v>0</v>
      </c>
      <c r="AE235" s="11">
        <f>SUM(V235:AD235)</f>
        <v>996.1661003655372</v>
      </c>
    </row>
    <row r="236" spans="2:32">
      <c r="B236" s="22" t="s">
        <v>4</v>
      </c>
      <c r="C236" s="11">
        <v>0</v>
      </c>
      <c r="D236" s="11">
        <v>0</v>
      </c>
      <c r="E236" s="11">
        <f>Agriculture!V27</f>
        <v>105.20116545265348</v>
      </c>
      <c r="F236" s="11">
        <v>0</v>
      </c>
      <c r="G236" s="11">
        <v>0</v>
      </c>
      <c r="H236" s="11"/>
      <c r="I236" s="11"/>
      <c r="J236" s="11"/>
      <c r="K236" s="11"/>
      <c r="L236" s="11"/>
      <c r="M236" s="11"/>
      <c r="N236" s="11"/>
      <c r="O236" s="11">
        <v>0</v>
      </c>
      <c r="P236" s="11">
        <f>Agriculture!V28</f>
        <v>20.627679500520291</v>
      </c>
      <c r="Q236" s="11">
        <v>0</v>
      </c>
      <c r="R236" s="11">
        <v>0</v>
      </c>
      <c r="S236" s="11">
        <f>SUM(C236:R236)</f>
        <v>125.82884495317377</v>
      </c>
      <c r="U236" s="22" t="s">
        <v>4</v>
      </c>
      <c r="V236" s="11">
        <v>0</v>
      </c>
      <c r="W236" s="11">
        <v>0</v>
      </c>
      <c r="X236" s="11">
        <f>Agriculture!AC43</f>
        <v>16.451612903225808</v>
      </c>
      <c r="Y236" s="11">
        <v>0</v>
      </c>
      <c r="Z236" s="11">
        <v>0</v>
      </c>
      <c r="AA236" s="11">
        <f>Agriculture!AC45</f>
        <v>79.688322580645149</v>
      </c>
      <c r="AB236" s="11">
        <f>Agriculture!AC44</f>
        <v>4.9619354838709668</v>
      </c>
      <c r="AC236" s="11">
        <v>0</v>
      </c>
      <c r="AD236" s="11">
        <v>0</v>
      </c>
      <c r="AE236" s="11">
        <f>SUM(V236:AD236)</f>
        <v>101.10187096774192</v>
      </c>
    </row>
    <row r="237" spans="2:32">
      <c r="B237" s="26" t="s">
        <v>45</v>
      </c>
      <c r="C237" s="19">
        <v>0</v>
      </c>
      <c r="D237" s="19">
        <v>0</v>
      </c>
      <c r="E237" s="19">
        <f t="shared" ref="E237:S237" si="58">SUM(E232:E236)</f>
        <v>4051.2015495103851</v>
      </c>
      <c r="F237" s="19">
        <f t="shared" si="58"/>
        <v>0</v>
      </c>
      <c r="G237" s="19">
        <f t="shared" si="58"/>
        <v>0</v>
      </c>
      <c r="H237" s="19"/>
      <c r="I237" s="19"/>
      <c r="J237" s="19"/>
      <c r="K237" s="19"/>
      <c r="L237" s="19"/>
      <c r="M237" s="19"/>
      <c r="N237" s="19"/>
      <c r="O237" s="19">
        <f t="shared" si="58"/>
        <v>863.23144004298638</v>
      </c>
      <c r="P237" s="19">
        <f t="shared" si="58"/>
        <v>4022.3593469914031</v>
      </c>
      <c r="Q237" s="19">
        <f t="shared" si="58"/>
        <v>562.26755154061777</v>
      </c>
      <c r="R237" s="19">
        <f t="shared" si="58"/>
        <v>0</v>
      </c>
      <c r="S237" s="19">
        <f t="shared" si="58"/>
        <v>9499.0598880853922</v>
      </c>
      <c r="U237" s="26" t="s">
        <v>45</v>
      </c>
      <c r="V237" s="19">
        <v>0</v>
      </c>
      <c r="W237" s="19">
        <v>0</v>
      </c>
      <c r="X237" s="19">
        <f t="shared" ref="X237:AE237" si="59">SUM(X232:X236)</f>
        <v>1093.7082927822087</v>
      </c>
      <c r="Y237" s="19">
        <f t="shared" si="59"/>
        <v>0</v>
      </c>
      <c r="Z237" s="19">
        <f t="shared" si="59"/>
        <v>0</v>
      </c>
      <c r="AA237" s="19">
        <f t="shared" si="59"/>
        <v>748.84997414635825</v>
      </c>
      <c r="AB237" s="19">
        <f t="shared" si="59"/>
        <v>3800.6439197561645</v>
      </c>
      <c r="AC237" s="19">
        <f t="shared" si="59"/>
        <v>562.26755154061777</v>
      </c>
      <c r="AD237" s="19">
        <f t="shared" si="59"/>
        <v>0</v>
      </c>
      <c r="AE237" s="19">
        <f t="shared" si="59"/>
        <v>6205.4697382253489</v>
      </c>
    </row>
    <row r="238" spans="2:32">
      <c r="B238" s="26" t="s">
        <v>46</v>
      </c>
      <c r="C238" s="19">
        <v>0</v>
      </c>
      <c r="D238" s="19">
        <v>0</v>
      </c>
      <c r="E238" s="19">
        <f>Industrie!H37</f>
        <v>345.61399957083842</v>
      </c>
      <c r="F238" s="19">
        <v>0</v>
      </c>
      <c r="G238" s="19">
        <v>0</v>
      </c>
      <c r="H238" s="19"/>
      <c r="I238" s="19"/>
      <c r="J238" s="19"/>
      <c r="K238" s="19"/>
      <c r="L238" s="19"/>
      <c r="M238" s="19"/>
      <c r="N238" s="19"/>
      <c r="O238" s="19">
        <v>0</v>
      </c>
      <c r="P238" s="19">
        <v>0</v>
      </c>
      <c r="Q238" s="19">
        <v>0</v>
      </c>
      <c r="R238" s="19">
        <v>0</v>
      </c>
      <c r="S238" s="19">
        <f>SUM(C238:R238)</f>
        <v>345.61399957083842</v>
      </c>
      <c r="U238" s="26" t="s">
        <v>46</v>
      </c>
      <c r="V238" s="19">
        <v>0</v>
      </c>
      <c r="W238" s="19">
        <v>0</v>
      </c>
      <c r="X238" s="19">
        <f>Industrie!H59</f>
        <v>345.61399957083842</v>
      </c>
      <c r="Y238" s="19">
        <v>0</v>
      </c>
      <c r="Z238" s="19">
        <v>0</v>
      </c>
      <c r="AA238" s="19">
        <f>Industrie!H61</f>
        <v>144.00583315451598</v>
      </c>
      <c r="AB238" s="19">
        <v>0</v>
      </c>
      <c r="AC238" s="19">
        <v>0</v>
      </c>
      <c r="AD238" s="19">
        <v>0</v>
      </c>
      <c r="AE238" s="19">
        <f>SUM(V238:AD238)</f>
        <v>489.6198327253544</v>
      </c>
    </row>
    <row r="239" spans="2:32">
      <c r="B239" s="24" t="s">
        <v>47</v>
      </c>
      <c r="C239" s="15">
        <v>0</v>
      </c>
      <c r="D239" s="15">
        <v>0</v>
      </c>
      <c r="E239" s="15">
        <f t="shared" ref="E239:S239" si="60">SUM(E237:E238)</f>
        <v>4396.8155490812233</v>
      </c>
      <c r="F239" s="15">
        <f t="shared" si="60"/>
        <v>0</v>
      </c>
      <c r="G239" s="15">
        <f t="shared" si="60"/>
        <v>0</v>
      </c>
      <c r="H239" s="15"/>
      <c r="I239" s="15"/>
      <c r="J239" s="15"/>
      <c r="K239" s="15"/>
      <c r="L239" s="15"/>
      <c r="M239" s="15"/>
      <c r="N239" s="15"/>
      <c r="O239" s="15">
        <f t="shared" si="60"/>
        <v>863.23144004298638</v>
      </c>
      <c r="P239" s="15">
        <f t="shared" si="60"/>
        <v>4022.3593469914031</v>
      </c>
      <c r="Q239" s="15">
        <f t="shared" si="60"/>
        <v>562.26755154061777</v>
      </c>
      <c r="R239" s="15">
        <f t="shared" si="60"/>
        <v>0</v>
      </c>
      <c r="S239" s="15">
        <f t="shared" si="60"/>
        <v>9844.6738876562304</v>
      </c>
      <c r="T239" s="27">
        <f>SUM(C239:R239)</f>
        <v>9844.6738876562304</v>
      </c>
      <c r="U239" s="24" t="s">
        <v>47</v>
      </c>
      <c r="V239" s="15">
        <v>0</v>
      </c>
      <c r="W239" s="15">
        <v>0</v>
      </c>
      <c r="X239" s="15">
        <f t="shared" ref="X239:AE239" si="61">SUM(X237:X238)</f>
        <v>1439.322292353047</v>
      </c>
      <c r="Y239" s="15">
        <f t="shared" si="61"/>
        <v>0</v>
      </c>
      <c r="Z239" s="15">
        <f t="shared" si="61"/>
        <v>0</v>
      </c>
      <c r="AA239" s="15">
        <f t="shared" si="61"/>
        <v>892.85580730087418</v>
      </c>
      <c r="AB239" s="15">
        <f t="shared" si="61"/>
        <v>3800.6439197561645</v>
      </c>
      <c r="AC239" s="15">
        <f t="shared" si="61"/>
        <v>562.26755154061777</v>
      </c>
      <c r="AD239" s="15">
        <f t="shared" si="61"/>
        <v>0</v>
      </c>
      <c r="AE239" s="15">
        <f t="shared" si="61"/>
        <v>6695.0895709507031</v>
      </c>
      <c r="AF239" s="27">
        <f>SUM(V239:AD239)</f>
        <v>6695.0895709507031</v>
      </c>
    </row>
    <row r="242" spans="2:31">
      <c r="C242" s="4" t="s">
        <v>54</v>
      </c>
      <c r="D242" s="4"/>
      <c r="E242" s="4"/>
      <c r="F242" s="4"/>
      <c r="G242" s="4"/>
      <c r="H242" s="4"/>
      <c r="I242" s="4"/>
      <c r="J242" s="4"/>
      <c r="K242" s="4"/>
      <c r="L242" s="4"/>
      <c r="M242" s="4"/>
      <c r="N242" s="4"/>
      <c r="O242" s="4"/>
      <c r="P242" s="4"/>
      <c r="Q242" s="4"/>
      <c r="R242" s="4"/>
      <c r="S242" s="4"/>
      <c r="T242" s="4"/>
      <c r="U242" s="4"/>
      <c r="V242" s="4" t="s">
        <v>54</v>
      </c>
      <c r="W242" s="4"/>
    </row>
    <row r="243" spans="2:31" ht="43.2">
      <c r="B243" s="20">
        <v>2050</v>
      </c>
      <c r="C243" s="7" t="s">
        <v>14</v>
      </c>
      <c r="D243" s="7" t="s">
        <v>15</v>
      </c>
      <c r="E243" s="7" t="s">
        <v>16</v>
      </c>
      <c r="F243" s="7" t="s">
        <v>17</v>
      </c>
      <c r="G243" s="7" t="s">
        <v>18</v>
      </c>
      <c r="H243" s="244"/>
      <c r="I243" s="244"/>
      <c r="J243" s="244"/>
      <c r="K243" s="244"/>
      <c r="L243" s="244"/>
      <c r="M243" s="244"/>
      <c r="N243" s="244"/>
      <c r="O243" s="7" t="s">
        <v>19</v>
      </c>
      <c r="P243" s="7" t="s">
        <v>20</v>
      </c>
      <c r="Q243" s="7" t="s">
        <v>21</v>
      </c>
      <c r="R243" s="7"/>
      <c r="S243" s="7" t="s">
        <v>23</v>
      </c>
      <c r="U243" s="21">
        <v>2050</v>
      </c>
      <c r="V243" s="7" t="s">
        <v>14</v>
      </c>
      <c r="W243" s="7" t="s">
        <v>15</v>
      </c>
      <c r="X243" s="7" t="s">
        <v>16</v>
      </c>
      <c r="Y243" s="7" t="s">
        <v>17</v>
      </c>
      <c r="Z243" s="7" t="s">
        <v>18</v>
      </c>
      <c r="AA243" s="7" t="s">
        <v>19</v>
      </c>
      <c r="AB243" s="7" t="s">
        <v>20</v>
      </c>
      <c r="AC243" s="7" t="s">
        <v>21</v>
      </c>
      <c r="AD243" s="7"/>
      <c r="AE243" s="7" t="s">
        <v>23</v>
      </c>
    </row>
    <row r="244" spans="2:31">
      <c r="B244" s="22" t="s">
        <v>24</v>
      </c>
      <c r="C244" s="11">
        <v>0</v>
      </c>
      <c r="D244" s="11">
        <v>0</v>
      </c>
      <c r="E244" s="11">
        <v>0</v>
      </c>
      <c r="F244" s="11">
        <v>0</v>
      </c>
      <c r="G244" s="11">
        <v>0</v>
      </c>
      <c r="H244" s="11"/>
      <c r="I244" s="11"/>
      <c r="J244" s="11"/>
      <c r="K244" s="11"/>
      <c r="L244" s="11"/>
      <c r="M244" s="11"/>
      <c r="N244" s="11"/>
      <c r="O244" s="11">
        <v>0</v>
      </c>
      <c r="P244" s="11">
        <v>0</v>
      </c>
      <c r="Q244" s="11">
        <v>0</v>
      </c>
      <c r="R244" s="11">
        <v>0</v>
      </c>
      <c r="S244" s="11">
        <f>SUM(C244:R244)</f>
        <v>0</v>
      </c>
      <c r="U244" s="22" t="s">
        <v>24</v>
      </c>
      <c r="V244" s="11">
        <v>0</v>
      </c>
      <c r="W244" s="11">
        <v>0</v>
      </c>
      <c r="X244" s="11">
        <v>0</v>
      </c>
      <c r="Y244" s="11">
        <v>0</v>
      </c>
      <c r="Z244" s="11">
        <v>0</v>
      </c>
      <c r="AA244" s="11">
        <v>0</v>
      </c>
      <c r="AB244" s="11">
        <v>0</v>
      </c>
      <c r="AC244" s="11">
        <v>0</v>
      </c>
      <c r="AD244" s="11">
        <v>0</v>
      </c>
      <c r="AE244" s="11">
        <f>SUM(V244:AD244)</f>
        <v>0</v>
      </c>
    </row>
    <row r="245" spans="2:31">
      <c r="B245" s="22" t="s">
        <v>25</v>
      </c>
      <c r="C245" s="11">
        <v>0</v>
      </c>
      <c r="D245" s="11">
        <v>0</v>
      </c>
      <c r="E245" s="11">
        <v>0</v>
      </c>
      <c r="F245" s="11">
        <v>0</v>
      </c>
      <c r="G245" s="11">
        <v>0</v>
      </c>
      <c r="H245" s="11"/>
      <c r="I245" s="11"/>
      <c r="J245" s="11"/>
      <c r="K245" s="11"/>
      <c r="L245" s="11"/>
      <c r="M245" s="11"/>
      <c r="N245" s="11"/>
      <c r="O245" s="11">
        <v>0</v>
      </c>
      <c r="P245" s="11">
        <v>0</v>
      </c>
      <c r="Q245" s="11">
        <v>0</v>
      </c>
      <c r="R245" s="11">
        <v>0</v>
      </c>
      <c r="S245" s="11">
        <f t="shared" ref="S245:S253" si="62">SUM(C245:R245)</f>
        <v>0</v>
      </c>
      <c r="U245" s="22" t="s">
        <v>25</v>
      </c>
      <c r="V245" s="11">
        <v>0</v>
      </c>
      <c r="W245" s="11">
        <v>0</v>
      </c>
      <c r="X245" s="11">
        <v>0</v>
      </c>
      <c r="Y245" s="11">
        <v>0</v>
      </c>
      <c r="Z245" s="11">
        <v>0</v>
      </c>
      <c r="AA245" s="11">
        <v>0</v>
      </c>
      <c r="AB245" s="11">
        <v>0</v>
      </c>
      <c r="AC245" s="11">
        <v>0</v>
      </c>
      <c r="AD245" s="11">
        <v>0</v>
      </c>
      <c r="AE245" s="11">
        <f t="shared" ref="AE245:AE253" si="63">SUM(V245:AD245)</f>
        <v>0</v>
      </c>
    </row>
    <row r="246" spans="2:31">
      <c r="B246" s="22" t="s">
        <v>26</v>
      </c>
      <c r="C246" s="11">
        <v>0</v>
      </c>
      <c r="D246" s="11">
        <v>0</v>
      </c>
      <c r="E246" s="11">
        <v>0</v>
      </c>
      <c r="F246" s="11">
        <v>0</v>
      </c>
      <c r="G246" s="11">
        <v>0</v>
      </c>
      <c r="H246" s="11"/>
      <c r="I246" s="11"/>
      <c r="J246" s="11"/>
      <c r="K246" s="11"/>
      <c r="L246" s="11"/>
      <c r="M246" s="11"/>
      <c r="N246" s="11"/>
      <c r="O246" s="11">
        <v>0</v>
      </c>
      <c r="P246" s="11">
        <v>0</v>
      </c>
      <c r="Q246" s="11">
        <v>0</v>
      </c>
      <c r="R246" s="11">
        <v>0</v>
      </c>
      <c r="S246" s="11">
        <f t="shared" si="62"/>
        <v>0</v>
      </c>
      <c r="U246" s="22" t="s">
        <v>26</v>
      </c>
      <c r="V246" s="11">
        <v>0</v>
      </c>
      <c r="W246" s="11">
        <v>0</v>
      </c>
      <c r="X246" s="11">
        <v>0</v>
      </c>
      <c r="Y246" s="11">
        <v>0</v>
      </c>
      <c r="Z246" s="11">
        <v>0</v>
      </c>
      <c r="AA246" s="11">
        <v>0</v>
      </c>
      <c r="AB246" s="11">
        <v>0</v>
      </c>
      <c r="AC246" s="11">
        <v>0</v>
      </c>
      <c r="AD246" s="11">
        <v>0</v>
      </c>
      <c r="AE246" s="11">
        <f t="shared" si="63"/>
        <v>0</v>
      </c>
    </row>
    <row r="247" spans="2:31">
      <c r="B247" s="22" t="s">
        <v>27</v>
      </c>
      <c r="C247" s="11">
        <v>0</v>
      </c>
      <c r="D247" s="11">
        <v>0</v>
      </c>
      <c r="E247" s="11">
        <v>0</v>
      </c>
      <c r="F247" s="11">
        <v>0</v>
      </c>
      <c r="G247" s="11">
        <v>0</v>
      </c>
      <c r="H247" s="11"/>
      <c r="I247" s="11"/>
      <c r="J247" s="11"/>
      <c r="K247" s="11"/>
      <c r="L247" s="11"/>
      <c r="M247" s="11"/>
      <c r="N247" s="11"/>
      <c r="O247" s="11">
        <v>0</v>
      </c>
      <c r="P247" s="11">
        <v>0</v>
      </c>
      <c r="Q247" s="11">
        <v>0</v>
      </c>
      <c r="R247" s="11">
        <v>0</v>
      </c>
      <c r="S247" s="11">
        <f t="shared" si="62"/>
        <v>0</v>
      </c>
      <c r="U247" s="22" t="s">
        <v>27</v>
      </c>
      <c r="V247" s="11">
        <v>0</v>
      </c>
      <c r="W247" s="11">
        <v>0</v>
      </c>
      <c r="X247" s="11">
        <v>0</v>
      </c>
      <c r="Y247" s="11">
        <v>0</v>
      </c>
      <c r="Z247" s="11">
        <v>0</v>
      </c>
      <c r="AA247" s="11">
        <v>0</v>
      </c>
      <c r="AB247" s="11">
        <v>0</v>
      </c>
      <c r="AC247" s="11">
        <v>0</v>
      </c>
      <c r="AD247" s="11">
        <v>0</v>
      </c>
      <c r="AE247" s="11">
        <f t="shared" si="63"/>
        <v>0</v>
      </c>
    </row>
    <row r="248" spans="2:31">
      <c r="B248" s="22" t="s">
        <v>28</v>
      </c>
      <c r="C248" s="11">
        <v>0</v>
      </c>
      <c r="D248" s="11">
        <v>0</v>
      </c>
      <c r="E248" s="11">
        <v>0</v>
      </c>
      <c r="F248" s="11">
        <v>0</v>
      </c>
      <c r="G248" s="11">
        <v>0</v>
      </c>
      <c r="H248" s="11"/>
      <c r="I248" s="11"/>
      <c r="J248" s="11"/>
      <c r="K248" s="11"/>
      <c r="L248" s="11"/>
      <c r="M248" s="11"/>
      <c r="N248" s="11"/>
      <c r="O248" s="11">
        <v>0</v>
      </c>
      <c r="P248" s="11">
        <v>0</v>
      </c>
      <c r="Q248" s="11">
        <v>0</v>
      </c>
      <c r="R248" s="11">
        <v>0</v>
      </c>
      <c r="S248" s="11">
        <f t="shared" si="62"/>
        <v>0</v>
      </c>
      <c r="U248" s="22" t="s">
        <v>28</v>
      </c>
      <c r="V248" s="11">
        <v>0</v>
      </c>
      <c r="W248" s="11">
        <v>0</v>
      </c>
      <c r="X248" s="11">
        <v>0</v>
      </c>
      <c r="Y248" s="11">
        <v>0</v>
      </c>
      <c r="Z248" s="11">
        <v>0</v>
      </c>
      <c r="AA248" s="11">
        <v>0</v>
      </c>
      <c r="AB248" s="11">
        <v>0</v>
      </c>
      <c r="AC248" s="11">
        <v>0</v>
      </c>
      <c r="AD248" s="11">
        <v>0</v>
      </c>
      <c r="AE248" s="11">
        <f t="shared" si="63"/>
        <v>0</v>
      </c>
    </row>
    <row r="249" spans="2:31">
      <c r="B249" s="22" t="s">
        <v>29</v>
      </c>
      <c r="C249" s="11">
        <v>0</v>
      </c>
      <c r="D249" s="11">
        <v>0</v>
      </c>
      <c r="E249" s="11">
        <v>0</v>
      </c>
      <c r="F249" s="11">
        <v>0</v>
      </c>
      <c r="G249" s="11">
        <v>0</v>
      </c>
      <c r="H249" s="11"/>
      <c r="I249" s="11"/>
      <c r="J249" s="11"/>
      <c r="K249" s="11"/>
      <c r="L249" s="11"/>
      <c r="M249" s="11"/>
      <c r="N249" s="11"/>
      <c r="O249" s="11">
        <v>0</v>
      </c>
      <c r="P249" s="11">
        <v>0</v>
      </c>
      <c r="Q249" s="11">
        <v>0</v>
      </c>
      <c r="R249" s="11">
        <v>0</v>
      </c>
      <c r="S249" s="11">
        <f t="shared" si="62"/>
        <v>0</v>
      </c>
      <c r="U249" s="22" t="s">
        <v>29</v>
      </c>
      <c r="V249" s="11">
        <v>0</v>
      </c>
      <c r="W249" s="11">
        <v>0</v>
      </c>
      <c r="X249" s="11">
        <v>0</v>
      </c>
      <c r="Y249" s="11">
        <v>0</v>
      </c>
      <c r="Z249" s="11">
        <v>0</v>
      </c>
      <c r="AA249" s="11">
        <v>0</v>
      </c>
      <c r="AB249" s="11">
        <v>0</v>
      </c>
      <c r="AC249" s="11">
        <v>0</v>
      </c>
      <c r="AD249" s="11">
        <v>0</v>
      </c>
      <c r="AE249" s="11">
        <f t="shared" si="63"/>
        <v>0</v>
      </c>
    </row>
    <row r="250" spans="2:31">
      <c r="B250" s="22" t="s">
        <v>30</v>
      </c>
      <c r="C250" s="11">
        <v>0</v>
      </c>
      <c r="D250" s="11">
        <v>0</v>
      </c>
      <c r="E250" s="11">
        <v>0</v>
      </c>
      <c r="F250" s="11">
        <v>0</v>
      </c>
      <c r="G250" s="11">
        <v>0</v>
      </c>
      <c r="H250" s="11"/>
      <c r="I250" s="11"/>
      <c r="J250" s="11"/>
      <c r="K250" s="11"/>
      <c r="L250" s="11"/>
      <c r="M250" s="11"/>
      <c r="N250" s="11"/>
      <c r="O250" s="11">
        <v>0</v>
      </c>
      <c r="P250" s="11">
        <v>0</v>
      </c>
      <c r="Q250" s="11">
        <v>0</v>
      </c>
      <c r="R250" s="11">
        <v>0</v>
      </c>
      <c r="S250" s="11">
        <f t="shared" si="62"/>
        <v>0</v>
      </c>
      <c r="U250" s="22" t="s">
        <v>30</v>
      </c>
      <c r="V250" s="11">
        <v>0</v>
      </c>
      <c r="W250" s="11">
        <v>0</v>
      </c>
      <c r="X250" s="11">
        <v>0</v>
      </c>
      <c r="Y250" s="11">
        <v>0</v>
      </c>
      <c r="Z250" s="11">
        <v>0</v>
      </c>
      <c r="AA250" s="11">
        <v>0</v>
      </c>
      <c r="AB250" s="11">
        <v>0</v>
      </c>
      <c r="AC250" s="11">
        <v>0</v>
      </c>
      <c r="AD250" s="11">
        <v>0</v>
      </c>
      <c r="AE250" s="11">
        <f t="shared" si="63"/>
        <v>0</v>
      </c>
    </row>
    <row r="251" spans="2:31">
      <c r="B251" s="22" t="s">
        <v>31</v>
      </c>
      <c r="C251" s="11">
        <v>0</v>
      </c>
      <c r="D251" s="11">
        <v>0</v>
      </c>
      <c r="E251" s="11">
        <v>0</v>
      </c>
      <c r="F251" s="11">
        <v>0</v>
      </c>
      <c r="G251" s="11">
        <v>0</v>
      </c>
      <c r="H251" s="11"/>
      <c r="I251" s="11"/>
      <c r="J251" s="11"/>
      <c r="K251" s="11"/>
      <c r="L251" s="11"/>
      <c r="M251" s="11"/>
      <c r="N251" s="11"/>
      <c r="O251" s="11">
        <v>0</v>
      </c>
      <c r="P251" s="11">
        <v>0</v>
      </c>
      <c r="Q251" s="11">
        <v>0</v>
      </c>
      <c r="R251" s="11">
        <v>0</v>
      </c>
      <c r="S251" s="11">
        <f t="shared" si="62"/>
        <v>0</v>
      </c>
      <c r="U251" s="22" t="s">
        <v>31</v>
      </c>
      <c r="V251" s="11">
        <v>0</v>
      </c>
      <c r="W251" s="11">
        <v>0</v>
      </c>
      <c r="X251" s="11">
        <v>0</v>
      </c>
      <c r="Y251" s="11">
        <v>0</v>
      </c>
      <c r="Z251" s="11">
        <v>0</v>
      </c>
      <c r="AA251" s="11">
        <v>0</v>
      </c>
      <c r="AB251" s="11">
        <v>0</v>
      </c>
      <c r="AC251" s="11">
        <v>0</v>
      </c>
      <c r="AD251" s="11">
        <v>0</v>
      </c>
      <c r="AE251" s="11">
        <f t="shared" si="63"/>
        <v>0</v>
      </c>
    </row>
    <row r="252" spans="2:31">
      <c r="B252" s="22" t="s">
        <v>32</v>
      </c>
      <c r="C252" s="11">
        <v>0</v>
      </c>
      <c r="D252" s="11">
        <v>0</v>
      </c>
      <c r="E252" s="23">
        <v>0</v>
      </c>
      <c r="F252" s="11">
        <v>0</v>
      </c>
      <c r="G252" s="11">
        <v>0</v>
      </c>
      <c r="H252" s="11"/>
      <c r="I252" s="11"/>
      <c r="J252" s="11"/>
      <c r="K252" s="11"/>
      <c r="L252" s="11"/>
      <c r="M252" s="11"/>
      <c r="N252" s="11"/>
      <c r="O252" s="11">
        <v>0</v>
      </c>
      <c r="P252" s="11">
        <v>0</v>
      </c>
      <c r="Q252" s="11">
        <v>0</v>
      </c>
      <c r="R252" s="11">
        <v>0</v>
      </c>
      <c r="S252" s="11">
        <f t="shared" si="62"/>
        <v>0</v>
      </c>
      <c r="U252" s="22" t="s">
        <v>32</v>
      </c>
      <c r="V252" s="11">
        <v>0</v>
      </c>
      <c r="W252" s="11">
        <v>0</v>
      </c>
      <c r="X252" s="23">
        <v>0</v>
      </c>
      <c r="Y252" s="11">
        <v>0</v>
      </c>
      <c r="Z252" s="11">
        <v>0</v>
      </c>
      <c r="AA252" s="11">
        <v>0</v>
      </c>
      <c r="AB252" s="11">
        <v>0</v>
      </c>
      <c r="AC252" s="11">
        <v>0</v>
      </c>
      <c r="AD252" s="11">
        <v>0</v>
      </c>
      <c r="AE252" s="11">
        <f t="shared" si="63"/>
        <v>0</v>
      </c>
    </row>
    <row r="253" spans="2:31">
      <c r="B253" s="24" t="s">
        <v>33</v>
      </c>
      <c r="C253" s="15">
        <f>C244+C248+C249+C250+C251+C252</f>
        <v>0</v>
      </c>
      <c r="D253" s="15">
        <f t="shared" ref="D253:R253" si="64">D244+D248+D249+D250+D251+D252</f>
        <v>0</v>
      </c>
      <c r="E253" s="15">
        <f t="shared" si="64"/>
        <v>0</v>
      </c>
      <c r="F253" s="15">
        <f t="shared" si="64"/>
        <v>0</v>
      </c>
      <c r="G253" s="15">
        <f t="shared" si="64"/>
        <v>0</v>
      </c>
      <c r="H253" s="15">
        <f t="shared" si="64"/>
        <v>0</v>
      </c>
      <c r="I253" s="15">
        <f t="shared" si="64"/>
        <v>0</v>
      </c>
      <c r="J253" s="15">
        <f t="shared" si="64"/>
        <v>0</v>
      </c>
      <c r="K253" s="15">
        <f t="shared" si="64"/>
        <v>0</v>
      </c>
      <c r="L253" s="15">
        <f t="shared" si="64"/>
        <v>0</v>
      </c>
      <c r="M253" s="15">
        <f t="shared" si="64"/>
        <v>0</v>
      </c>
      <c r="N253" s="15">
        <f t="shared" si="64"/>
        <v>0</v>
      </c>
      <c r="O253" s="15">
        <f t="shared" si="64"/>
        <v>0</v>
      </c>
      <c r="P253" s="15">
        <f t="shared" si="64"/>
        <v>0</v>
      </c>
      <c r="Q253" s="15">
        <f t="shared" si="64"/>
        <v>0</v>
      </c>
      <c r="R253" s="15">
        <f t="shared" si="64"/>
        <v>0</v>
      </c>
      <c r="S253" s="15">
        <f t="shared" si="62"/>
        <v>0</v>
      </c>
      <c r="U253" s="24" t="s">
        <v>33</v>
      </c>
      <c r="V253" s="15">
        <f>V244+V248+V249+V250+V251+V252</f>
        <v>0</v>
      </c>
      <c r="W253" s="15">
        <f t="shared" ref="W253:AD253" si="65">W244+W248+W249+W250+W251+W252</f>
        <v>0</v>
      </c>
      <c r="X253" s="15">
        <f t="shared" si="65"/>
        <v>0</v>
      </c>
      <c r="Y253" s="15">
        <f t="shared" si="65"/>
        <v>0</v>
      </c>
      <c r="Z253" s="15">
        <f t="shared" si="65"/>
        <v>0</v>
      </c>
      <c r="AA253" s="15">
        <f t="shared" si="65"/>
        <v>0</v>
      </c>
      <c r="AB253" s="15">
        <f t="shared" si="65"/>
        <v>0</v>
      </c>
      <c r="AC253" s="15">
        <f t="shared" si="65"/>
        <v>0</v>
      </c>
      <c r="AD253" s="15">
        <f t="shared" si="65"/>
        <v>0</v>
      </c>
      <c r="AE253" s="15">
        <f t="shared" si="63"/>
        <v>0</v>
      </c>
    </row>
    <row r="254" spans="2:31">
      <c r="B254" s="22" t="s">
        <v>34</v>
      </c>
      <c r="C254" s="11">
        <v>0</v>
      </c>
      <c r="D254" s="11">
        <v>0</v>
      </c>
      <c r="E254" s="11">
        <v>0</v>
      </c>
      <c r="F254" s="11">
        <v>0</v>
      </c>
      <c r="G254" s="11">
        <v>0</v>
      </c>
      <c r="H254" s="11"/>
      <c r="I254" s="11"/>
      <c r="J254" s="11"/>
      <c r="K254" s="11"/>
      <c r="L254" s="11"/>
      <c r="M254" s="11"/>
      <c r="N254" s="11"/>
      <c r="O254" s="11">
        <v>0</v>
      </c>
      <c r="P254" s="11">
        <v>0</v>
      </c>
      <c r="Q254" s="11">
        <v>0</v>
      </c>
      <c r="R254" s="11">
        <v>0</v>
      </c>
      <c r="S254" s="11">
        <f t="shared" ref="S254:S261" si="66">SUM(C254:R254)</f>
        <v>0</v>
      </c>
      <c r="U254" s="22" t="s">
        <v>34</v>
      </c>
      <c r="V254" s="11">
        <v>0</v>
      </c>
      <c r="W254" s="11">
        <v>0</v>
      </c>
      <c r="X254" s="11">
        <v>0</v>
      </c>
      <c r="Y254" s="11">
        <v>0</v>
      </c>
      <c r="Z254" s="11">
        <v>0</v>
      </c>
      <c r="AA254" s="11">
        <v>0</v>
      </c>
      <c r="AB254" s="11">
        <v>0</v>
      </c>
      <c r="AC254" s="11">
        <v>0</v>
      </c>
      <c r="AD254" s="11">
        <v>0</v>
      </c>
      <c r="AE254" s="11">
        <f t="shared" ref="AE254:AE261" si="67">SUM(V254:AD254)</f>
        <v>0</v>
      </c>
    </row>
    <row r="255" spans="2:31">
      <c r="B255" s="22" t="s">
        <v>35</v>
      </c>
      <c r="C255" s="11">
        <f>(P255-Q255)*$X$48*('Prod Energie'!I32)</f>
        <v>0</v>
      </c>
      <c r="D255" s="11">
        <v>0</v>
      </c>
      <c r="E255" s="11">
        <f>(P255-Q255)*$X$48*('Prod Energie'!I33)</f>
        <v>0</v>
      </c>
      <c r="F255" s="11">
        <v>0</v>
      </c>
      <c r="G255" s="11">
        <f>(P255-Q255)*$X$48*('Prod Energie'!I40+'Prod Energie'!D39)</f>
        <v>1245.933517077144</v>
      </c>
      <c r="H255" s="11"/>
      <c r="I255" s="11"/>
      <c r="J255" s="11"/>
      <c r="K255" s="11"/>
      <c r="L255" s="11"/>
      <c r="M255" s="11"/>
      <c r="N255" s="11"/>
      <c r="O255" s="11">
        <f>(P255-Q255)*$X$48*('Prod Energie'!I38)</f>
        <v>3894.1903416959112</v>
      </c>
      <c r="P255" s="11">
        <f>P260/(1+$P$48+$Q$48)</f>
        <v>-4646.6290046201866</v>
      </c>
      <c r="Q255" s="11">
        <f>Q260/(1+$D$48)</f>
        <v>-638.28536251271544</v>
      </c>
      <c r="R255" s="11">
        <v>0</v>
      </c>
      <c r="S255" s="11">
        <f t="shared" si="66"/>
        <v>-144.79050835984708</v>
      </c>
      <c r="U255" s="22" t="s">
        <v>35</v>
      </c>
      <c r="V255" s="11">
        <f>(AB255-AC255)*$X$48*('Prod Energie'!I53)</f>
        <v>0</v>
      </c>
      <c r="W255" s="11">
        <v>0</v>
      </c>
      <c r="X255" s="11">
        <f>(AB255-AC255)*$X$48*('Prod Energie'!I54)</f>
        <v>0</v>
      </c>
      <c r="Y255" s="11">
        <v>0</v>
      </c>
      <c r="Z255" s="11">
        <f>(AB255-AC255)*$X$48*('Prod Energie'!I61+'Prod Energie'!D60)</f>
        <v>1180.487980395669</v>
      </c>
      <c r="AA255" s="11">
        <f>(AB255-AC255)*$X$48*('Prod Energie'!I59)</f>
        <v>3210.8535363298934</v>
      </c>
      <c r="AB255" s="11">
        <f>AB260/(1+$P$48+$Q$48)</f>
        <v>-4307.3838777528963</v>
      </c>
      <c r="AC255" s="11">
        <f>AC260/(1+$D$48)</f>
        <v>-638.28536251271544</v>
      </c>
      <c r="AD255" s="11">
        <v>0</v>
      </c>
      <c r="AE255" s="11">
        <f t="shared" si="67"/>
        <v>-554.32772354004919</v>
      </c>
    </row>
    <row r="256" spans="2:31">
      <c r="B256" s="22" t="s">
        <v>36</v>
      </c>
      <c r="C256" s="11">
        <v>0</v>
      </c>
      <c r="D256" s="11">
        <v>0</v>
      </c>
      <c r="E256" s="11">
        <v>0</v>
      </c>
      <c r="F256" s="11">
        <v>0</v>
      </c>
      <c r="G256" s="11">
        <v>0</v>
      </c>
      <c r="H256" s="11"/>
      <c r="I256" s="11"/>
      <c r="J256" s="11"/>
      <c r="K256" s="11"/>
      <c r="L256" s="11"/>
      <c r="M256" s="11"/>
      <c r="N256" s="11"/>
      <c r="O256" s="11">
        <v>0</v>
      </c>
      <c r="P256" s="11">
        <v>0</v>
      </c>
      <c r="Q256" s="11">
        <v>0</v>
      </c>
      <c r="R256" s="11">
        <v>0</v>
      </c>
      <c r="S256" s="11">
        <f t="shared" si="66"/>
        <v>0</v>
      </c>
      <c r="U256" s="22" t="s">
        <v>36</v>
      </c>
      <c r="V256" s="11">
        <v>0</v>
      </c>
      <c r="W256" s="11">
        <v>0</v>
      </c>
      <c r="X256" s="11">
        <v>0</v>
      </c>
      <c r="Y256" s="11">
        <v>0</v>
      </c>
      <c r="Z256" s="11">
        <v>0</v>
      </c>
      <c r="AA256" s="11">
        <v>0</v>
      </c>
      <c r="AB256" s="11">
        <v>0</v>
      </c>
      <c r="AC256" s="11">
        <v>0</v>
      </c>
      <c r="AD256" s="11">
        <v>0</v>
      </c>
      <c r="AE256" s="11">
        <f t="shared" si="67"/>
        <v>0</v>
      </c>
    </row>
    <row r="257" spans="2:32">
      <c r="B257" s="22" t="s">
        <v>37</v>
      </c>
      <c r="C257" s="11">
        <v>0</v>
      </c>
      <c r="D257" s="11">
        <v>0</v>
      </c>
      <c r="E257" s="11">
        <v>0</v>
      </c>
      <c r="F257" s="11">
        <v>0</v>
      </c>
      <c r="G257" s="11">
        <v>0</v>
      </c>
      <c r="H257" s="11"/>
      <c r="I257" s="11"/>
      <c r="J257" s="11"/>
      <c r="K257" s="11"/>
      <c r="L257" s="11"/>
      <c r="M257" s="11"/>
      <c r="N257" s="11"/>
      <c r="O257" s="11">
        <v>0</v>
      </c>
      <c r="P257" s="11">
        <v>0</v>
      </c>
      <c r="Q257" s="11">
        <v>0</v>
      </c>
      <c r="R257" s="11">
        <v>0</v>
      </c>
      <c r="S257" s="11">
        <f t="shared" si="66"/>
        <v>0</v>
      </c>
      <c r="U257" s="22" t="s">
        <v>37</v>
      </c>
      <c r="V257" s="11">
        <v>0</v>
      </c>
      <c r="W257" s="11">
        <v>0</v>
      </c>
      <c r="X257" s="11">
        <v>0</v>
      </c>
      <c r="Y257" s="11">
        <v>0</v>
      </c>
      <c r="Z257" s="11">
        <v>0</v>
      </c>
      <c r="AA257" s="11">
        <v>0</v>
      </c>
      <c r="AB257" s="11">
        <v>0</v>
      </c>
      <c r="AC257" s="11">
        <v>0</v>
      </c>
      <c r="AD257" s="11">
        <v>0</v>
      </c>
      <c r="AE257" s="11">
        <f t="shared" si="67"/>
        <v>0</v>
      </c>
    </row>
    <row r="258" spans="2:32">
      <c r="B258" s="22" t="s">
        <v>38</v>
      </c>
      <c r="C258" s="11">
        <v>0</v>
      </c>
      <c r="D258" s="11">
        <v>0</v>
      </c>
      <c r="E258" s="11">
        <v>0</v>
      </c>
      <c r="F258" s="11">
        <v>0</v>
      </c>
      <c r="G258" s="11">
        <v>0</v>
      </c>
      <c r="H258" s="11"/>
      <c r="I258" s="11"/>
      <c r="J258" s="11"/>
      <c r="K258" s="11"/>
      <c r="L258" s="11"/>
      <c r="M258" s="11"/>
      <c r="N258" s="11"/>
      <c r="O258" s="11">
        <v>0</v>
      </c>
      <c r="P258" s="11">
        <f>P255*$P$48</f>
        <v>55.48677452667085</v>
      </c>
      <c r="Q258" s="11">
        <v>0</v>
      </c>
      <c r="R258" s="11">
        <v>0</v>
      </c>
      <c r="S258" s="11">
        <f t="shared" si="66"/>
        <v>55.48677452667085</v>
      </c>
      <c r="U258" s="22" t="s">
        <v>38</v>
      </c>
      <c r="V258" s="11">
        <v>0</v>
      </c>
      <c r="W258" s="11">
        <v>0</v>
      </c>
      <c r="X258" s="11">
        <v>0</v>
      </c>
      <c r="Y258" s="11">
        <v>0</v>
      </c>
      <c r="Z258" s="11">
        <v>0</v>
      </c>
      <c r="AA258" s="11">
        <v>0</v>
      </c>
      <c r="AB258" s="11">
        <f>AB255*$P$48</f>
        <v>51.435747891008589</v>
      </c>
      <c r="AC258" s="11">
        <v>0</v>
      </c>
      <c r="AD258" s="11">
        <v>0</v>
      </c>
      <c r="AE258" s="11">
        <f t="shared" si="67"/>
        <v>51.435747891008589</v>
      </c>
    </row>
    <row r="259" spans="2:32">
      <c r="B259" s="22" t="s">
        <v>39</v>
      </c>
      <c r="C259" s="11">
        <v>0</v>
      </c>
      <c r="D259" s="11">
        <v>0</v>
      </c>
      <c r="E259" s="11">
        <v>0</v>
      </c>
      <c r="F259" s="11">
        <v>0</v>
      </c>
      <c r="G259" s="11">
        <v>0</v>
      </c>
      <c r="H259" s="11"/>
      <c r="I259" s="11"/>
      <c r="J259" s="11"/>
      <c r="K259" s="11"/>
      <c r="L259" s="11"/>
      <c r="M259" s="11"/>
      <c r="N259" s="11"/>
      <c r="O259" s="11">
        <v>0</v>
      </c>
      <c r="P259" s="11">
        <f>P255*$Q$48</f>
        <v>297.16908654452305</v>
      </c>
      <c r="Q259" s="11">
        <f>Q255*$D$48</f>
        <v>53.977620508474878</v>
      </c>
      <c r="R259" s="11">
        <v>0</v>
      </c>
      <c r="S259" s="11">
        <f t="shared" si="66"/>
        <v>351.14670705299795</v>
      </c>
      <c r="U259" s="22" t="s">
        <v>39</v>
      </c>
      <c r="V259" s="11">
        <v>0</v>
      </c>
      <c r="W259" s="11">
        <v>0</v>
      </c>
      <c r="X259" s="11">
        <v>0</v>
      </c>
      <c r="Y259" s="11">
        <v>0</v>
      </c>
      <c r="Z259" s="11">
        <v>0</v>
      </c>
      <c r="AA259" s="11">
        <v>0</v>
      </c>
      <c r="AB259" s="11">
        <f>AB255*$Q$48</f>
        <v>275.47310772512645</v>
      </c>
      <c r="AC259" s="11">
        <f>AC255*$D$48</f>
        <v>53.977620508474878</v>
      </c>
      <c r="AD259" s="11">
        <v>0</v>
      </c>
      <c r="AE259" s="11">
        <f t="shared" si="67"/>
        <v>329.45072823360135</v>
      </c>
    </row>
    <row r="260" spans="2:32">
      <c r="B260" s="24" t="s">
        <v>40</v>
      </c>
      <c r="C260" s="15">
        <f t="shared" ref="C260:O260" si="68">SUM(C254:C259)</f>
        <v>0</v>
      </c>
      <c r="D260" s="15">
        <f t="shared" si="68"/>
        <v>0</v>
      </c>
      <c r="E260" s="15">
        <f t="shared" si="68"/>
        <v>0</v>
      </c>
      <c r="F260" s="15">
        <f t="shared" si="68"/>
        <v>0</v>
      </c>
      <c r="G260" s="15">
        <f t="shared" si="68"/>
        <v>1245.933517077144</v>
      </c>
      <c r="H260" s="15"/>
      <c r="I260" s="15"/>
      <c r="J260" s="15"/>
      <c r="K260" s="15"/>
      <c r="L260" s="15"/>
      <c r="M260" s="15"/>
      <c r="N260" s="15"/>
      <c r="O260" s="15">
        <f t="shared" si="68"/>
        <v>3894.1903416959112</v>
      </c>
      <c r="P260" s="15">
        <f>-P268</f>
        <v>-4293.973143548993</v>
      </c>
      <c r="Q260" s="15">
        <f>-Q268</f>
        <v>-584.30774200424059</v>
      </c>
      <c r="R260" s="15">
        <v>0</v>
      </c>
      <c r="S260" s="15">
        <f t="shared" si="66"/>
        <v>261.84297321982137</v>
      </c>
      <c r="U260" s="24" t="s">
        <v>40</v>
      </c>
      <c r="V260" s="15">
        <f t="shared" ref="V260:AA260" si="69">SUM(V254:V259)</f>
        <v>0</v>
      </c>
      <c r="W260" s="15">
        <f t="shared" si="69"/>
        <v>0</v>
      </c>
      <c r="X260" s="15">
        <f t="shared" si="69"/>
        <v>0</v>
      </c>
      <c r="Y260" s="15">
        <f t="shared" si="69"/>
        <v>0</v>
      </c>
      <c r="Z260" s="15">
        <f t="shared" si="69"/>
        <v>1180.487980395669</v>
      </c>
      <c r="AA260" s="15">
        <f t="shared" si="69"/>
        <v>3210.8535363298934</v>
      </c>
      <c r="AB260" s="15">
        <f>-AB268</f>
        <v>-3980.4750221367617</v>
      </c>
      <c r="AC260" s="15">
        <f>-AC268</f>
        <v>-584.30774200424059</v>
      </c>
      <c r="AD260" s="15">
        <v>0</v>
      </c>
      <c r="AE260" s="15">
        <f t="shared" si="67"/>
        <v>-173.44124741543976</v>
      </c>
    </row>
    <row r="261" spans="2:32">
      <c r="B261" s="22" t="s">
        <v>41</v>
      </c>
      <c r="C261" s="11">
        <v>0</v>
      </c>
      <c r="D261" s="11">
        <v>0</v>
      </c>
      <c r="E261" s="11">
        <f>Industrie!I35</f>
        <v>348.57441214519031</v>
      </c>
      <c r="F261" s="11">
        <v>0</v>
      </c>
      <c r="G261" s="11">
        <v>0</v>
      </c>
      <c r="H261" s="11"/>
      <c r="I261" s="11"/>
      <c r="J261" s="11"/>
      <c r="K261" s="11"/>
      <c r="L261" s="11"/>
      <c r="M261" s="11"/>
      <c r="N261" s="11"/>
      <c r="O261" s="11">
        <f>Industrie!I38</f>
        <v>37.524350403942051</v>
      </c>
      <c r="P261" s="11">
        <f>Industrie!I36</f>
        <v>371.49106899902631</v>
      </c>
      <c r="Q261" s="11">
        <f>Industrie!I39</f>
        <v>584.30774200424059</v>
      </c>
      <c r="R261" s="11">
        <v>0</v>
      </c>
      <c r="S261" s="11">
        <f t="shared" si="66"/>
        <v>1341.8975735523991</v>
      </c>
      <c r="U261" s="22" t="s">
        <v>41</v>
      </c>
      <c r="V261" s="11">
        <v>0</v>
      </c>
      <c r="W261" s="11">
        <v>0</v>
      </c>
      <c r="X261" s="11">
        <f>Industrie!I56</f>
        <v>0</v>
      </c>
      <c r="Y261" s="11">
        <v>0</v>
      </c>
      <c r="Z261" s="11">
        <v>0</v>
      </c>
      <c r="AA261" s="11">
        <f>Industrie!I62</f>
        <v>178.8906397739359</v>
      </c>
      <c r="AB261" s="11">
        <f>Industrie!I57</f>
        <v>456.82345205064792</v>
      </c>
      <c r="AC261" s="11">
        <f>Industrie!I63</f>
        <v>584.30774200424059</v>
      </c>
      <c r="AD261" s="11">
        <v>0</v>
      </c>
      <c r="AE261" s="11">
        <f t="shared" si="67"/>
        <v>1220.0218338288246</v>
      </c>
    </row>
    <row r="262" spans="2:32">
      <c r="B262" s="22" t="s">
        <v>42</v>
      </c>
      <c r="C262" s="11">
        <v>0</v>
      </c>
      <c r="D262" s="11">
        <v>0</v>
      </c>
      <c r="E262" s="11">
        <f>Transports!K44</f>
        <v>2906.7655298176041</v>
      </c>
      <c r="F262" s="11">
        <v>0</v>
      </c>
      <c r="G262" s="11">
        <v>0</v>
      </c>
      <c r="H262" s="11"/>
      <c r="I262" s="11"/>
      <c r="J262" s="11"/>
      <c r="K262" s="11"/>
      <c r="L262" s="11"/>
      <c r="M262" s="11"/>
      <c r="N262" s="11"/>
      <c r="O262" s="11">
        <v>0</v>
      </c>
      <c r="P262" s="11">
        <f>Transports!K45</f>
        <v>736.14865603147734</v>
      </c>
      <c r="Q262" s="11">
        <v>0</v>
      </c>
      <c r="R262" s="11">
        <v>0</v>
      </c>
      <c r="S262" s="11">
        <f>Transports!K46</f>
        <v>3642.9141858490816</v>
      </c>
      <c r="U262" s="22" t="s">
        <v>42</v>
      </c>
      <c r="V262" s="11">
        <v>0</v>
      </c>
      <c r="W262" s="11">
        <v>0</v>
      </c>
      <c r="X262" s="11">
        <f>Transports!K71</f>
        <v>489.92204534026462</v>
      </c>
      <c r="Y262" s="11">
        <v>0</v>
      </c>
      <c r="Z262" s="11">
        <v>0</v>
      </c>
      <c r="AA262" s="11">
        <v>0</v>
      </c>
      <c r="AB262" s="11">
        <f>Transports!K72</f>
        <v>1668.344712962723</v>
      </c>
      <c r="AC262" s="11">
        <v>0</v>
      </c>
      <c r="AD262" s="11">
        <v>0</v>
      </c>
      <c r="AE262" s="11">
        <f>Transports!K73</f>
        <v>2158.2667583029875</v>
      </c>
    </row>
    <row r="263" spans="2:32">
      <c r="B263" s="22" t="s">
        <v>43</v>
      </c>
      <c r="C263" s="11">
        <v>0</v>
      </c>
      <c r="D263" s="11">
        <v>0</v>
      </c>
      <c r="E263" s="11">
        <f>'Résidentiel-tertiaire'!I163</f>
        <v>127.91175720449806</v>
      </c>
      <c r="F263" s="11">
        <v>0</v>
      </c>
      <c r="G263" s="11">
        <v>0</v>
      </c>
      <c r="H263" s="11"/>
      <c r="I263" s="11"/>
      <c r="J263" s="11"/>
      <c r="K263" s="11"/>
      <c r="L263" s="11"/>
      <c r="M263" s="11"/>
      <c r="N263" s="11"/>
      <c r="O263" s="11">
        <f>'Résidentiel-tertiaire'!I164</f>
        <v>880.08850337442675</v>
      </c>
      <c r="P263" s="11">
        <f>'Résidentiel-tertiaire'!I165</f>
        <v>1710.1245800166587</v>
      </c>
      <c r="Q263" s="11">
        <v>0</v>
      </c>
      <c r="R263" s="11">
        <v>0</v>
      </c>
      <c r="S263" s="11">
        <f>SUM(C263:R263)</f>
        <v>2718.1248405955835</v>
      </c>
      <c r="U263" s="22" t="s">
        <v>43</v>
      </c>
      <c r="V263" s="11">
        <v>0</v>
      </c>
      <c r="W263" s="11">
        <v>0</v>
      </c>
      <c r="X263" s="11">
        <f>'Résidentiel-tertiaire'!I177</f>
        <v>0</v>
      </c>
      <c r="Y263" s="11">
        <v>0</v>
      </c>
      <c r="Z263" s="11">
        <v>0</v>
      </c>
      <c r="AA263" s="11">
        <f>'Résidentiel-tertiaire'!I178</f>
        <v>475.56224039017627</v>
      </c>
      <c r="AB263" s="11">
        <f>'Résidentiel-tertiaire'!I179</f>
        <v>925.9351144682347</v>
      </c>
      <c r="AC263" s="11">
        <v>0</v>
      </c>
      <c r="AD263" s="11">
        <v>0</v>
      </c>
      <c r="AE263" s="11">
        <f>SUM(V263:AD263)</f>
        <v>1401.497354858411</v>
      </c>
    </row>
    <row r="264" spans="2:32">
      <c r="B264" s="22" t="s">
        <v>44</v>
      </c>
      <c r="C264" s="11">
        <v>0</v>
      </c>
      <c r="D264" s="11">
        <v>0</v>
      </c>
      <c r="E264" s="11">
        <f>'Résidentiel-tertiaire'!I168</f>
        <v>408.32724786951104</v>
      </c>
      <c r="F264" s="11">
        <v>0</v>
      </c>
      <c r="G264" s="11">
        <v>0</v>
      </c>
      <c r="H264" s="11"/>
      <c r="I264" s="11"/>
      <c r="J264" s="11"/>
      <c r="K264" s="11"/>
      <c r="L264" s="11"/>
      <c r="M264" s="11"/>
      <c r="N264" s="11"/>
      <c r="O264" s="11">
        <f>'Résidentiel-tertiaire'!I169</f>
        <v>1.2262079515600932</v>
      </c>
      <c r="P264" s="11">
        <f>'Résidentiel-tertiaire'!I170</f>
        <v>1455.5088385018305</v>
      </c>
      <c r="Q264" s="11">
        <v>0</v>
      </c>
      <c r="R264" s="11">
        <v>0</v>
      </c>
      <c r="S264" s="11">
        <f>SUM(C264:R264)</f>
        <v>1865.0622943229016</v>
      </c>
      <c r="U264" s="22" t="s">
        <v>44</v>
      </c>
      <c r="V264" s="11">
        <v>0</v>
      </c>
      <c r="W264" s="11">
        <v>0</v>
      </c>
      <c r="X264" s="11">
        <f>'Résidentiel-tertiaire'!I182</f>
        <v>0</v>
      </c>
      <c r="Y264" s="11">
        <v>0</v>
      </c>
      <c r="Z264" s="11">
        <v>0</v>
      </c>
      <c r="AA264" s="11">
        <f>'Résidentiel-tertiaire'!I183</f>
        <v>0.65348960017981417</v>
      </c>
      <c r="AB264" s="11">
        <f>'Résidentiel-tertiaire'!I184</f>
        <v>927.3017426551562</v>
      </c>
      <c r="AC264" s="11">
        <v>0</v>
      </c>
      <c r="AD264" s="11">
        <v>0</v>
      </c>
      <c r="AE264" s="11">
        <f>SUM(V264:AD264)</f>
        <v>927.955232255336</v>
      </c>
    </row>
    <row r="265" spans="2:32">
      <c r="B265" s="22" t="s">
        <v>4</v>
      </c>
      <c r="C265" s="11">
        <v>0</v>
      </c>
      <c r="D265" s="11">
        <v>0</v>
      </c>
      <c r="E265" s="11">
        <f>Agriculture!Y27</f>
        <v>105.57</v>
      </c>
      <c r="F265" s="11">
        <v>0</v>
      </c>
      <c r="G265" s="11">
        <v>0</v>
      </c>
      <c r="H265" s="11"/>
      <c r="I265" s="11"/>
      <c r="J265" s="11"/>
      <c r="K265" s="11"/>
      <c r="L265" s="11"/>
      <c r="M265" s="11"/>
      <c r="N265" s="11"/>
      <c r="O265" s="11">
        <v>0</v>
      </c>
      <c r="P265" s="11">
        <f>Agriculture!Y28</f>
        <v>20.7</v>
      </c>
      <c r="Q265" s="11">
        <v>0</v>
      </c>
      <c r="R265" s="11">
        <v>0</v>
      </c>
      <c r="S265" s="11">
        <f>SUM(C265:R265)</f>
        <v>126.27</v>
      </c>
      <c r="U265" s="22" t="s">
        <v>4</v>
      </c>
      <c r="V265" s="11">
        <v>0</v>
      </c>
      <c r="W265" s="11">
        <v>0</v>
      </c>
      <c r="X265" s="11">
        <f>Agriculture!AG43</f>
        <v>0</v>
      </c>
      <c r="Y265" s="11">
        <v>0</v>
      </c>
      <c r="Z265" s="11">
        <v>0</v>
      </c>
      <c r="AA265" s="11">
        <f>Agriculture!AG45</f>
        <v>95.012999999999991</v>
      </c>
      <c r="AB265" s="11">
        <f>Agriculture!AG44</f>
        <v>2.0699999999999998</v>
      </c>
      <c r="AC265" s="11">
        <v>0</v>
      </c>
      <c r="AD265" s="11">
        <v>0</v>
      </c>
      <c r="AE265" s="11">
        <f>SUM(V265:AD265)</f>
        <v>97.082999999999984</v>
      </c>
    </row>
    <row r="266" spans="2:32">
      <c r="B266" s="26" t="s">
        <v>45</v>
      </c>
      <c r="C266" s="19">
        <v>0</v>
      </c>
      <c r="D266" s="19">
        <v>0</v>
      </c>
      <c r="E266" s="19">
        <f t="shared" ref="E266:S266" si="70">SUM(E261:E265)</f>
        <v>3897.1489470368037</v>
      </c>
      <c r="F266" s="19">
        <f t="shared" si="70"/>
        <v>0</v>
      </c>
      <c r="G266" s="19">
        <f t="shared" si="70"/>
        <v>0</v>
      </c>
      <c r="H266" s="19"/>
      <c r="I266" s="19"/>
      <c r="J266" s="19"/>
      <c r="K266" s="19"/>
      <c r="L266" s="19"/>
      <c r="M266" s="19"/>
      <c r="N266" s="19"/>
      <c r="O266" s="19">
        <f t="shared" si="70"/>
        <v>918.83906172992897</v>
      </c>
      <c r="P266" s="19">
        <f t="shared" si="70"/>
        <v>4293.973143548993</v>
      </c>
      <c r="Q266" s="19">
        <f t="shared" si="70"/>
        <v>584.30774200424059</v>
      </c>
      <c r="R266" s="19">
        <f t="shared" si="70"/>
        <v>0</v>
      </c>
      <c r="S266" s="19">
        <f t="shared" si="70"/>
        <v>9694.2688943199646</v>
      </c>
      <c r="U266" s="26" t="s">
        <v>45</v>
      </c>
      <c r="V266" s="19">
        <v>0</v>
      </c>
      <c r="W266" s="19">
        <v>0</v>
      </c>
      <c r="X266" s="19">
        <f t="shared" ref="X266:AE266" si="71">SUM(X261:X265)</f>
        <v>489.92204534026462</v>
      </c>
      <c r="Y266" s="19">
        <f t="shared" si="71"/>
        <v>0</v>
      </c>
      <c r="Z266" s="19">
        <f t="shared" si="71"/>
        <v>0</v>
      </c>
      <c r="AA266" s="19">
        <f t="shared" si="71"/>
        <v>750.11936976429206</v>
      </c>
      <c r="AB266" s="19">
        <f t="shared" si="71"/>
        <v>3980.4750221367617</v>
      </c>
      <c r="AC266" s="19">
        <f t="shared" si="71"/>
        <v>584.30774200424059</v>
      </c>
      <c r="AD266" s="19">
        <f t="shared" si="71"/>
        <v>0</v>
      </c>
      <c r="AE266" s="19">
        <f t="shared" si="71"/>
        <v>5804.8241792455592</v>
      </c>
    </row>
    <row r="267" spans="2:32">
      <c r="B267" s="26" t="s">
        <v>46</v>
      </c>
      <c r="C267" s="19">
        <v>0</v>
      </c>
      <c r="D267" s="19">
        <v>0</v>
      </c>
      <c r="E267" s="19">
        <f>Industrie!I37</f>
        <v>359.16163958058826</v>
      </c>
      <c r="F267" s="19">
        <v>0</v>
      </c>
      <c r="G267" s="19">
        <v>0</v>
      </c>
      <c r="H267" s="19"/>
      <c r="I267" s="19"/>
      <c r="J267" s="19"/>
      <c r="K267" s="19"/>
      <c r="L267" s="19"/>
      <c r="M267" s="19"/>
      <c r="N267" s="19"/>
      <c r="O267" s="19">
        <v>0</v>
      </c>
      <c r="P267" s="19">
        <v>0</v>
      </c>
      <c r="Q267" s="19">
        <v>0</v>
      </c>
      <c r="R267" s="19">
        <v>0</v>
      </c>
      <c r="S267" s="19">
        <f>SUM(C267:R267)</f>
        <v>359.16163958058826</v>
      </c>
      <c r="U267" s="26" t="s">
        <v>46</v>
      </c>
      <c r="V267" s="19">
        <v>0</v>
      </c>
      <c r="W267" s="19">
        <v>0</v>
      </c>
      <c r="X267" s="19">
        <f>Industrie!I59</f>
        <v>359.16163958058826</v>
      </c>
      <c r="Y267" s="19">
        <v>0</v>
      </c>
      <c r="Z267" s="19">
        <v>0</v>
      </c>
      <c r="AA267" s="19">
        <f>Industrie!I61</f>
        <v>179.58081979029413</v>
      </c>
      <c r="AB267" s="19">
        <v>0</v>
      </c>
      <c r="AC267" s="19">
        <v>0</v>
      </c>
      <c r="AD267" s="19">
        <v>0</v>
      </c>
      <c r="AE267" s="19">
        <f>SUM(V267:AD267)</f>
        <v>538.74245937088244</v>
      </c>
    </row>
    <row r="268" spans="2:32">
      <c r="B268" s="24" t="s">
        <v>47</v>
      </c>
      <c r="C268" s="15">
        <v>0</v>
      </c>
      <c r="D268" s="15">
        <v>0</v>
      </c>
      <c r="E268" s="15">
        <f t="shared" ref="E268:S268" si="72">SUM(E266:E267)</f>
        <v>4256.3105866173919</v>
      </c>
      <c r="F268" s="15">
        <f t="shared" si="72"/>
        <v>0</v>
      </c>
      <c r="G268" s="15">
        <f t="shared" si="72"/>
        <v>0</v>
      </c>
      <c r="H268" s="15"/>
      <c r="I268" s="15"/>
      <c r="J268" s="15"/>
      <c r="K268" s="15"/>
      <c r="L268" s="15"/>
      <c r="M268" s="15"/>
      <c r="N268" s="15"/>
      <c r="O268" s="15">
        <f t="shared" si="72"/>
        <v>918.83906172992897</v>
      </c>
      <c r="P268" s="15">
        <f t="shared" si="72"/>
        <v>4293.973143548993</v>
      </c>
      <c r="Q268" s="15">
        <f t="shared" si="72"/>
        <v>584.30774200424059</v>
      </c>
      <c r="R268" s="15">
        <f t="shared" si="72"/>
        <v>0</v>
      </c>
      <c r="S268" s="15">
        <f t="shared" si="72"/>
        <v>10053.430533900553</v>
      </c>
      <c r="T268" s="27">
        <f>SUM(C268:R268)</f>
        <v>10053.430533900555</v>
      </c>
      <c r="U268" s="24" t="s">
        <v>47</v>
      </c>
      <c r="V268" s="15">
        <v>0</v>
      </c>
      <c r="W268" s="15">
        <v>0</v>
      </c>
      <c r="X268" s="15">
        <f t="shared" ref="X268:AE268" si="73">SUM(X266:X267)</f>
        <v>849.08368492085287</v>
      </c>
      <c r="Y268" s="15">
        <f t="shared" si="73"/>
        <v>0</v>
      </c>
      <c r="Z268" s="15">
        <f t="shared" si="73"/>
        <v>0</v>
      </c>
      <c r="AA268" s="15">
        <f t="shared" si="73"/>
        <v>929.70018955458613</v>
      </c>
      <c r="AB268" s="15">
        <f t="shared" si="73"/>
        <v>3980.4750221367617</v>
      </c>
      <c r="AC268" s="15">
        <f t="shared" si="73"/>
        <v>584.30774200424059</v>
      </c>
      <c r="AD268" s="15">
        <f t="shared" si="73"/>
        <v>0</v>
      </c>
      <c r="AE268" s="15">
        <f t="shared" si="73"/>
        <v>6343.5666386164412</v>
      </c>
      <c r="AF268" s="27">
        <f>SUM(V268:AD268)</f>
        <v>6343.5666386164412</v>
      </c>
    </row>
  </sheetData>
  <mergeCells count="2">
    <mergeCell ref="B2:D2"/>
    <mergeCell ref="B13:D13"/>
  </mergeCells>
  <pageMargins left="0.7" right="0.7" top="0.75" bottom="0.75"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AU63"/>
  <sheetViews>
    <sheetView topLeftCell="H28" zoomScaleNormal="100" workbookViewId="0">
      <selection activeCell="V38" sqref="V38"/>
    </sheetView>
  </sheetViews>
  <sheetFormatPr baseColWidth="10" defaultColWidth="8.88671875" defaultRowHeight="14.4"/>
  <cols>
    <col min="1" max="1" width="22.6640625" customWidth="1"/>
    <col min="2" max="12" width="10.44140625" customWidth="1"/>
    <col min="13" max="13" width="14.109375" customWidth="1"/>
    <col min="14" max="1025" width="10.44140625" customWidth="1"/>
  </cols>
  <sheetData>
    <row r="2" spans="1:47">
      <c r="A2" s="414" t="s">
        <v>55</v>
      </c>
      <c r="B2" s="414"/>
      <c r="C2" s="414"/>
      <c r="D2" s="414"/>
      <c r="E2" s="414"/>
      <c r="F2" s="414"/>
      <c r="G2" s="414"/>
      <c r="H2" s="414"/>
      <c r="I2" s="414"/>
      <c r="J2" s="414"/>
      <c r="K2" s="414"/>
      <c r="L2" s="414"/>
      <c r="M2" s="414"/>
    </row>
    <row r="4" spans="1:47">
      <c r="A4" s="30"/>
      <c r="B4" s="30">
        <v>2010</v>
      </c>
      <c r="C4" s="30">
        <v>2011</v>
      </c>
      <c r="D4" s="30">
        <v>2012</v>
      </c>
      <c r="E4" s="30">
        <v>2013</v>
      </c>
      <c r="F4" s="30">
        <v>2014</v>
      </c>
      <c r="G4" s="30">
        <v>2015</v>
      </c>
      <c r="H4" s="30">
        <v>2016</v>
      </c>
      <c r="I4" s="30">
        <v>2017</v>
      </c>
      <c r="J4" s="30">
        <v>2018</v>
      </c>
      <c r="K4" s="30">
        <v>2019</v>
      </c>
      <c r="L4" s="30">
        <v>2020</v>
      </c>
      <c r="M4" s="271" t="s">
        <v>422</v>
      </c>
      <c r="Q4" s="35"/>
    </row>
    <row r="5" spans="1:47">
      <c r="A5" s="30" t="s">
        <v>328</v>
      </c>
      <c r="B5" s="39">
        <f>GES!V10</f>
        <v>156.09252224953801</v>
      </c>
      <c r="C5" s="39">
        <f>GES!W10</f>
        <v>156.04761099704299</v>
      </c>
      <c r="D5" s="39">
        <f>GES!X10</f>
        <v>159.89742079539499</v>
      </c>
      <c r="E5" s="39">
        <f>GES!Y10</f>
        <v>155.916089274314</v>
      </c>
      <c r="F5" s="39">
        <f>GES!Z10</f>
        <v>161.56406115870001</v>
      </c>
      <c r="G5" s="39">
        <f>GES!AA10</f>
        <v>160.660981098652</v>
      </c>
      <c r="H5" s="39">
        <f>GES!AB10</f>
        <v>164.15610601692401</v>
      </c>
      <c r="I5" s="39">
        <f>GES!AC10</f>
        <v>162.64618730106599</v>
      </c>
      <c r="J5" s="39">
        <f>GES!AD10</f>
        <v>160.00242618003301</v>
      </c>
      <c r="K5" s="39">
        <f>GES!AE10</f>
        <v>160.33883987165399</v>
      </c>
      <c r="L5" s="30"/>
      <c r="M5" s="330" t="s">
        <v>227</v>
      </c>
      <c r="Q5" s="35"/>
    </row>
    <row r="6" spans="1:47">
      <c r="A6" s="1" t="s">
        <v>329</v>
      </c>
      <c r="B6" s="194">
        <f>(207*298)/1000</f>
        <v>61.686</v>
      </c>
      <c r="C6" s="194">
        <f>(207*298)/1000</f>
        <v>61.686</v>
      </c>
      <c r="D6" s="194">
        <f>(214*298)/1000</f>
        <v>63.771999999999998</v>
      </c>
      <c r="E6" s="194">
        <f>(211*298)/1000</f>
        <v>62.878</v>
      </c>
      <c r="F6" s="194">
        <f>(221*298)/1000</f>
        <v>65.858000000000004</v>
      </c>
      <c r="G6" s="194">
        <f>(213*298)/1000</f>
        <v>63.473999999999997</v>
      </c>
      <c r="H6" s="194">
        <f>(213*298)/1000</f>
        <v>63.473999999999997</v>
      </c>
      <c r="I6" s="194">
        <f>(214*298)/1000</f>
        <v>63.771999999999998</v>
      </c>
      <c r="J6" s="194">
        <f>(212*298)/1000</f>
        <v>63.176000000000002</v>
      </c>
      <c r="K6" s="194">
        <f>(216*298)/1000</f>
        <v>64.367999999999995</v>
      </c>
      <c r="L6" s="30"/>
      <c r="M6" s="330" t="s">
        <v>330</v>
      </c>
      <c r="Q6" s="35"/>
    </row>
    <row r="7" spans="1:47">
      <c r="A7" s="1" t="s">
        <v>331</v>
      </c>
      <c r="B7" s="194">
        <f>(3409*25)/1000</f>
        <v>85.224999999999994</v>
      </c>
      <c r="C7" s="194">
        <f>(3437*25)/1000</f>
        <v>85.924999999999997</v>
      </c>
      <c r="D7" s="194">
        <f>(3485*25)/1000</f>
        <v>87.125</v>
      </c>
      <c r="E7" s="194">
        <f>(3343*25)/1000</f>
        <v>83.575000000000003</v>
      </c>
      <c r="F7" s="194">
        <f>(3414*25)/1000</f>
        <v>85.35</v>
      </c>
      <c r="G7" s="194">
        <f>(3450*25)/1000</f>
        <v>86.25</v>
      </c>
      <c r="H7" s="194">
        <f>(3584*25)/1000</f>
        <v>89.6</v>
      </c>
      <c r="I7" s="194">
        <f>(3524*25)/1000</f>
        <v>88.1</v>
      </c>
      <c r="J7" s="194">
        <f>(3468*25)/1000</f>
        <v>86.7</v>
      </c>
      <c r="K7" s="194">
        <f>(3437*25)/1000</f>
        <v>85.924999999999997</v>
      </c>
      <c r="L7" s="30"/>
      <c r="M7" s="330" t="s">
        <v>332</v>
      </c>
      <c r="Q7" s="35"/>
    </row>
    <row r="8" spans="1:47">
      <c r="A8" s="1" t="s">
        <v>333</v>
      </c>
      <c r="B8" s="194">
        <f t="shared" ref="B8:K8" si="0">SUM(B6:B7)</f>
        <v>146.911</v>
      </c>
      <c r="C8" s="194">
        <f t="shared" si="0"/>
        <v>147.61099999999999</v>
      </c>
      <c r="D8" s="194">
        <f t="shared" si="0"/>
        <v>150.89699999999999</v>
      </c>
      <c r="E8" s="194">
        <f t="shared" si="0"/>
        <v>146.453</v>
      </c>
      <c r="F8" s="194">
        <f t="shared" si="0"/>
        <v>151.208</v>
      </c>
      <c r="G8" s="194">
        <f t="shared" si="0"/>
        <v>149.72399999999999</v>
      </c>
      <c r="H8" s="194">
        <f t="shared" si="0"/>
        <v>153.07399999999998</v>
      </c>
      <c r="I8" s="194">
        <f t="shared" si="0"/>
        <v>151.87199999999999</v>
      </c>
      <c r="J8" s="194">
        <f t="shared" si="0"/>
        <v>149.876</v>
      </c>
      <c r="K8" s="194">
        <f t="shared" si="0"/>
        <v>150.29300000000001</v>
      </c>
      <c r="L8" s="30"/>
      <c r="M8" s="330" t="s">
        <v>334</v>
      </c>
      <c r="Q8" s="35"/>
    </row>
    <row r="9" spans="1:47">
      <c r="A9" s="1" t="s">
        <v>335</v>
      </c>
      <c r="B9" s="194">
        <f>B8+8.3</f>
        <v>155.21100000000001</v>
      </c>
      <c r="C9" s="194">
        <f>C8+7.8</f>
        <v>155.411</v>
      </c>
      <c r="D9" s="194">
        <f>D8+8.3</f>
        <v>159.197</v>
      </c>
      <c r="E9" s="194">
        <f>E8+8.4</f>
        <v>154.85300000000001</v>
      </c>
      <c r="F9" s="194">
        <f>F8+9.3</f>
        <v>160.50800000000001</v>
      </c>
      <c r="G9" s="194">
        <f>G8+10</f>
        <v>159.72399999999999</v>
      </c>
      <c r="H9" s="194">
        <f>H8+10</f>
        <v>163.07399999999998</v>
      </c>
      <c r="I9" s="194">
        <f>I8+9.5</f>
        <v>161.37199999999999</v>
      </c>
      <c r="J9" s="194">
        <f>J8+8.8</f>
        <v>158.67600000000002</v>
      </c>
      <c r="K9" s="194">
        <f>K8+9</f>
        <v>159.29300000000001</v>
      </c>
      <c r="L9" s="30"/>
      <c r="M9" s="330"/>
      <c r="Q9" s="35"/>
    </row>
    <row r="10" spans="1:47">
      <c r="A10" s="1" t="s">
        <v>336</v>
      </c>
      <c r="B10" s="30">
        <f>'Cadrage macroéconomique '!B6*1.2%</f>
        <v>185.84399999999999</v>
      </c>
      <c r="C10" s="39">
        <f>'Cadrage macroéconomique '!C6*1.4%</f>
        <v>222.96399999999997</v>
      </c>
      <c r="D10" s="39"/>
      <c r="E10" s="39">
        <f>'Cadrage macroéconomique '!E6*1.5%</f>
        <v>255.19499999999999</v>
      </c>
      <c r="F10" s="39">
        <f>'Cadrage macroéconomique '!F6*1.4%</f>
        <v>245.47599999999997</v>
      </c>
      <c r="G10" s="39">
        <f>'Cadrage macroéconomique '!G6*1.6%</f>
        <v>280.88</v>
      </c>
      <c r="H10" s="39">
        <f>'Cadrage macroéconomique '!H6*0.019</f>
        <v>343.23500000000001</v>
      </c>
      <c r="I10" s="196">
        <v>265.2</v>
      </c>
      <c r="J10" s="196">
        <v>248.8</v>
      </c>
      <c r="K10" s="197">
        <v>270</v>
      </c>
      <c r="L10" s="197">
        <v>270.39999999999998</v>
      </c>
      <c r="M10" s="331" t="s">
        <v>61</v>
      </c>
    </row>
    <row r="11" spans="1:47">
      <c r="A11" s="1" t="s">
        <v>337</v>
      </c>
      <c r="B11" s="30"/>
      <c r="C11" s="30"/>
      <c r="D11" s="30"/>
      <c r="E11" s="39">
        <f t="shared" ref="E11:K11" si="1">E10/E5</f>
        <v>1.6367457725996302</v>
      </c>
      <c r="F11" s="39">
        <f t="shared" si="1"/>
        <v>1.5193725525311939</v>
      </c>
      <c r="G11" s="39">
        <f t="shared" si="1"/>
        <v>1.7482776345522806</v>
      </c>
      <c r="H11" s="39">
        <f t="shared" si="1"/>
        <v>2.0909060791476954</v>
      </c>
      <c r="I11" s="39">
        <f t="shared" si="1"/>
        <v>1.6305331492898871</v>
      </c>
      <c r="J11" s="39">
        <f t="shared" si="1"/>
        <v>1.5549764209203485</v>
      </c>
      <c r="K11" s="39">
        <f t="shared" si="1"/>
        <v>1.6839338504390216</v>
      </c>
      <c r="L11" s="30"/>
      <c r="M11" s="330" t="s">
        <v>338</v>
      </c>
      <c r="Q11" s="35"/>
    </row>
    <row r="12" spans="1:47">
      <c r="A12" s="1" t="s">
        <v>339</v>
      </c>
      <c r="B12" s="30"/>
      <c r="C12" s="30"/>
      <c r="D12" s="30"/>
      <c r="E12" s="39">
        <f>'Bilan d''énergie SDES historique'!D254</f>
        <v>103</v>
      </c>
      <c r="F12" s="39">
        <f>'Bilan d''énergie SDES historique'!D222</f>
        <v>99</v>
      </c>
      <c r="G12" s="39">
        <f>'Bilan d''énergie SDES historique'!D190</f>
        <v>108</v>
      </c>
      <c r="H12" s="39">
        <f>'Bilan d''énergie SDES historique'!D158</f>
        <v>114</v>
      </c>
      <c r="I12" s="39">
        <f>'Bilan d''énergie SDES historique'!D126</f>
        <v>87</v>
      </c>
      <c r="J12" s="39">
        <f>'Bilan d''énergie SDES historique'!D94</f>
        <v>104</v>
      </c>
      <c r="K12" s="39">
        <f>'Bilan d''énergie SDES historique'!D62</f>
        <v>102</v>
      </c>
      <c r="L12" s="165">
        <f>'Bilan d''énergie SDES historique'!D30</f>
        <v>84</v>
      </c>
      <c r="M12" s="330" t="s">
        <v>449</v>
      </c>
      <c r="Q12" s="35"/>
    </row>
    <row r="13" spans="1:47">
      <c r="A13" s="1" t="s">
        <v>340</v>
      </c>
      <c r="B13" s="30"/>
      <c r="C13" s="30"/>
      <c r="D13" s="30"/>
      <c r="E13" s="39">
        <f>'Bilan d''énergie SDES historique'!H254</f>
        <v>21</v>
      </c>
      <c r="F13" s="39">
        <f>'Bilan d''énergie SDES historique'!H222</f>
        <v>19</v>
      </c>
      <c r="G13" s="39">
        <f>'Bilan d''énergie SDES historique'!H190</f>
        <v>21</v>
      </c>
      <c r="H13" s="39">
        <f>'Bilan d''énergie SDES historique'!H158</f>
        <v>22</v>
      </c>
      <c r="I13" s="39">
        <f>'Bilan d''énergie SDES historique'!H126</f>
        <v>21</v>
      </c>
      <c r="J13" s="39">
        <f>'Bilan d''énergie SDES historique'!H94</f>
        <v>20</v>
      </c>
      <c r="K13" s="39">
        <f>'Bilan d''énergie SDES historique'!H62</f>
        <v>20</v>
      </c>
      <c r="L13" s="165">
        <f>'Bilan d''énergie SDES historique'!H30</f>
        <v>20</v>
      </c>
      <c r="M13" s="330" t="s">
        <v>449</v>
      </c>
      <c r="Q13" s="35"/>
    </row>
    <row r="14" spans="1:47">
      <c r="M14" s="198"/>
      <c r="N14" s="199"/>
    </row>
    <row r="15" spans="1:47">
      <c r="A15" s="414" t="s">
        <v>152</v>
      </c>
      <c r="B15" s="414"/>
      <c r="C15" s="414"/>
      <c r="D15" s="414"/>
      <c r="E15" s="414"/>
      <c r="F15" s="414"/>
      <c r="G15" s="414"/>
      <c r="H15" s="414"/>
      <c r="I15" s="414"/>
      <c r="J15" s="414"/>
      <c r="K15" s="414"/>
      <c r="L15" s="414"/>
      <c r="M15" s="414"/>
      <c r="AI15" s="414" t="s">
        <v>153</v>
      </c>
      <c r="AJ15" s="414"/>
      <c r="AK15" s="414"/>
      <c r="AL15" s="414"/>
      <c r="AM15" s="414"/>
      <c r="AN15" s="414"/>
      <c r="AO15" s="414"/>
      <c r="AP15" s="414"/>
      <c r="AQ15" s="414"/>
      <c r="AR15" s="414"/>
      <c r="AS15" s="414"/>
      <c r="AT15" s="414"/>
      <c r="AU15" s="414"/>
    </row>
    <row r="17" spans="1:47">
      <c r="A17" s="35"/>
      <c r="B17" s="440">
        <v>2019</v>
      </c>
      <c r="C17" s="440"/>
      <c r="D17" s="440"/>
      <c r="E17" s="439">
        <v>2020</v>
      </c>
      <c r="F17" s="439"/>
      <c r="G17" s="439"/>
      <c r="H17" s="439">
        <v>2025</v>
      </c>
      <c r="I17" s="439"/>
      <c r="J17" s="439"/>
      <c r="K17" s="439">
        <v>2030</v>
      </c>
      <c r="L17" s="439"/>
      <c r="M17" s="439"/>
      <c r="N17" s="439">
        <v>2035</v>
      </c>
      <c r="O17" s="439"/>
      <c r="P17" s="439"/>
      <c r="Q17" s="439">
        <v>2040</v>
      </c>
      <c r="R17" s="439"/>
      <c r="S17" s="439"/>
      <c r="T17" s="439">
        <v>2045</v>
      </c>
      <c r="U17" s="439"/>
      <c r="V17" s="439"/>
      <c r="W17" s="439">
        <v>2050</v>
      </c>
      <c r="X17" s="439"/>
      <c r="Y17" s="439"/>
      <c r="AI17" s="35"/>
      <c r="AJ17" s="440">
        <v>2015</v>
      </c>
      <c r="AK17" s="440"/>
      <c r="AL17" s="440"/>
      <c r="AM17" s="448">
        <v>2017</v>
      </c>
      <c r="AN17" s="448"/>
      <c r="AO17" s="448"/>
      <c r="AP17" s="439">
        <v>2050</v>
      </c>
      <c r="AQ17" s="439"/>
      <c r="AR17" s="439"/>
    </row>
    <row r="18" spans="1:47" ht="28.8">
      <c r="A18" s="35"/>
      <c r="B18" s="41" t="s">
        <v>341</v>
      </c>
      <c r="C18" s="41" t="s">
        <v>342</v>
      </c>
      <c r="D18" s="200" t="s">
        <v>343</v>
      </c>
      <c r="E18" s="201" t="s">
        <v>341</v>
      </c>
      <c r="F18" s="41" t="s">
        <v>342</v>
      </c>
      <c r="G18" s="200" t="s">
        <v>343</v>
      </c>
      <c r="H18" s="201" t="s">
        <v>341</v>
      </c>
      <c r="I18" s="41" t="s">
        <v>342</v>
      </c>
      <c r="J18" s="200" t="s">
        <v>343</v>
      </c>
      <c r="K18" s="201" t="s">
        <v>341</v>
      </c>
      <c r="L18" s="41" t="s">
        <v>342</v>
      </c>
      <c r="M18" s="200" t="s">
        <v>343</v>
      </c>
      <c r="N18" s="201" t="s">
        <v>341</v>
      </c>
      <c r="O18" s="41" t="s">
        <v>342</v>
      </c>
      <c r="P18" s="200" t="s">
        <v>343</v>
      </c>
      <c r="Q18" s="201" t="s">
        <v>341</v>
      </c>
      <c r="R18" s="41" t="s">
        <v>342</v>
      </c>
      <c r="S18" s="200" t="s">
        <v>343</v>
      </c>
      <c r="T18" s="201" t="s">
        <v>341</v>
      </c>
      <c r="U18" s="41" t="s">
        <v>342</v>
      </c>
      <c r="V18" s="200" t="s">
        <v>343</v>
      </c>
      <c r="W18" s="201" t="s">
        <v>341</v>
      </c>
      <c r="X18" s="41" t="s">
        <v>342</v>
      </c>
      <c r="Y18" s="200" t="s">
        <v>343</v>
      </c>
      <c r="AI18" s="35"/>
      <c r="AJ18" s="41" t="s">
        <v>341</v>
      </c>
      <c r="AK18" s="41" t="s">
        <v>342</v>
      </c>
      <c r="AL18" s="200" t="s">
        <v>343</v>
      </c>
      <c r="AM18" s="201" t="s">
        <v>341</v>
      </c>
      <c r="AN18" s="41" t="s">
        <v>342</v>
      </c>
      <c r="AO18" s="200" t="s">
        <v>343</v>
      </c>
      <c r="AP18" s="201" t="s">
        <v>341</v>
      </c>
      <c r="AQ18" s="41" t="s">
        <v>342</v>
      </c>
      <c r="AR18" s="200" t="s">
        <v>343</v>
      </c>
    </row>
    <row r="19" spans="1:47">
      <c r="A19" s="202" t="s">
        <v>329</v>
      </c>
      <c r="B19" s="41">
        <v>1</v>
      </c>
      <c r="C19" s="203">
        <v>1</v>
      </c>
      <c r="D19" s="204">
        <f>K6</f>
        <v>64.367999999999995</v>
      </c>
      <c r="E19" s="205">
        <f>$B19+($W19-$B19)*1/31</f>
        <v>1.0048387096774194</v>
      </c>
      <c r="F19" s="206">
        <f>$C19+($X19-$C19)*1/31</f>
        <v>0.99838709677419357</v>
      </c>
      <c r="G19" s="204">
        <f>$D$19*E19*F19</f>
        <v>64.57513635796046</v>
      </c>
      <c r="H19" s="205">
        <f>$B$19+($W$19-$B$19)*6/31</f>
        <v>1.0290322580645161</v>
      </c>
      <c r="I19" s="206">
        <f>$C$19+($X$19-$C$19)*6/31</f>
        <v>0.99032258064516132</v>
      </c>
      <c r="J19" s="204">
        <f>$D$19*H19*I19</f>
        <v>65.595747596253901</v>
      </c>
      <c r="K19" s="205">
        <f>$B$19+($W$19-$B$19)*11/31</f>
        <v>1.0532258064516129</v>
      </c>
      <c r="L19" s="206">
        <f>$C$19+($X$19-$C$19)*11/31</f>
        <v>0.98225806451612907</v>
      </c>
      <c r="M19" s="204">
        <f>$D$19*K19*L19</f>
        <v>66.591241248699262</v>
      </c>
      <c r="N19" s="205">
        <f>$B$19+($W$19-$B$19)*16/31</f>
        <v>1.0774193548387097</v>
      </c>
      <c r="O19" s="206">
        <f>$C$19+($X$19-$C$19)*16/31</f>
        <v>0.97419354838709671</v>
      </c>
      <c r="P19" s="204">
        <f>$D$19*N19*O19</f>
        <v>67.561617315296559</v>
      </c>
      <c r="Q19" s="205">
        <f>$B$19+($W$19-$B$19)*21/31</f>
        <v>1.1016129032258064</v>
      </c>
      <c r="R19" s="206">
        <f>$C$19+($X$19-$C$19)*21/31</f>
        <v>0.96612903225806446</v>
      </c>
      <c r="S19" s="204">
        <f>$D$19*Q19*R19</f>
        <v>68.506875796045776</v>
      </c>
      <c r="T19" s="205">
        <f>$B$19+($W$19-$B$19)*26/31</f>
        <v>1.1258064516129032</v>
      </c>
      <c r="U19" s="206">
        <f>$C$19+($X$19-$C$19)*26/31</f>
        <v>0.95806451612903221</v>
      </c>
      <c r="V19" s="204">
        <f>$D$19*T19*U19</f>
        <v>69.427016690946914</v>
      </c>
      <c r="W19" s="207">
        <v>1.1499999999999999</v>
      </c>
      <c r="X19" s="208">
        <v>0.95</v>
      </c>
      <c r="Y19" s="40">
        <f>D19*X19*W19</f>
        <v>70.322039999999987</v>
      </c>
      <c r="AI19" s="202" t="s">
        <v>353</v>
      </c>
      <c r="AJ19" s="41">
        <v>1.1499999999999999</v>
      </c>
      <c r="AK19" s="203">
        <v>0.95</v>
      </c>
      <c r="AL19" s="235">
        <v>217</v>
      </c>
      <c r="AM19" s="201">
        <v>1.1499999999999999</v>
      </c>
      <c r="AN19" s="214">
        <v>0.95</v>
      </c>
      <c r="AO19" s="235">
        <v>220</v>
      </c>
      <c r="AP19" s="207">
        <v>1.1499999999999999</v>
      </c>
      <c r="AQ19" s="208">
        <v>0.95</v>
      </c>
      <c r="AR19" s="37">
        <v>237.07249999999999</v>
      </c>
    </row>
    <row r="20" spans="1:47">
      <c r="A20" s="202" t="s">
        <v>331</v>
      </c>
      <c r="B20" s="41">
        <v>1</v>
      </c>
      <c r="C20" s="203">
        <v>1</v>
      </c>
      <c r="D20" s="204">
        <f>K7</f>
        <v>85.924999999999997</v>
      </c>
      <c r="E20" s="205">
        <f>$B20+($W20-$B20)*1/31</f>
        <v>1.0048387096774194</v>
      </c>
      <c r="F20" s="206">
        <f>$C20+($X20-$C20)*1/31</f>
        <v>1</v>
      </c>
      <c r="G20" s="204">
        <f>$D$20*E20*F20</f>
        <v>86.340766129032261</v>
      </c>
      <c r="H20" s="205">
        <f>$B$20+($W$20-$B$20)*6/31</f>
        <v>1.0290322580645161</v>
      </c>
      <c r="I20" s="206">
        <f>$C$20+($X$20-$C$20)*6/31</f>
        <v>1</v>
      </c>
      <c r="J20" s="204">
        <f>$D$20*H20*I20</f>
        <v>88.41959677419355</v>
      </c>
      <c r="K20" s="205">
        <f>$B$20+($W$20-$B$20)*11/31</f>
        <v>1.0532258064516129</v>
      </c>
      <c r="L20" s="206">
        <f>$C$20+($X$20-$C$20)*11/31</f>
        <v>1</v>
      </c>
      <c r="M20" s="204">
        <f>$D$20*K20*L20</f>
        <v>90.49842741935484</v>
      </c>
      <c r="N20" s="205">
        <f>$B$20+($W$20-$B$20)*16/31</f>
        <v>1.0774193548387097</v>
      </c>
      <c r="O20" s="206">
        <f>$C$20+($X$20-$C$20)*16/31</f>
        <v>1</v>
      </c>
      <c r="P20" s="204">
        <f>$D$20*N20*O20</f>
        <v>92.57725806451613</v>
      </c>
      <c r="Q20" s="205">
        <f>$B$20+($W$20-$B$20)*21/31</f>
        <v>1.1016129032258064</v>
      </c>
      <c r="R20" s="206">
        <f>$C$20+($X$20-$C$20)*21/31</f>
        <v>1</v>
      </c>
      <c r="S20" s="204">
        <f>$D$20*Q20*R20</f>
        <v>94.656088709677405</v>
      </c>
      <c r="T20" s="205">
        <f>$B$20+($W$20-$B$20)*26/31</f>
        <v>1.1258064516129032</v>
      </c>
      <c r="U20" s="206">
        <f>$C$20+($X$20-$C$20)*26/31</f>
        <v>1</v>
      </c>
      <c r="V20" s="204">
        <f>$D$20*T20*U20</f>
        <v>96.734919354838695</v>
      </c>
      <c r="W20" s="207">
        <v>1.1499999999999999</v>
      </c>
      <c r="X20" s="208">
        <v>1</v>
      </c>
      <c r="Y20" s="40">
        <f>D20*X20*W20</f>
        <v>98.813749999999985</v>
      </c>
      <c r="AI20" s="202" t="s">
        <v>354</v>
      </c>
      <c r="AJ20" s="41">
        <v>1.1499999999999999</v>
      </c>
      <c r="AK20" s="203">
        <v>1</v>
      </c>
      <c r="AL20" s="235">
        <v>3445</v>
      </c>
      <c r="AM20" s="201">
        <v>1.1499999999999999</v>
      </c>
      <c r="AN20" s="214">
        <v>1</v>
      </c>
      <c r="AO20" s="235">
        <v>3511</v>
      </c>
      <c r="AP20" s="207">
        <v>1.1499999999999999</v>
      </c>
      <c r="AQ20" s="208">
        <v>1</v>
      </c>
      <c r="AR20" s="37">
        <v>3961.75</v>
      </c>
    </row>
    <row r="21" spans="1:47">
      <c r="A21" s="202" t="s">
        <v>515</v>
      </c>
      <c r="B21" s="41"/>
      <c r="C21" s="203"/>
      <c r="D21" s="204">
        <f>K8</f>
        <v>150.29300000000001</v>
      </c>
      <c r="E21" s="209"/>
      <c r="F21" s="210"/>
      <c r="G21" s="204">
        <f>SUM(G19:G20)</f>
        <v>150.91590248699271</v>
      </c>
      <c r="H21" s="209"/>
      <c r="I21" s="210"/>
      <c r="J21" s="204">
        <f>SUM(J19:J20)</f>
        <v>154.01534437044745</v>
      </c>
      <c r="K21" s="209"/>
      <c r="L21" s="210"/>
      <c r="M21" s="204">
        <f>SUM(M19:M20)</f>
        <v>157.08966866805412</v>
      </c>
      <c r="N21" s="209"/>
      <c r="O21" s="210"/>
      <c r="P21" s="204">
        <f>SUM(P19:P20)</f>
        <v>160.1388753798127</v>
      </c>
      <c r="Q21" s="209"/>
      <c r="R21" s="210"/>
      <c r="S21" s="204">
        <f>SUM(S19:S20)</f>
        <v>163.16296450572318</v>
      </c>
      <c r="T21" s="211"/>
      <c r="U21" s="212"/>
      <c r="V21" s="204">
        <f>SUM(V19:V20)</f>
        <v>166.16193604578561</v>
      </c>
      <c r="W21" s="207"/>
      <c r="X21" s="208"/>
      <c r="Y21" s="40">
        <f>SUM(Y19:Y20)</f>
        <v>169.13578999999999</v>
      </c>
      <c r="AI21" s="202" t="s">
        <v>23</v>
      </c>
      <c r="AJ21" s="41"/>
      <c r="AK21" s="203"/>
      <c r="AL21" s="235">
        <v>150.791</v>
      </c>
      <c r="AM21" s="201"/>
      <c r="AN21" s="214"/>
      <c r="AO21" s="235">
        <v>153.33500000000001</v>
      </c>
      <c r="AP21" s="207"/>
      <c r="AQ21" s="208"/>
      <c r="AR21" s="37">
        <v>169.69135499999999</v>
      </c>
    </row>
    <row r="22" spans="1:47">
      <c r="A22" s="202" t="s">
        <v>335</v>
      </c>
      <c r="B22" s="41"/>
      <c r="C22" s="203"/>
      <c r="D22" s="204">
        <f>K9</f>
        <v>159.29300000000001</v>
      </c>
      <c r="E22" s="209"/>
      <c r="F22" s="210"/>
      <c r="G22" s="204">
        <f>G21+5.5</f>
        <v>156.41590248699271</v>
      </c>
      <c r="H22" s="209"/>
      <c r="I22" s="210"/>
      <c r="J22" s="204">
        <f>J21+5.5</f>
        <v>159.51534437044745</v>
      </c>
      <c r="K22" s="209"/>
      <c r="L22" s="210"/>
      <c r="M22" s="204">
        <f>M21+5.5</f>
        <v>162.58966866805412</v>
      </c>
      <c r="N22" s="209"/>
      <c r="O22" s="210"/>
      <c r="P22" s="204">
        <f>P21+5.5</f>
        <v>165.6388753798127</v>
      </c>
      <c r="Q22" s="209"/>
      <c r="R22" s="210"/>
      <c r="S22" s="213">
        <f>S21+5.5</f>
        <v>168.66296450572318</v>
      </c>
      <c r="T22" s="211"/>
      <c r="U22" s="212"/>
      <c r="V22" s="213">
        <f>V21+5.5</f>
        <v>171.66193604578561</v>
      </c>
      <c r="W22" s="207"/>
      <c r="X22" s="208"/>
      <c r="Y22" s="40">
        <f>Y21+9</f>
        <v>178.13578999999999</v>
      </c>
      <c r="Z22" s="4"/>
      <c r="AI22" s="202" t="s">
        <v>355</v>
      </c>
      <c r="AJ22" s="41"/>
      <c r="AK22" s="203"/>
      <c r="AL22" s="235">
        <v>160.791</v>
      </c>
      <c r="AM22" s="201"/>
      <c r="AN22" s="214"/>
      <c r="AO22" s="235">
        <v>163.33500000000001</v>
      </c>
      <c r="AP22" s="207"/>
      <c r="AQ22" s="208"/>
      <c r="AR22" s="37">
        <v>175.69135499999999</v>
      </c>
    </row>
    <row r="23" spans="1:47" ht="57.6">
      <c r="A23" s="415" t="s">
        <v>435</v>
      </c>
      <c r="B23" s="416"/>
      <c r="C23" s="416"/>
      <c r="D23" s="416"/>
      <c r="E23" s="416"/>
      <c r="F23" s="416"/>
      <c r="G23" s="416"/>
      <c r="H23" s="416"/>
      <c r="I23" s="416"/>
      <c r="J23" s="416"/>
      <c r="K23" s="416"/>
      <c r="L23" s="416"/>
      <c r="M23" s="416"/>
      <c r="N23" s="416"/>
      <c r="O23" s="416"/>
      <c r="P23" s="416"/>
      <c r="Q23" s="416"/>
      <c r="R23" s="416"/>
      <c r="S23" s="416"/>
      <c r="T23" s="416"/>
      <c r="U23" s="416"/>
      <c r="V23" s="416"/>
      <c r="W23" s="416"/>
      <c r="X23" s="416"/>
      <c r="Y23" s="416"/>
      <c r="AI23" s="202"/>
      <c r="AJ23" s="214" t="s">
        <v>356</v>
      </c>
      <c r="AK23" s="214" t="s">
        <v>357</v>
      </c>
      <c r="AL23" s="214"/>
      <c r="AM23" s="214" t="s">
        <v>356</v>
      </c>
      <c r="AN23" s="214" t="s">
        <v>357</v>
      </c>
      <c r="AO23" s="214"/>
      <c r="AP23" s="214" t="s">
        <v>356</v>
      </c>
      <c r="AQ23" s="214" t="s">
        <v>357</v>
      </c>
      <c r="AR23" s="214"/>
      <c r="AS23" s="236"/>
      <c r="AT23" s="236"/>
      <c r="AU23" s="236"/>
    </row>
    <row r="24" spans="1:47">
      <c r="A24" s="441" t="s">
        <v>344</v>
      </c>
      <c r="B24" s="441"/>
      <c r="C24" s="441"/>
      <c r="D24" s="441"/>
      <c r="E24" s="441"/>
      <c r="F24" s="441"/>
      <c r="G24" s="441"/>
      <c r="H24" s="441"/>
      <c r="I24" s="441"/>
      <c r="J24" s="441"/>
      <c r="K24" s="441"/>
      <c r="L24" s="441"/>
      <c r="M24" s="441"/>
      <c r="N24" s="441"/>
      <c r="O24" s="441"/>
      <c r="P24" s="441"/>
      <c r="Q24" s="441"/>
      <c r="R24" s="441"/>
      <c r="S24" s="441"/>
      <c r="T24" s="441"/>
      <c r="U24" s="441"/>
      <c r="V24" s="441"/>
      <c r="W24" s="441"/>
      <c r="X24" s="441"/>
      <c r="Y24" s="441"/>
      <c r="AI24" s="449" t="s">
        <v>344</v>
      </c>
      <c r="AJ24" s="449"/>
      <c r="AK24" s="449"/>
      <c r="AL24" s="449"/>
      <c r="AM24" s="449"/>
      <c r="AN24" s="449"/>
      <c r="AO24" s="449"/>
      <c r="AP24" s="449"/>
      <c r="AQ24" s="449"/>
      <c r="AR24" s="449"/>
      <c r="AS24" s="95"/>
      <c r="AT24" s="95"/>
      <c r="AU24" s="95"/>
    </row>
    <row r="25" spans="1:47">
      <c r="A25" s="95"/>
      <c r="B25" s="440">
        <v>2019</v>
      </c>
      <c r="C25" s="440"/>
      <c r="D25" s="440"/>
      <c r="E25" s="439">
        <v>2020</v>
      </c>
      <c r="F25" s="439"/>
      <c r="G25" s="439"/>
      <c r="H25" s="439">
        <v>2025</v>
      </c>
      <c r="I25" s="439"/>
      <c r="J25" s="439"/>
      <c r="K25" s="439">
        <v>2030</v>
      </c>
      <c r="L25" s="439"/>
      <c r="M25" s="439"/>
      <c r="N25" s="439">
        <v>2035</v>
      </c>
      <c r="O25" s="439"/>
      <c r="P25" s="439"/>
      <c r="Q25" s="439">
        <v>2040</v>
      </c>
      <c r="R25" s="439"/>
      <c r="S25" s="439"/>
      <c r="T25" s="439">
        <v>2045</v>
      </c>
      <c r="U25" s="439"/>
      <c r="V25" s="439"/>
      <c r="W25" s="439">
        <v>2050</v>
      </c>
      <c r="X25" s="439"/>
      <c r="Y25" s="439"/>
      <c r="AI25" s="95"/>
      <c r="AJ25" s="440">
        <v>2015</v>
      </c>
      <c r="AK25" s="440"/>
      <c r="AL25" s="440"/>
      <c r="AM25" s="448">
        <v>2018</v>
      </c>
      <c r="AN25" s="448"/>
      <c r="AO25" s="448"/>
      <c r="AP25" s="439">
        <v>2050</v>
      </c>
      <c r="AQ25" s="439"/>
      <c r="AR25" s="439"/>
    </row>
    <row r="26" spans="1:47" ht="43.2">
      <c r="A26" s="95"/>
      <c r="B26" s="41" t="s">
        <v>341</v>
      </c>
      <c r="C26" s="41" t="s">
        <v>345</v>
      </c>
      <c r="D26" s="200" t="s">
        <v>346</v>
      </c>
      <c r="E26" s="201" t="s">
        <v>341</v>
      </c>
      <c r="F26" s="41" t="s">
        <v>345</v>
      </c>
      <c r="G26" s="200" t="s">
        <v>346</v>
      </c>
      <c r="H26" s="201" t="s">
        <v>341</v>
      </c>
      <c r="I26" s="41" t="s">
        <v>345</v>
      </c>
      <c r="J26" s="200" t="s">
        <v>346</v>
      </c>
      <c r="K26" s="201" t="s">
        <v>341</v>
      </c>
      <c r="L26" s="41" t="s">
        <v>345</v>
      </c>
      <c r="M26" s="200" t="s">
        <v>346</v>
      </c>
      <c r="N26" s="201" t="s">
        <v>341</v>
      </c>
      <c r="O26" s="41" t="s">
        <v>345</v>
      </c>
      <c r="P26" s="200" t="s">
        <v>346</v>
      </c>
      <c r="Q26" s="201" t="s">
        <v>341</v>
      </c>
      <c r="R26" s="41" t="s">
        <v>345</v>
      </c>
      <c r="S26" s="200" t="s">
        <v>346</v>
      </c>
      <c r="T26" s="201" t="s">
        <v>341</v>
      </c>
      <c r="U26" s="41" t="s">
        <v>345</v>
      </c>
      <c r="V26" s="200" t="s">
        <v>346</v>
      </c>
      <c r="W26" s="201" t="s">
        <v>341</v>
      </c>
      <c r="X26" s="41" t="s">
        <v>345</v>
      </c>
      <c r="Y26" s="200" t="s">
        <v>346</v>
      </c>
      <c r="AI26" s="95"/>
      <c r="AJ26" s="41" t="s">
        <v>341</v>
      </c>
      <c r="AK26" s="41" t="s">
        <v>345</v>
      </c>
      <c r="AL26" s="200" t="s">
        <v>346</v>
      </c>
      <c r="AM26" s="201" t="s">
        <v>341</v>
      </c>
      <c r="AN26" s="41" t="s">
        <v>345</v>
      </c>
      <c r="AO26" s="200" t="s">
        <v>346</v>
      </c>
      <c r="AP26" s="201" t="s">
        <v>341</v>
      </c>
      <c r="AQ26" s="41" t="s">
        <v>345</v>
      </c>
      <c r="AR26" s="200" t="s">
        <v>346</v>
      </c>
    </row>
    <row r="27" spans="1:47">
      <c r="A27" s="30" t="s">
        <v>347</v>
      </c>
      <c r="B27" s="36">
        <v>1</v>
      </c>
      <c r="C27" s="215">
        <v>1</v>
      </c>
      <c r="D27" s="216">
        <f>K12</f>
        <v>102</v>
      </c>
      <c r="E27" s="205">
        <f>$B27+($W27-$B27)*1/31</f>
        <v>1.0048387096774194</v>
      </c>
      <c r="F27" s="206">
        <f>$C27+($X27-$C27)*1/31</f>
        <v>0.99677419354838714</v>
      </c>
      <c r="G27" s="217">
        <v>84</v>
      </c>
      <c r="H27" s="205">
        <f>$B27+($W27-$B27)*6/31</f>
        <v>1.0290322580645161</v>
      </c>
      <c r="I27" s="206">
        <f>$C27+($X27-$C27)*6/31</f>
        <v>0.98064516129032253</v>
      </c>
      <c r="J27" s="217">
        <f>$D$27*H27*I27</f>
        <v>102.92978147762747</v>
      </c>
      <c r="K27" s="205">
        <f>$B27+($W27-$B27)*11/31</f>
        <v>1.0532258064516129</v>
      </c>
      <c r="L27" s="206">
        <f>$C27+($X27-$C27)*11/31</f>
        <v>0.96451612903225803</v>
      </c>
      <c r="M27" s="217">
        <f>$D$27*K27*L27</f>
        <v>103.61703433922996</v>
      </c>
      <c r="N27" s="205">
        <f>$B27+($W27-$B27)*16/31</f>
        <v>1.0774193548387097</v>
      </c>
      <c r="O27" s="206">
        <f>$C27+($X27-$C27)*16/31</f>
        <v>0.94838709677419353</v>
      </c>
      <c r="P27" s="217">
        <f>$D$27*N27*O27</f>
        <v>104.22468262226846</v>
      </c>
      <c r="Q27" s="205">
        <f>$B27+($W27-$B27)*21/31</f>
        <v>1.1016129032258064</v>
      </c>
      <c r="R27" s="206">
        <f>$C27+($X27-$C27)*21/31</f>
        <v>0.93225806451612903</v>
      </c>
      <c r="S27" s="217">
        <f>$D$27*Q27*R27</f>
        <v>104.75272632674297</v>
      </c>
      <c r="T27" s="205">
        <f>$B27+($W27-$B27)*26/31</f>
        <v>1.1258064516129032</v>
      </c>
      <c r="U27" s="206">
        <f>$C27+($X27-$C27)*26/31</f>
        <v>0.91612903225806452</v>
      </c>
      <c r="V27" s="217">
        <f>$D$27*T27*U27</f>
        <v>105.20116545265348</v>
      </c>
      <c r="W27" s="218">
        <v>1.1499999999999999</v>
      </c>
      <c r="X27" s="219">
        <v>0.9</v>
      </c>
      <c r="Y27" s="220">
        <f>D27*W27*X27</f>
        <v>105.57</v>
      </c>
      <c r="AI27" s="36" t="s">
        <v>347</v>
      </c>
      <c r="AJ27" s="36">
        <v>1.1499999999999999</v>
      </c>
      <c r="AK27" s="215">
        <v>0.9</v>
      </c>
      <c r="AL27" s="237"/>
      <c r="AM27" s="218">
        <v>1.1499999999999999</v>
      </c>
      <c r="AN27" s="219">
        <v>0.9</v>
      </c>
      <c r="AO27" s="237">
        <v>8.93</v>
      </c>
      <c r="AP27" s="218">
        <v>1.1499999999999999</v>
      </c>
      <c r="AQ27" s="219">
        <v>0.9</v>
      </c>
      <c r="AR27" s="237">
        <v>9.24</v>
      </c>
    </row>
    <row r="28" spans="1:47">
      <c r="A28" s="30" t="s">
        <v>348</v>
      </c>
      <c r="B28" s="30">
        <v>1</v>
      </c>
      <c r="C28" s="30">
        <v>1</v>
      </c>
      <c r="D28" s="213">
        <f>K13</f>
        <v>20</v>
      </c>
      <c r="E28" s="205">
        <f>$B28+($W28-$B28)*1/31</f>
        <v>1.0048387096774194</v>
      </c>
      <c r="F28" s="206">
        <f>$C28+($X28-$C28)*1/31</f>
        <v>0.99677419354838714</v>
      </c>
      <c r="G28" s="217">
        <v>20</v>
      </c>
      <c r="H28" s="205">
        <f>$B28+($W28-$B28)*6/31</f>
        <v>1.0290322580645161</v>
      </c>
      <c r="I28" s="206">
        <f>$C28+($X28-$C28)*6/31</f>
        <v>0.98064516129032253</v>
      </c>
      <c r="J28" s="217">
        <f>$D$28*H28*I28</f>
        <v>20.182310093652447</v>
      </c>
      <c r="K28" s="205">
        <f>$B28+($W28-$B28)*11/31</f>
        <v>1.0532258064516129</v>
      </c>
      <c r="L28" s="206">
        <f>$C28+($X28-$C28)*11/31</f>
        <v>0.96451612903225803</v>
      </c>
      <c r="M28" s="217">
        <f>$D$28*K28*L28</f>
        <v>20.317065556711757</v>
      </c>
      <c r="N28" s="205">
        <f>$B28+($W28-$B28)*16/31</f>
        <v>1.0774193548387097</v>
      </c>
      <c r="O28" s="206">
        <f>$C28+($X28-$C28)*16/31</f>
        <v>0.94838709677419353</v>
      </c>
      <c r="P28" s="217">
        <f>$D$28*N28*O28</f>
        <v>20.43621227887617</v>
      </c>
      <c r="Q28" s="205">
        <f>$B28+($W28-$B28)*21/31</f>
        <v>1.1016129032258064</v>
      </c>
      <c r="R28" s="206">
        <f>$C28+($X28-$C28)*21/31</f>
        <v>0.93225806451612903</v>
      </c>
      <c r="S28" s="217">
        <f>$D$28*Q28*R28</f>
        <v>20.539750260145681</v>
      </c>
      <c r="T28" s="205">
        <f>$B28+($W28-$B28)*26/31</f>
        <v>1.1258064516129032</v>
      </c>
      <c r="U28" s="206">
        <f>$C28+($X28-$C28)*26/31</f>
        <v>0.91612903225806452</v>
      </c>
      <c r="V28" s="217">
        <f>$D$28*T28*U28</f>
        <v>20.627679500520291</v>
      </c>
      <c r="W28" s="30">
        <v>1.1499999999999999</v>
      </c>
      <c r="X28" s="30">
        <v>0.9</v>
      </c>
      <c r="Y28" s="220">
        <f>D28*W28*X28</f>
        <v>20.7</v>
      </c>
      <c r="AI28" s="30" t="s">
        <v>348</v>
      </c>
      <c r="AJ28" s="30">
        <v>1.1499999999999999</v>
      </c>
      <c r="AK28" s="30">
        <v>0.9</v>
      </c>
      <c r="AL28" s="37"/>
      <c r="AM28" s="33">
        <v>1.1499999999999999</v>
      </c>
      <c r="AN28" s="30">
        <v>0.9</v>
      </c>
      <c r="AO28" s="37">
        <v>2.13</v>
      </c>
      <c r="AP28" s="30">
        <v>1.1499999999999999</v>
      </c>
      <c r="AQ28" s="30">
        <v>0.9</v>
      </c>
      <c r="AR28" s="37">
        <v>2.2000000000000002</v>
      </c>
    </row>
    <row r="29" spans="1:47">
      <c r="A29" s="30" t="s">
        <v>23</v>
      </c>
      <c r="B29" s="30"/>
      <c r="C29" s="30"/>
      <c r="D29" s="213">
        <f>SUM(D27:D28)</f>
        <v>122</v>
      </c>
      <c r="E29" s="221"/>
      <c r="F29" s="1"/>
      <c r="G29" s="213">
        <f>SUM(G27:G28)</f>
        <v>104</v>
      </c>
      <c r="H29" s="1"/>
      <c r="I29" s="1"/>
      <c r="J29" s="213">
        <f>SUM(J27:J28)</f>
        <v>123.11209157127992</v>
      </c>
      <c r="K29" s="1"/>
      <c r="L29" s="1"/>
      <c r="M29" s="213">
        <f>SUM(M27:M28)</f>
        <v>123.93409989594171</v>
      </c>
      <c r="N29" s="1"/>
      <c r="O29" s="1"/>
      <c r="P29" s="213">
        <f>SUM(P27:P28)</f>
        <v>124.66089490114463</v>
      </c>
      <c r="Q29" s="1"/>
      <c r="R29" s="1"/>
      <c r="S29" s="213">
        <f>SUM(S27:S28)</f>
        <v>125.29247658688865</v>
      </c>
      <c r="T29" s="1"/>
      <c r="U29" s="1"/>
      <c r="V29" s="213">
        <f>SUM(V27:V28)</f>
        <v>125.82884495317377</v>
      </c>
      <c r="W29" s="30"/>
      <c r="X29" s="30"/>
      <c r="Y29" s="40">
        <f>SUM(Y27:Y28)</f>
        <v>126.27</v>
      </c>
      <c r="AI29" s="35" t="s">
        <v>23</v>
      </c>
      <c r="AJ29" s="30"/>
      <c r="AK29" s="30"/>
      <c r="AL29" s="37"/>
      <c r="AM29" s="33"/>
      <c r="AN29" s="30"/>
      <c r="AO29" s="37">
        <f>SUM(AO27:AO28)</f>
        <v>11.059999999999999</v>
      </c>
      <c r="AP29" s="30"/>
      <c r="AQ29" s="30"/>
      <c r="AR29" s="37">
        <f>SUM(AR27:AR28)</f>
        <v>11.440000000000001</v>
      </c>
    </row>
    <row r="30" spans="1:47">
      <c r="A30" s="427" t="s">
        <v>436</v>
      </c>
      <c r="B30" s="427"/>
      <c r="C30" s="427"/>
      <c r="D30" s="427"/>
      <c r="E30" s="427"/>
      <c r="F30" s="427"/>
      <c r="G30" s="427"/>
      <c r="H30" s="427"/>
      <c r="I30" s="427"/>
      <c r="J30" s="427"/>
      <c r="K30" s="427"/>
      <c r="L30" s="427"/>
      <c r="M30" s="427"/>
      <c r="N30" s="427"/>
      <c r="O30" s="427"/>
      <c r="P30" s="427"/>
      <c r="Q30" s="427"/>
      <c r="R30" s="427"/>
      <c r="S30" s="427"/>
      <c r="T30" s="427"/>
      <c r="U30" s="427"/>
      <c r="V30" s="427"/>
      <c r="W30" s="427"/>
      <c r="X30" s="427"/>
      <c r="Y30" s="427"/>
      <c r="AI30" s="35"/>
      <c r="AJ30" s="35"/>
      <c r="AK30" s="35"/>
      <c r="AL30" s="35"/>
      <c r="AM30" s="35"/>
      <c r="AN30" s="35"/>
      <c r="AO30" s="35"/>
      <c r="AP30" s="35"/>
      <c r="AQ30" s="35"/>
      <c r="AR30" s="35"/>
      <c r="AS30" s="35"/>
      <c r="AT30" s="35"/>
      <c r="AU30" s="35"/>
    </row>
    <row r="31" spans="1:47">
      <c r="A31" s="414" t="s">
        <v>158</v>
      </c>
      <c r="B31" s="414"/>
      <c r="C31" s="414"/>
      <c r="D31" s="414"/>
      <c r="E31" s="414"/>
      <c r="F31" s="414"/>
      <c r="G31" s="414"/>
      <c r="H31" s="414"/>
      <c r="I31" s="414"/>
      <c r="J31" s="414"/>
      <c r="K31" s="414"/>
      <c r="L31" s="414"/>
      <c r="M31" s="414"/>
    </row>
    <row r="32" spans="1:47">
      <c r="AI32" s="414" t="s">
        <v>159</v>
      </c>
      <c r="AJ32" s="414"/>
      <c r="AK32" s="414"/>
      <c r="AL32" s="414"/>
      <c r="AM32" s="414"/>
      <c r="AN32" s="414"/>
      <c r="AO32" s="414"/>
      <c r="AP32" s="414"/>
      <c r="AQ32" s="414"/>
      <c r="AR32" s="414"/>
      <c r="AS32" s="414"/>
      <c r="AT32" s="414"/>
      <c r="AU32" s="414"/>
    </row>
    <row r="33" spans="1:41">
      <c r="A33" s="35"/>
      <c r="B33" s="440">
        <v>2019</v>
      </c>
      <c r="C33" s="440"/>
      <c r="D33" s="440"/>
      <c r="E33" s="439">
        <v>2020</v>
      </c>
      <c r="F33" s="439"/>
      <c r="G33" s="439"/>
      <c r="H33" s="439">
        <v>2025</v>
      </c>
      <c r="I33" s="439"/>
      <c r="J33" s="439"/>
      <c r="K33" s="439">
        <v>2030</v>
      </c>
      <c r="L33" s="439"/>
      <c r="M33" s="439"/>
      <c r="N33" s="439">
        <v>2035</v>
      </c>
      <c r="O33" s="439"/>
      <c r="P33" s="439"/>
      <c r="Q33" s="439">
        <v>2040</v>
      </c>
      <c r="R33" s="439"/>
      <c r="S33" s="439"/>
      <c r="T33" s="439">
        <v>2045</v>
      </c>
      <c r="U33" s="439"/>
      <c r="V33" s="439"/>
      <c r="W33" s="439">
        <v>2050</v>
      </c>
      <c r="X33" s="439"/>
      <c r="Y33" s="439"/>
    </row>
    <row r="34" spans="1:41" ht="28.8">
      <c r="A34" s="35"/>
      <c r="B34" s="41" t="s">
        <v>341</v>
      </c>
      <c r="C34" s="41" t="s">
        <v>342</v>
      </c>
      <c r="D34" s="200" t="s">
        <v>343</v>
      </c>
      <c r="E34" s="201" t="s">
        <v>341</v>
      </c>
      <c r="F34" s="41" t="s">
        <v>342</v>
      </c>
      <c r="G34" s="200" t="s">
        <v>343</v>
      </c>
      <c r="H34" s="201" t="s">
        <v>341</v>
      </c>
      <c r="I34" s="41" t="s">
        <v>342</v>
      </c>
      <c r="J34" s="200" t="s">
        <v>343</v>
      </c>
      <c r="K34" s="201" t="s">
        <v>341</v>
      </c>
      <c r="L34" s="41" t="s">
        <v>342</v>
      </c>
      <c r="M34" s="200" t="s">
        <v>343</v>
      </c>
      <c r="N34" s="201" t="s">
        <v>341</v>
      </c>
      <c r="O34" s="41" t="s">
        <v>342</v>
      </c>
      <c r="P34" s="200" t="s">
        <v>343</v>
      </c>
      <c r="Q34" s="201" t="s">
        <v>341</v>
      </c>
      <c r="R34" s="41" t="s">
        <v>342</v>
      </c>
      <c r="S34" s="200" t="s">
        <v>343</v>
      </c>
      <c r="T34" s="201" t="s">
        <v>341</v>
      </c>
      <c r="U34" s="41" t="s">
        <v>342</v>
      </c>
      <c r="V34" s="200" t="s">
        <v>343</v>
      </c>
      <c r="W34" s="201" t="s">
        <v>341</v>
      </c>
      <c r="X34" s="41" t="s">
        <v>342</v>
      </c>
      <c r="Y34" s="200" t="s">
        <v>343</v>
      </c>
      <c r="AI34" s="35"/>
      <c r="AJ34" s="440">
        <v>2015</v>
      </c>
      <c r="AK34" s="440"/>
      <c r="AL34" s="440"/>
      <c r="AM34" s="439">
        <v>2050</v>
      </c>
      <c r="AN34" s="439"/>
      <c r="AO34" s="439"/>
    </row>
    <row r="35" spans="1:41" ht="28.8">
      <c r="A35" s="202" t="s">
        <v>329</v>
      </c>
      <c r="B35" s="41">
        <v>1</v>
      </c>
      <c r="C35" s="203">
        <v>1</v>
      </c>
      <c r="D35" s="194">
        <f>D19</f>
        <v>64.367999999999995</v>
      </c>
      <c r="E35" s="205">
        <f>$B35+($W35-$B35)*1/31</f>
        <v>1.0048387096774194</v>
      </c>
      <c r="F35" s="206">
        <f>$C35+($X35-$C35)*1/31</f>
        <v>0.98774193548387101</v>
      </c>
      <c r="G35" s="204">
        <f>D35*E35*F35</f>
        <v>63.886613094693026</v>
      </c>
      <c r="H35" s="205">
        <f>$B35+($W35-$B35)*6/31</f>
        <v>1.0290322580645161</v>
      </c>
      <c r="I35" s="206">
        <f>$C35+($X35-$C35)*6/31</f>
        <v>0.92645161290322575</v>
      </c>
      <c r="J35" s="204">
        <f>$D$35*H35*I35</f>
        <v>61.36514237669094</v>
      </c>
      <c r="K35" s="205">
        <f>$B35+($W35-$B35)*11/31</f>
        <v>1.0532258064516129</v>
      </c>
      <c r="L35" s="206">
        <f>$C35+($X35-$C35)*11/31</f>
        <v>0.86516129032258071</v>
      </c>
      <c r="M35" s="204">
        <f>$D$35*K35*L35</f>
        <v>58.652778006243494</v>
      </c>
      <c r="N35" s="205">
        <f>$B35+($W35-$B35)*16/31</f>
        <v>1.0774193548387097</v>
      </c>
      <c r="O35" s="206">
        <f>$C35+($X35-$C35)*16/31</f>
        <v>0.80387096774193545</v>
      </c>
      <c r="P35" s="204">
        <f>$D$35*N35*O35</f>
        <v>55.749519983350673</v>
      </c>
      <c r="Q35" s="205">
        <f>$B35+($W35-$B35)*21/31</f>
        <v>1.1016129032258064</v>
      </c>
      <c r="R35" s="206">
        <f>$C35+($X35-$C35)*21/31</f>
        <v>0.7425806451612903</v>
      </c>
      <c r="S35" s="204">
        <f>$D$35*Q35*R35</f>
        <v>52.655368308012484</v>
      </c>
      <c r="T35" s="205">
        <f>$B35+($W35-$B35)*26/31</f>
        <v>1.1258064516129032</v>
      </c>
      <c r="U35" s="206">
        <f>$C35+($X35-$C35)*26/31</f>
        <v>0.68129032258064515</v>
      </c>
      <c r="V35" s="204">
        <f>$D$35*T35*U35</f>
        <v>49.37032298022892</v>
      </c>
      <c r="W35" s="207">
        <v>1.1499999999999999</v>
      </c>
      <c r="X35" s="208">
        <v>0.62</v>
      </c>
      <c r="Y35" s="40">
        <f>D35*W35*X35</f>
        <v>45.894383999999995</v>
      </c>
      <c r="AI35" s="35"/>
      <c r="AJ35" s="41" t="s">
        <v>341</v>
      </c>
      <c r="AK35" s="41" t="s">
        <v>342</v>
      </c>
      <c r="AL35" s="200" t="s">
        <v>343</v>
      </c>
      <c r="AM35" s="201" t="s">
        <v>341</v>
      </c>
      <c r="AN35" s="41" t="s">
        <v>342</v>
      </c>
      <c r="AO35" s="200" t="s">
        <v>343</v>
      </c>
    </row>
    <row r="36" spans="1:41">
      <c r="A36" s="202" t="s">
        <v>331</v>
      </c>
      <c r="B36" s="41">
        <v>1</v>
      </c>
      <c r="C36" s="203">
        <v>1</v>
      </c>
      <c r="D36" s="194">
        <f t="shared" ref="D36:D38" si="2">D20</f>
        <v>85.924999999999997</v>
      </c>
      <c r="E36" s="205">
        <f>$B36+($W36-$B36)*1/31</f>
        <v>1.0048387096774194</v>
      </c>
      <c r="F36" s="206">
        <f>$C36+($X36-$C36)*1/31</f>
        <v>0.99838709677419357</v>
      </c>
      <c r="G36" s="204">
        <f>$D$36*E36*F36</f>
        <v>86.201506828824151</v>
      </c>
      <c r="H36" s="205">
        <f>$B36+($W36-$B36)*6/31</f>
        <v>1.0290322580645161</v>
      </c>
      <c r="I36" s="206">
        <f>$C36+($X36-$C36)*6/31</f>
        <v>0.99032258064516132</v>
      </c>
      <c r="J36" s="204">
        <f>$D$36*H36*I36</f>
        <v>87.563923257023944</v>
      </c>
      <c r="K36" s="205">
        <f>$B36+($W36-$B36)*11/31</f>
        <v>1.0532258064516129</v>
      </c>
      <c r="L36" s="206">
        <f>$C36+($X36-$C36)*11/31</f>
        <v>0.98225806451612907</v>
      </c>
      <c r="M36" s="204">
        <f>$D$36*K36*L36</f>
        <v>88.892810158688874</v>
      </c>
      <c r="N36" s="205">
        <f>$B36+($W36-$B36)*16/31</f>
        <v>1.0774193548387097</v>
      </c>
      <c r="O36" s="206">
        <f>$C36+($X36-$C36)*16/31</f>
        <v>0.97419354838709671</v>
      </c>
      <c r="P36" s="204">
        <f>$D$36*N36*O36</f>
        <v>90.188167533818927</v>
      </c>
      <c r="Q36" s="205">
        <f>$B36+($W36-$B36)*21/31</f>
        <v>1.1016129032258064</v>
      </c>
      <c r="R36" s="206">
        <f>$C36+($X36-$C36)*21/31</f>
        <v>0.96612903225806446</v>
      </c>
      <c r="S36" s="204">
        <f>$D$36*Q36*R36</f>
        <v>91.44999538241413</v>
      </c>
      <c r="T36" s="205">
        <f>$B36+($W36-$B36)*26/31</f>
        <v>1.1258064516129032</v>
      </c>
      <c r="U36" s="206">
        <f>$C36+($X36-$C36)*26/31</f>
        <v>0.95806451612903221</v>
      </c>
      <c r="V36" s="204">
        <f>$D$36*T36*U36</f>
        <v>92.678293704474484</v>
      </c>
      <c r="W36" s="207">
        <v>1.1499999999999999</v>
      </c>
      <c r="X36" s="208">
        <v>0.95</v>
      </c>
      <c r="Y36" s="40">
        <f>D36*W36*X36</f>
        <v>93.873062499999975</v>
      </c>
      <c r="AI36" s="202" t="s">
        <v>353</v>
      </c>
      <c r="AJ36" s="41">
        <v>1.1499999999999999</v>
      </c>
      <c r="AK36" s="203">
        <v>0.62</v>
      </c>
      <c r="AL36" s="235">
        <v>250</v>
      </c>
      <c r="AM36" s="207">
        <v>1.1499999999999999</v>
      </c>
      <c r="AN36" s="208">
        <v>0.62</v>
      </c>
      <c r="AO36" s="37">
        <v>178.25</v>
      </c>
    </row>
    <row r="37" spans="1:41">
      <c r="A37" s="202" t="s">
        <v>515</v>
      </c>
      <c r="B37" s="41"/>
      <c r="C37" s="203"/>
      <c r="D37" s="194">
        <f t="shared" si="2"/>
        <v>150.29300000000001</v>
      </c>
      <c r="E37" s="209"/>
      <c r="F37" s="210"/>
      <c r="G37" s="204">
        <f>SUM(G35:G36)</f>
        <v>150.08811992351718</v>
      </c>
      <c r="H37" s="209"/>
      <c r="I37" s="210"/>
      <c r="J37" s="204">
        <f>SUM(J35:J36)</f>
        <v>148.92906563371488</v>
      </c>
      <c r="K37" s="209"/>
      <c r="L37" s="210"/>
      <c r="M37" s="204">
        <f>SUM(M35:M36)</f>
        <v>147.54558816493238</v>
      </c>
      <c r="N37" s="209"/>
      <c r="O37" s="210"/>
      <c r="P37" s="204">
        <f>SUM(P35:P36)</f>
        <v>145.93768751716959</v>
      </c>
      <c r="Q37" s="209"/>
      <c r="R37" s="210"/>
      <c r="S37" s="204">
        <f>SUM(S35:S36)</f>
        <v>144.1053636904266</v>
      </c>
      <c r="T37" s="211"/>
      <c r="U37" s="212"/>
      <c r="V37" s="204">
        <f>SUM(V35:V36)</f>
        <v>142.0486166847034</v>
      </c>
      <c r="W37" s="207"/>
      <c r="X37" s="208"/>
      <c r="Y37" s="40">
        <f>SUM(Y35:Y36)</f>
        <v>139.76744649999998</v>
      </c>
      <c r="AI37" s="202" t="s">
        <v>354</v>
      </c>
      <c r="AJ37" s="41">
        <v>1.1499999999999999</v>
      </c>
      <c r="AK37" s="203">
        <v>0.95</v>
      </c>
      <c r="AL37" s="235">
        <v>4500</v>
      </c>
      <c r="AM37" s="207">
        <v>1.1499999999999999</v>
      </c>
      <c r="AN37" s="208">
        <v>0.95</v>
      </c>
      <c r="AO37" s="37">
        <v>4916.25</v>
      </c>
    </row>
    <row r="38" spans="1:41">
      <c r="A38" s="202" t="s">
        <v>335</v>
      </c>
      <c r="B38" s="41"/>
      <c r="C38" s="203"/>
      <c r="D38" s="194">
        <f t="shared" si="2"/>
        <v>159.29300000000001</v>
      </c>
      <c r="E38" s="209"/>
      <c r="F38" s="210"/>
      <c r="G38" s="204">
        <f>G37+$K$9-$K$8</f>
        <v>159.08811992351718</v>
      </c>
      <c r="H38" s="209"/>
      <c r="I38" s="210"/>
      <c r="J38" s="204">
        <f>J37+$K$9-$K$8</f>
        <v>157.92906563371491</v>
      </c>
      <c r="K38" s="209"/>
      <c r="L38" s="210"/>
      <c r="M38" s="204">
        <f>M37+$K$9-$K$8</f>
        <v>156.54558816493238</v>
      </c>
      <c r="N38" s="209"/>
      <c r="O38" s="210"/>
      <c r="P38" s="204">
        <f>P37+$K$9-$K$8</f>
        <v>154.93768751716959</v>
      </c>
      <c r="Q38" s="209"/>
      <c r="R38" s="210"/>
      <c r="S38" s="213">
        <f>S37+$K$9-$K$8</f>
        <v>153.1053636904266</v>
      </c>
      <c r="T38" s="211"/>
      <c r="U38" s="212"/>
      <c r="V38" s="213">
        <f>V37+$K$9-$K$8</f>
        <v>151.0486166847034</v>
      </c>
      <c r="W38" s="207"/>
      <c r="X38" s="208"/>
      <c r="Y38" s="40">
        <f>Y37+$K$9-$K$8</f>
        <v>148.76744650000001</v>
      </c>
      <c r="Z38" s="4"/>
      <c r="AI38" s="202" t="s">
        <v>23</v>
      </c>
      <c r="AJ38" s="41"/>
      <c r="AK38" s="203"/>
      <c r="AL38" s="235">
        <v>187</v>
      </c>
      <c r="AM38" s="207"/>
      <c r="AN38" s="208"/>
      <c r="AO38" s="37">
        <v>176.02475000000001</v>
      </c>
    </row>
    <row r="39" spans="1:41">
      <c r="A39" s="415" t="s">
        <v>437</v>
      </c>
      <c r="B39" s="416"/>
      <c r="C39" s="416"/>
      <c r="D39" s="416"/>
      <c r="E39" s="416"/>
      <c r="F39" s="416"/>
      <c r="G39" s="416"/>
      <c r="H39" s="416"/>
      <c r="I39" s="416"/>
      <c r="J39" s="416"/>
      <c r="K39" s="416"/>
      <c r="L39" s="416"/>
      <c r="M39" s="416"/>
      <c r="N39" s="416"/>
      <c r="O39" s="416"/>
      <c r="P39" s="416"/>
      <c r="Q39" s="416"/>
      <c r="R39" s="416"/>
      <c r="S39" s="416"/>
      <c r="T39" s="416"/>
      <c r="U39" s="416"/>
      <c r="V39" s="416"/>
      <c r="W39" s="416"/>
      <c r="X39" s="416"/>
      <c r="Y39" s="416"/>
      <c r="AI39" s="202" t="s">
        <v>355</v>
      </c>
      <c r="AJ39" s="41"/>
      <c r="AK39" s="203"/>
      <c r="AL39" s="235">
        <v>197</v>
      </c>
      <c r="AM39" s="207"/>
      <c r="AN39" s="208"/>
      <c r="AO39" s="37">
        <v>182.02475000000001</v>
      </c>
    </row>
    <row r="40" spans="1:41">
      <c r="A40" s="441" t="s">
        <v>344</v>
      </c>
      <c r="B40" s="441"/>
      <c r="C40" s="441"/>
      <c r="D40" s="441"/>
      <c r="E40" s="441"/>
      <c r="F40" s="441"/>
      <c r="G40" s="441"/>
      <c r="H40" s="441"/>
      <c r="I40" s="441"/>
      <c r="J40" s="441"/>
      <c r="K40" s="441"/>
      <c r="L40" s="441"/>
      <c r="M40" s="441"/>
      <c r="N40" s="441"/>
      <c r="O40" s="441"/>
      <c r="P40" s="441"/>
      <c r="Q40" s="441"/>
      <c r="R40" s="441"/>
      <c r="S40" s="441"/>
      <c r="T40" s="441"/>
      <c r="U40" s="441"/>
      <c r="V40" s="441"/>
      <c r="W40" s="441"/>
      <c r="X40" s="441"/>
      <c r="Y40" s="441"/>
    </row>
    <row r="41" spans="1:41">
      <c r="A41" s="222"/>
      <c r="B41" s="442">
        <v>2019</v>
      </c>
      <c r="C41" s="442"/>
      <c r="D41" s="442"/>
      <c r="E41" s="442"/>
      <c r="F41" s="443">
        <v>2020</v>
      </c>
      <c r="G41" s="443"/>
      <c r="H41" s="443"/>
      <c r="I41" s="443"/>
      <c r="J41" s="443">
        <v>2025</v>
      </c>
      <c r="K41" s="443"/>
      <c r="L41" s="443"/>
      <c r="M41" s="443"/>
      <c r="N41" s="443">
        <v>2030</v>
      </c>
      <c r="O41" s="443"/>
      <c r="P41" s="443"/>
      <c r="Q41" s="443"/>
      <c r="R41" s="444">
        <v>2035</v>
      </c>
      <c r="S41" s="444"/>
      <c r="T41" s="444"/>
      <c r="U41" s="444"/>
      <c r="V41" s="445">
        <v>2040</v>
      </c>
      <c r="W41" s="445"/>
      <c r="X41" s="445"/>
      <c r="Y41" s="445"/>
      <c r="Z41" s="446">
        <v>2045</v>
      </c>
      <c r="AA41" s="446"/>
      <c r="AB41" s="446"/>
      <c r="AC41" s="446"/>
      <c r="AD41" s="447">
        <v>2050</v>
      </c>
      <c r="AE41" s="447"/>
      <c r="AF41" s="447"/>
      <c r="AG41" s="447"/>
      <c r="AH41" s="223"/>
    </row>
    <row r="42" spans="1:41" ht="43.2">
      <c r="A42" s="222"/>
      <c r="B42" s="141" t="s">
        <v>341</v>
      </c>
      <c r="C42" s="224" t="s">
        <v>349</v>
      </c>
      <c r="D42" s="141" t="s">
        <v>345</v>
      </c>
      <c r="E42" s="225" t="s">
        <v>350</v>
      </c>
      <c r="F42" s="209" t="s">
        <v>341</v>
      </c>
      <c r="G42" s="224" t="s">
        <v>349</v>
      </c>
      <c r="H42" s="141" t="s">
        <v>345</v>
      </c>
      <c r="I42" s="225" t="s">
        <v>346</v>
      </c>
      <c r="J42" s="209" t="s">
        <v>341</v>
      </c>
      <c r="K42" s="224" t="s">
        <v>349</v>
      </c>
      <c r="L42" s="141" t="s">
        <v>345</v>
      </c>
      <c r="M42" s="225" t="s">
        <v>346</v>
      </c>
      <c r="N42" s="209" t="s">
        <v>341</v>
      </c>
      <c r="O42" s="224" t="s">
        <v>349</v>
      </c>
      <c r="P42" s="141" t="s">
        <v>345</v>
      </c>
      <c r="Q42" s="225" t="s">
        <v>346</v>
      </c>
      <c r="R42" s="209" t="s">
        <v>341</v>
      </c>
      <c r="S42" s="224" t="s">
        <v>349</v>
      </c>
      <c r="T42" s="141" t="s">
        <v>345</v>
      </c>
      <c r="U42" s="225" t="s">
        <v>346</v>
      </c>
      <c r="V42" s="209" t="s">
        <v>341</v>
      </c>
      <c r="W42" s="224" t="s">
        <v>349</v>
      </c>
      <c r="X42" s="141" t="s">
        <v>345</v>
      </c>
      <c r="Y42" s="225" t="s">
        <v>346</v>
      </c>
      <c r="Z42" s="209" t="s">
        <v>341</v>
      </c>
      <c r="AA42" s="224" t="s">
        <v>349</v>
      </c>
      <c r="AB42" s="141" t="s">
        <v>345</v>
      </c>
      <c r="AC42" s="225" t="s">
        <v>346</v>
      </c>
      <c r="AD42" s="209" t="s">
        <v>341</v>
      </c>
      <c r="AE42" s="226" t="s">
        <v>349</v>
      </c>
      <c r="AF42" s="141" t="s">
        <v>345</v>
      </c>
      <c r="AG42" s="225" t="s">
        <v>346</v>
      </c>
      <c r="AH42" s="4"/>
    </row>
    <row r="43" spans="1:41">
      <c r="A43" s="227" t="s">
        <v>351</v>
      </c>
      <c r="B43" s="227">
        <v>1</v>
      </c>
      <c r="C43" s="227">
        <v>0.98</v>
      </c>
      <c r="D43" s="227">
        <v>1</v>
      </c>
      <c r="E43" s="217">
        <f>K12</f>
        <v>102</v>
      </c>
      <c r="F43" s="228">
        <f>$B43+($AD43-$B43)*1/31</f>
        <v>1.0048387096774194</v>
      </c>
      <c r="G43" s="229">
        <f>$C43+($AE43-$C43)*1/31</f>
        <v>0.94838709677419353</v>
      </c>
      <c r="H43" s="184">
        <f>$D43+($AF43-$D43)*1/31</f>
        <v>0.99677419354838714</v>
      </c>
      <c r="I43" s="230">
        <f>$E43+($AG43-$E43)*1/31</f>
        <v>98.709677419354833</v>
      </c>
      <c r="J43" s="228">
        <f>$B43+($AD43-$B43)*6/31</f>
        <v>1.0290322580645161</v>
      </c>
      <c r="K43" s="229">
        <f>$C43+($AE43-$C43)*6/31</f>
        <v>0.79032258064516125</v>
      </c>
      <c r="L43" s="184">
        <f>$D43+($AF43-$D43)*6/31</f>
        <v>0.98064516129032253</v>
      </c>
      <c r="M43" s="230">
        <f>$E43+($AG43-$E43)*6/31</f>
        <v>82.258064516129025</v>
      </c>
      <c r="N43" s="228">
        <f>$B43+($AD43-$B43)*11/31</f>
        <v>1.0532258064516129</v>
      </c>
      <c r="O43" s="229">
        <f>$C43+($AE43-$C43)*11/31</f>
        <v>0.63225806451612909</v>
      </c>
      <c r="P43" s="184">
        <f>$D43+($AF43-$D43)*11/31</f>
        <v>0.96451612903225803</v>
      </c>
      <c r="Q43" s="230">
        <f>$E43+($AG43-$E43)*11/31</f>
        <v>65.806451612903231</v>
      </c>
      <c r="R43" s="228">
        <f>$B43+($AD43-$B43)*16/31</f>
        <v>1.0774193548387097</v>
      </c>
      <c r="S43" s="229">
        <f>$C43+($AE43-$C43)*16/31</f>
        <v>0.47419354838709682</v>
      </c>
      <c r="T43" s="184">
        <f>$D43+($AF43-$D43)*16/31</f>
        <v>0.94838709677419353</v>
      </c>
      <c r="U43" s="230">
        <f>$E43+($AG43-$E43)*16/31</f>
        <v>49.354838709677416</v>
      </c>
      <c r="V43" s="228">
        <f>$B43+($AD43-$B43)*21/31</f>
        <v>1.1016129032258064</v>
      </c>
      <c r="W43" s="229">
        <f>$C43+($AE43-$C43)*21/31</f>
        <v>0.31612903225806455</v>
      </c>
      <c r="X43" s="184">
        <f>$D43+($AF43-$D43)*21/31</f>
        <v>0.93225806451612903</v>
      </c>
      <c r="Y43" s="230">
        <f>$E43+($AG43-$E43)*21/31</f>
        <v>32.903225806451616</v>
      </c>
      <c r="Z43" s="228">
        <f>$B43+($AD43-$B43)*26/31</f>
        <v>1.1258064516129032</v>
      </c>
      <c r="AA43" s="229">
        <f>$C43+($AE43-$C43)*26/31</f>
        <v>0.15806451612903227</v>
      </c>
      <c r="AB43" s="184">
        <f>$D43+($AF43-$D43)*26/31</f>
        <v>0.91612903225806452</v>
      </c>
      <c r="AC43" s="230">
        <f>$E43+($AG43-$E43)*26/31</f>
        <v>16.451612903225808</v>
      </c>
      <c r="AD43" s="211">
        <v>1.1499999999999999</v>
      </c>
      <c r="AE43" s="231">
        <v>0</v>
      </c>
      <c r="AF43" s="232">
        <v>0.9</v>
      </c>
      <c r="AG43" s="233">
        <f>E43*AD43*AE43*AF43</f>
        <v>0</v>
      </c>
      <c r="AH43" s="4"/>
    </row>
    <row r="44" spans="1:41">
      <c r="A44" s="1" t="s">
        <v>348</v>
      </c>
      <c r="B44" s="227">
        <v>1</v>
      </c>
      <c r="C44" s="227">
        <v>0.02</v>
      </c>
      <c r="D44" s="227">
        <v>1</v>
      </c>
      <c r="E44" s="213">
        <f>K13</f>
        <v>20</v>
      </c>
      <c r="F44" s="228">
        <f>$B44+($AD44-$B44)*1/31</f>
        <v>1.0048387096774194</v>
      </c>
      <c r="G44" s="229">
        <f>$C44+($AE44-$C44)*1/31</f>
        <v>2.2580645161290325E-2</v>
      </c>
      <c r="H44" s="184">
        <f>$D44+($AF44-$D44)*1/31</f>
        <v>0.99677419354838714</v>
      </c>
      <c r="I44" s="230">
        <f>$E44+($AG44-$E44)*1/31</f>
        <v>19.421612903225807</v>
      </c>
      <c r="J44" s="228">
        <f>$B44+($AD44-$B44)*6/31</f>
        <v>1.0290322580645161</v>
      </c>
      <c r="K44" s="229">
        <f>$C44+($AE44-$C44)*6/31</f>
        <v>3.5483870967741936E-2</v>
      </c>
      <c r="L44" s="184">
        <f>$D44+($AF44-$D44)*6/31</f>
        <v>0.98064516129032253</v>
      </c>
      <c r="M44" s="230">
        <f>$E44+($AG44-$E44)*6/31</f>
        <v>16.52967741935484</v>
      </c>
      <c r="N44" s="228">
        <f>$B44+($AD44-$B44)*11/31</f>
        <v>1.0532258064516129</v>
      </c>
      <c r="O44" s="229">
        <f>$C44+($AE44-$C44)*11/31</f>
        <v>4.8387096774193547E-2</v>
      </c>
      <c r="P44" s="184">
        <f>$D44+($AF44-$D44)*11/31</f>
        <v>0.96451612903225803</v>
      </c>
      <c r="Q44" s="230">
        <f>$E44+($AG44-$E44)*11/31</f>
        <v>13.63774193548387</v>
      </c>
      <c r="R44" s="228">
        <f>$B44+($AD44-$B44)*16/31</f>
        <v>1.0774193548387097</v>
      </c>
      <c r="S44" s="229">
        <f>$C44+($AE44-$C44)*16/31</f>
        <v>6.1290322580645165E-2</v>
      </c>
      <c r="T44" s="184">
        <f>$D44+($AF44-$D44)*16/31</f>
        <v>0.94838709677419353</v>
      </c>
      <c r="U44" s="230">
        <f>$E44+($AG44-$E44)*16/31</f>
        <v>10.745806451612903</v>
      </c>
      <c r="V44" s="228">
        <f>$B44+($AD44-$B44)*21/31</f>
        <v>1.1016129032258064</v>
      </c>
      <c r="W44" s="229">
        <f>$C44+($AE44-$C44)*21/31</f>
        <v>7.4193548387096769E-2</v>
      </c>
      <c r="X44" s="184">
        <f>$D44+($AF44-$D44)*21/31</f>
        <v>0.93225806451612903</v>
      </c>
      <c r="Y44" s="230">
        <f>$E44+($AG44-$E44)*21/31</f>
        <v>7.8538709677419369</v>
      </c>
      <c r="Z44" s="228">
        <f>$B44+($AD44-$B44)*26/31</f>
        <v>1.1258064516129032</v>
      </c>
      <c r="AA44" s="229">
        <f>$C44+($AE44-$C44)*26/31</f>
        <v>8.7096774193548387E-2</v>
      </c>
      <c r="AB44" s="184">
        <f>$D44+($AF44-$D44)*26/31</f>
        <v>0.91612903225806452</v>
      </c>
      <c r="AC44" s="230">
        <f>$E44+($AG44-$E44)*26/31</f>
        <v>4.9619354838709668</v>
      </c>
      <c r="AD44" s="211">
        <v>1.1499999999999999</v>
      </c>
      <c r="AE44" s="231">
        <v>0.1</v>
      </c>
      <c r="AF44" s="1">
        <v>0.9</v>
      </c>
      <c r="AG44" s="234">
        <f>AD44*AE44*E44*AF44</f>
        <v>2.0699999999999998</v>
      </c>
      <c r="AH44" s="4"/>
    </row>
    <row r="45" spans="1:41">
      <c r="A45" s="181" t="s">
        <v>352</v>
      </c>
      <c r="B45" s="227">
        <v>1</v>
      </c>
      <c r="C45" s="227">
        <v>0</v>
      </c>
      <c r="D45" s="227">
        <v>1</v>
      </c>
      <c r="E45" s="213">
        <v>0</v>
      </c>
      <c r="F45" s="228">
        <f>$B45+($AD45-$B45)*1/31</f>
        <v>1.0048387096774194</v>
      </c>
      <c r="G45" s="229">
        <f>$C45+($AE45-$C45)*1/31</f>
        <v>2.903225806451613E-2</v>
      </c>
      <c r="H45" s="184">
        <f>$D45+($AF45-$D45)*1/31</f>
        <v>0.99677419354838714</v>
      </c>
      <c r="I45" s="230">
        <f>$E45+($AG45-$E45)*1/31</f>
        <v>3.0649354838709675</v>
      </c>
      <c r="J45" s="228">
        <f>$B45+($AD45-$B45)*6/31</f>
        <v>1.0290322580645161</v>
      </c>
      <c r="K45" s="229">
        <f>$C45+($AE45-$C45)*6/31</f>
        <v>0.17419354838709677</v>
      </c>
      <c r="L45" s="184">
        <f>$D45+($AF45-$D45)*6/31</f>
        <v>0.98064516129032253</v>
      </c>
      <c r="M45" s="230">
        <f>$E45+($AG45-$E45)*6/31</f>
        <v>18.389612903225807</v>
      </c>
      <c r="N45" s="228">
        <f>$B45+($AD45-$B45)*11/31</f>
        <v>1.0532258064516129</v>
      </c>
      <c r="O45" s="229">
        <f>$C45+($AE45-$C45)*11/31</f>
        <v>0.31935483870967746</v>
      </c>
      <c r="P45" s="184">
        <f>$D45+($AF45-$D45)*11/31</f>
        <v>0.96451612903225803</v>
      </c>
      <c r="Q45" s="230">
        <f>$E45+($AG45-$E45)*11/31</f>
        <v>33.714290322580638</v>
      </c>
      <c r="R45" s="228">
        <f>$B45+($AD45-$B45)*16/31</f>
        <v>1.0774193548387097</v>
      </c>
      <c r="S45" s="229">
        <f>$C45+($AE45-$C45)*16/31</f>
        <v>0.46451612903225808</v>
      </c>
      <c r="T45" s="184">
        <f>$D45+($AF45-$D45)*16/31</f>
        <v>0.94838709677419353</v>
      </c>
      <c r="U45" s="230">
        <f>$E45+($AG45-$E45)*16/31</f>
        <v>49.03896774193548</v>
      </c>
      <c r="V45" s="228">
        <f>$B45+($AD45-$B45)*21/31</f>
        <v>1.1016129032258064</v>
      </c>
      <c r="W45" s="229">
        <f>$C45+($AE45-$C45)*21/31</f>
        <v>0.60967741935483877</v>
      </c>
      <c r="X45" s="184">
        <f>$D45+($AF45-$D45)*21/31</f>
        <v>0.93225806451612903</v>
      </c>
      <c r="Y45" s="230">
        <f>$E45+($AG45-$E45)*21/31</f>
        <v>64.363645161290322</v>
      </c>
      <c r="Z45" s="228">
        <f>$B45+($AD45-$B45)*26/31</f>
        <v>1.1258064516129032</v>
      </c>
      <c r="AA45" s="229">
        <f>$C45+($AE45-$C45)*26/31</f>
        <v>0.75483870967741939</v>
      </c>
      <c r="AB45" s="184">
        <f>$D45+($AF45-$D45)*26/31</f>
        <v>0.91612903225806452</v>
      </c>
      <c r="AC45" s="230">
        <f>$E45+($AG45-$E45)*26/31</f>
        <v>79.688322580645149</v>
      </c>
      <c r="AD45" s="211">
        <v>1.1499999999999999</v>
      </c>
      <c r="AE45" s="231">
        <v>0.9</v>
      </c>
      <c r="AF45" s="1">
        <v>0.9</v>
      </c>
      <c r="AG45" s="213">
        <f>AD45*AE45*E43*AF45</f>
        <v>95.012999999999991</v>
      </c>
      <c r="AH45" s="4"/>
    </row>
    <row r="46" spans="1:41">
      <c r="A46" s="181" t="s">
        <v>23</v>
      </c>
      <c r="B46" s="227"/>
      <c r="C46" s="227">
        <v>1</v>
      </c>
      <c r="D46" s="227">
        <v>1</v>
      </c>
      <c r="E46" s="213">
        <f>SUM(E43:E44)</f>
        <v>122</v>
      </c>
      <c r="F46" s="221"/>
      <c r="G46" s="221">
        <v>1</v>
      </c>
      <c r="H46" s="1"/>
      <c r="I46" s="213">
        <f>SUM(I43:I45)</f>
        <v>121.19622580645161</v>
      </c>
      <c r="J46" s="1"/>
      <c r="K46" s="1">
        <v>1</v>
      </c>
      <c r="L46" s="1"/>
      <c r="M46" s="213">
        <f>SUM(M43:M45)</f>
        <v>117.17735483870968</v>
      </c>
      <c r="N46" s="1"/>
      <c r="O46" s="1">
        <v>1</v>
      </c>
      <c r="P46" s="1"/>
      <c r="Q46" s="213">
        <f>SUM(Q43:Q45)</f>
        <v>113.15848387096774</v>
      </c>
      <c r="R46" s="1"/>
      <c r="S46" s="1">
        <v>1</v>
      </c>
      <c r="T46" s="1"/>
      <c r="U46" s="213">
        <f>SUM(U43:U45)</f>
        <v>109.1396129032258</v>
      </c>
      <c r="V46" s="1"/>
      <c r="W46" s="1">
        <v>1</v>
      </c>
      <c r="X46" s="1"/>
      <c r="Y46" s="213">
        <f>SUM(Y43:Y45)</f>
        <v>105.12074193548388</v>
      </c>
      <c r="Z46" s="1"/>
      <c r="AA46" s="1">
        <v>1</v>
      </c>
      <c r="AB46" s="1"/>
      <c r="AC46" s="213">
        <f>SUM(AC43:AC45)</f>
        <v>101.10187096774192</v>
      </c>
      <c r="AD46" s="1"/>
      <c r="AE46" s="1">
        <v>1</v>
      </c>
      <c r="AF46" s="1"/>
      <c r="AG46" s="213">
        <f>SUM(AG43:AG45)</f>
        <v>97.082999999999984</v>
      </c>
      <c r="AH46" s="4"/>
    </row>
    <row r="47" spans="1:41">
      <c r="A47" s="438" t="s">
        <v>438</v>
      </c>
      <c r="B47" s="438"/>
      <c r="C47" s="438"/>
      <c r="D47" s="438"/>
      <c r="E47" s="438"/>
      <c r="F47" s="438"/>
      <c r="G47" s="438"/>
      <c r="H47" s="438"/>
      <c r="I47" s="438"/>
      <c r="J47" s="438"/>
      <c r="K47" s="438"/>
      <c r="L47" s="438"/>
      <c r="M47" s="438"/>
      <c r="N47" s="438"/>
      <c r="O47" s="438"/>
      <c r="P47" s="438"/>
      <c r="Q47" s="438"/>
      <c r="R47" s="438"/>
      <c r="S47" s="438"/>
      <c r="T47" s="438"/>
      <c r="U47" s="438"/>
      <c r="V47" s="438"/>
      <c r="W47" s="438"/>
      <c r="X47" s="438"/>
      <c r="Y47" s="438"/>
      <c r="Z47" s="438"/>
      <c r="AA47" s="438"/>
      <c r="AB47" s="438"/>
      <c r="AC47" s="438"/>
      <c r="AD47" s="438"/>
      <c r="AE47" s="438"/>
      <c r="AF47" s="438"/>
      <c r="AG47" s="438"/>
    </row>
    <row r="56" spans="14:25">
      <c r="N56" s="236"/>
      <c r="O56" s="236"/>
      <c r="P56" s="236"/>
      <c r="Q56" s="236"/>
      <c r="R56" s="236"/>
      <c r="S56" s="35"/>
      <c r="T56" s="35"/>
      <c r="U56" s="35"/>
      <c r="V56" s="35"/>
      <c r="W56" s="35"/>
      <c r="X56" s="35"/>
      <c r="Y56" s="35"/>
    </row>
    <row r="57" spans="14:25">
      <c r="N57" s="95"/>
      <c r="O57" s="95"/>
      <c r="P57" s="95"/>
      <c r="Q57" s="95"/>
      <c r="R57" s="95"/>
      <c r="S57" s="95"/>
      <c r="T57" s="95"/>
      <c r="U57" s="95"/>
      <c r="V57" s="95"/>
      <c r="W57" s="95"/>
      <c r="X57" s="95"/>
      <c r="Y57" s="95"/>
    </row>
    <row r="63" spans="14:25">
      <c r="N63" s="35"/>
      <c r="O63" s="35"/>
      <c r="P63" s="35"/>
      <c r="Q63" s="35"/>
      <c r="R63" s="35"/>
      <c r="S63" s="35"/>
      <c r="T63" s="35"/>
      <c r="U63" s="35"/>
      <c r="V63" s="35"/>
      <c r="W63" s="35"/>
      <c r="X63" s="35"/>
      <c r="Y63" s="35"/>
    </row>
  </sheetData>
  <mergeCells count="52">
    <mergeCell ref="Z41:AC41"/>
    <mergeCell ref="AD41:AG41"/>
    <mergeCell ref="AI15:AU15"/>
    <mergeCell ref="AJ17:AL17"/>
    <mergeCell ref="AM17:AO17"/>
    <mergeCell ref="AP17:AR17"/>
    <mergeCell ref="AJ34:AL34"/>
    <mergeCell ref="AM34:AO34"/>
    <mergeCell ref="AI24:AR24"/>
    <mergeCell ref="AJ25:AL25"/>
    <mergeCell ref="AM25:AO25"/>
    <mergeCell ref="AP25:AR25"/>
    <mergeCell ref="AI32:AU32"/>
    <mergeCell ref="A40:Y40"/>
    <mergeCell ref="B41:E41"/>
    <mergeCell ref="F41:I41"/>
    <mergeCell ref="J41:M41"/>
    <mergeCell ref="N41:Q41"/>
    <mergeCell ref="R41:U41"/>
    <mergeCell ref="V41:Y41"/>
    <mergeCell ref="N33:P33"/>
    <mergeCell ref="Q33:S33"/>
    <mergeCell ref="T33:V33"/>
    <mergeCell ref="W33:Y33"/>
    <mergeCell ref="B25:D25"/>
    <mergeCell ref="E25:G25"/>
    <mergeCell ref="H25:J25"/>
    <mergeCell ref="K25:M25"/>
    <mergeCell ref="A31:M31"/>
    <mergeCell ref="B33:D33"/>
    <mergeCell ref="E33:G33"/>
    <mergeCell ref="H33:J33"/>
    <mergeCell ref="K33:M33"/>
    <mergeCell ref="N25:P25"/>
    <mergeCell ref="Q25:S25"/>
    <mergeCell ref="T25:V25"/>
    <mergeCell ref="A30:Y30"/>
    <mergeCell ref="A39:Y39"/>
    <mergeCell ref="A47:AG47"/>
    <mergeCell ref="W25:Y25"/>
    <mergeCell ref="A2:M2"/>
    <mergeCell ref="A15:M15"/>
    <mergeCell ref="B17:D17"/>
    <mergeCell ref="E17:G17"/>
    <mergeCell ref="H17:J17"/>
    <mergeCell ref="K17:M17"/>
    <mergeCell ref="N17:P17"/>
    <mergeCell ref="Q17:S17"/>
    <mergeCell ref="T17:V17"/>
    <mergeCell ref="W17:Y17"/>
    <mergeCell ref="A24:Y24"/>
    <mergeCell ref="A23:Y23"/>
  </mergeCells>
  <pageMargins left="0.7" right="0.7"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X17"/>
  <sheetViews>
    <sheetView zoomScaleNormal="100" workbookViewId="0">
      <selection activeCell="A12" sqref="A12"/>
    </sheetView>
  </sheetViews>
  <sheetFormatPr baseColWidth="10" defaultColWidth="8.88671875" defaultRowHeight="14.4"/>
  <cols>
    <col min="1" max="1" width="18.5546875" customWidth="1"/>
    <col min="2" max="1025" width="10.44140625" customWidth="1"/>
  </cols>
  <sheetData>
    <row r="2" spans="1:24">
      <c r="A2" s="414" t="s">
        <v>55</v>
      </c>
      <c r="B2" s="414"/>
      <c r="C2" s="414"/>
      <c r="D2" s="414"/>
      <c r="E2" s="414"/>
      <c r="F2" s="414"/>
      <c r="G2" s="414"/>
      <c r="H2" s="414"/>
      <c r="I2" s="414"/>
      <c r="P2" s="414" t="s">
        <v>153</v>
      </c>
      <c r="Q2" s="414"/>
      <c r="R2" s="414"/>
      <c r="S2" s="414"/>
      <c r="T2" s="414"/>
      <c r="U2" s="414"/>
      <c r="V2" s="414"/>
      <c r="W2" s="414"/>
      <c r="X2" s="414"/>
    </row>
    <row r="4" spans="1:24">
      <c r="B4" s="238">
        <v>2010</v>
      </c>
      <c r="C4" s="238">
        <v>2011</v>
      </c>
      <c r="D4" s="238">
        <v>2012</v>
      </c>
      <c r="E4" s="238">
        <v>2013</v>
      </c>
      <c r="F4" s="238">
        <v>2014</v>
      </c>
      <c r="G4" s="238">
        <v>2015</v>
      </c>
      <c r="H4" s="238">
        <v>2016</v>
      </c>
      <c r="I4" s="238">
        <v>2017</v>
      </c>
      <c r="J4" s="238">
        <v>2018</v>
      </c>
      <c r="K4" s="238">
        <v>2019</v>
      </c>
      <c r="L4" s="238">
        <v>2020</v>
      </c>
      <c r="M4" s="271" t="s">
        <v>422</v>
      </c>
      <c r="Q4" s="240">
        <v>2015</v>
      </c>
      <c r="R4" s="240">
        <v>2020</v>
      </c>
      <c r="S4" s="240">
        <v>2025</v>
      </c>
      <c r="T4" s="240">
        <v>2030</v>
      </c>
      <c r="U4" s="240">
        <v>2035</v>
      </c>
      <c r="V4" s="240">
        <v>2040</v>
      </c>
      <c r="W4" s="240">
        <v>2045</v>
      </c>
      <c r="X4" s="240">
        <v>2050</v>
      </c>
    </row>
    <row r="5" spans="1:24">
      <c r="A5" s="30" t="s">
        <v>328</v>
      </c>
      <c r="B5" s="39">
        <f>GES!V14</f>
        <v>51.328521852086297</v>
      </c>
      <c r="C5" s="39">
        <f>GES!W14</f>
        <v>141.72287227306401</v>
      </c>
      <c r="D5" s="39">
        <f>GES!X14</f>
        <v>11.590403436874499</v>
      </c>
      <c r="E5" s="39">
        <f>GES!Y14</f>
        <v>22.791865441518599</v>
      </c>
      <c r="F5" s="39">
        <f>GES!Z14</f>
        <v>16.2044445603293</v>
      </c>
      <c r="G5" s="39">
        <f>GES!AA14</f>
        <v>8.0866061616401197</v>
      </c>
      <c r="H5" s="39">
        <f>GES!AB14</f>
        <v>19.054571629617602</v>
      </c>
      <c r="I5" s="39">
        <f>GES!AC14</f>
        <v>7.9926464642616599</v>
      </c>
      <c r="J5" s="39">
        <f>GES!AD14</f>
        <v>9.8237904403944203</v>
      </c>
      <c r="K5" s="39">
        <f>GES!AE14</f>
        <v>94.935672080342201</v>
      </c>
      <c r="L5" s="30"/>
      <c r="M5" s="323" t="s">
        <v>358</v>
      </c>
      <c r="P5" s="30" t="s">
        <v>328</v>
      </c>
      <c r="Q5" s="30">
        <v>8</v>
      </c>
      <c r="R5" s="30"/>
      <c r="S5" s="30"/>
      <c r="T5" s="30"/>
      <c r="U5" s="30"/>
      <c r="V5" s="30"/>
      <c r="W5" s="30"/>
      <c r="X5" s="30">
        <v>8</v>
      </c>
    </row>
    <row r="6" spans="1:24">
      <c r="G6" s="39"/>
      <c r="H6" s="25"/>
    </row>
    <row r="7" spans="1:24">
      <c r="A7" s="414" t="s">
        <v>152</v>
      </c>
      <c r="B7" s="414"/>
      <c r="C7" s="414"/>
      <c r="D7" s="414"/>
      <c r="E7" s="414"/>
      <c r="F7" s="414"/>
      <c r="G7" s="414"/>
      <c r="H7" s="414"/>
      <c r="I7" s="414"/>
    </row>
    <row r="8" spans="1:24">
      <c r="P8" s="414" t="s">
        <v>159</v>
      </c>
      <c r="Q8" s="414"/>
      <c r="R8" s="414"/>
      <c r="S8" s="414"/>
      <c r="T8" s="414"/>
      <c r="U8" s="414"/>
      <c r="V8" s="414"/>
      <c r="W8" s="414"/>
      <c r="X8" s="414"/>
    </row>
    <row r="9" spans="1:24">
      <c r="B9" s="238">
        <v>2019</v>
      </c>
      <c r="C9" s="238">
        <v>2020</v>
      </c>
      <c r="D9" s="238">
        <v>2025</v>
      </c>
      <c r="E9" s="238">
        <v>2030</v>
      </c>
      <c r="F9" s="238">
        <v>2035</v>
      </c>
      <c r="G9" s="238">
        <v>2040</v>
      </c>
      <c r="H9" s="238">
        <v>2045</v>
      </c>
      <c r="I9" s="30">
        <v>2050</v>
      </c>
      <c r="J9" s="271" t="s">
        <v>422</v>
      </c>
      <c r="K9" t="s">
        <v>445</v>
      </c>
    </row>
    <row r="10" spans="1:24">
      <c r="A10" s="30" t="s">
        <v>328</v>
      </c>
      <c r="B10" s="39">
        <f>K5</f>
        <v>94.935672080342201</v>
      </c>
      <c r="C10" s="168">
        <f>$B10+($I10-$B10)*1/31</f>
        <v>92.626618142266651</v>
      </c>
      <c r="D10" s="168">
        <f>$B10+($I10-$B10)*6/31</f>
        <v>81.081348451888871</v>
      </c>
      <c r="E10" s="168">
        <f>$B10+($I10-$B10)*11/31</f>
        <v>69.536078761511106</v>
      </c>
      <c r="F10" s="168">
        <f>$B10+($I10-$B10)*16/31</f>
        <v>57.990809071133327</v>
      </c>
      <c r="G10" s="168">
        <f>$B10+($I10-$B10)*21/31</f>
        <v>46.445539380755555</v>
      </c>
      <c r="H10" s="168">
        <f>$B10+($I10-$B10)*26/31</f>
        <v>34.900269690377776</v>
      </c>
      <c r="I10" s="184">
        <f>23.355</f>
        <v>23.355</v>
      </c>
      <c r="J10" s="323" t="s">
        <v>446</v>
      </c>
      <c r="K10" t="s">
        <v>447</v>
      </c>
      <c r="Q10" s="238">
        <v>2015</v>
      </c>
      <c r="R10" s="238">
        <v>2020</v>
      </c>
      <c r="S10" s="238">
        <v>2025</v>
      </c>
      <c r="T10" s="238">
        <v>2030</v>
      </c>
      <c r="U10" s="238">
        <v>2035</v>
      </c>
      <c r="V10" s="238">
        <v>2040</v>
      </c>
      <c r="W10" s="238">
        <v>2045</v>
      </c>
      <c r="X10" s="238">
        <v>2050</v>
      </c>
    </row>
    <row r="11" spans="1:24" ht="26.4" customHeight="1">
      <c r="A11" s="436" t="s">
        <v>504</v>
      </c>
      <c r="B11" s="436"/>
      <c r="C11" s="436"/>
      <c r="D11" s="436"/>
      <c r="E11" s="436"/>
      <c r="F11" s="436"/>
      <c r="G11" s="436"/>
      <c r="H11" s="436"/>
      <c r="I11" s="436"/>
      <c r="J11" s="436"/>
      <c r="P11" s="30" t="s">
        <v>328</v>
      </c>
      <c r="Q11" s="30">
        <v>6</v>
      </c>
      <c r="R11" s="30"/>
      <c r="S11" s="30"/>
      <c r="T11" s="30"/>
      <c r="U11" s="30"/>
      <c r="V11" s="30"/>
      <c r="W11" s="30"/>
      <c r="X11" s="30">
        <v>0</v>
      </c>
    </row>
    <row r="13" spans="1:24">
      <c r="A13" s="414" t="s">
        <v>158</v>
      </c>
      <c r="B13" s="414"/>
      <c r="C13" s="414"/>
      <c r="D13" s="414"/>
      <c r="E13" s="414"/>
      <c r="F13" s="414"/>
      <c r="G13" s="414"/>
      <c r="H13" s="414"/>
      <c r="I13" s="414"/>
    </row>
    <row r="15" spans="1:24">
      <c r="B15" s="238">
        <v>2019</v>
      </c>
      <c r="C15" s="238">
        <v>2020</v>
      </c>
      <c r="D15" s="238">
        <v>2025</v>
      </c>
      <c r="E15" s="238">
        <v>2030</v>
      </c>
      <c r="F15" s="238">
        <v>2035</v>
      </c>
      <c r="G15" s="238">
        <v>2040</v>
      </c>
      <c r="H15" s="238">
        <v>2045</v>
      </c>
      <c r="I15" s="238">
        <v>2050</v>
      </c>
    </row>
    <row r="16" spans="1:24">
      <c r="A16" s="30" t="s">
        <v>328</v>
      </c>
      <c r="B16" s="39">
        <f>K5</f>
        <v>94.935672080342201</v>
      </c>
      <c r="C16" s="168">
        <f>$B16+($I16-$B16)*1/31</f>
        <v>91.873231045492446</v>
      </c>
      <c r="D16" s="168">
        <f>$B16+($I16-$B16)*6/31</f>
        <v>76.561025871243714</v>
      </c>
      <c r="E16" s="168">
        <f>$B16+($I16-$B16)*11/31</f>
        <v>61.248820696994969</v>
      </c>
      <c r="F16" s="168">
        <f>$B16+($I16-$B16)*16/31</f>
        <v>45.936615522746223</v>
      </c>
      <c r="G16" s="168">
        <f>$B16+($I16-$B16)*21/31</f>
        <v>30.624410348497491</v>
      </c>
      <c r="H16" s="168">
        <f>$B16+($I16-$B16)*26/31</f>
        <v>15.312205174248732</v>
      </c>
      <c r="I16" s="30">
        <v>0</v>
      </c>
    </row>
    <row r="17" spans="1:9">
      <c r="A17" s="431" t="s">
        <v>448</v>
      </c>
      <c r="B17" s="431"/>
      <c r="C17" s="431"/>
      <c r="D17" s="431"/>
      <c r="E17" s="431"/>
      <c r="F17" s="431"/>
      <c r="G17" s="431"/>
      <c r="H17" s="431"/>
      <c r="I17" s="431"/>
    </row>
  </sheetData>
  <mergeCells count="7">
    <mergeCell ref="A17:I17"/>
    <mergeCell ref="P2:X2"/>
    <mergeCell ref="A2:I2"/>
    <mergeCell ref="A7:I7"/>
    <mergeCell ref="A13:I13"/>
    <mergeCell ref="P8:X8"/>
    <mergeCell ref="A11:J11"/>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U36"/>
  <sheetViews>
    <sheetView zoomScaleNormal="100" workbookViewId="0">
      <selection activeCell="I30" sqref="I30"/>
    </sheetView>
  </sheetViews>
  <sheetFormatPr baseColWidth="10" defaultColWidth="8.88671875" defaultRowHeight="14.4"/>
  <cols>
    <col min="1" max="1" width="30.5546875" customWidth="1"/>
    <col min="2" max="12" width="10.44140625" customWidth="1"/>
    <col min="13" max="13" width="30.44140625" customWidth="1"/>
    <col min="14" max="1025" width="10.44140625" customWidth="1"/>
  </cols>
  <sheetData>
    <row r="2" spans="1:21">
      <c r="A2" s="414" t="s">
        <v>55</v>
      </c>
      <c r="B2" s="414"/>
      <c r="C2" s="414"/>
      <c r="D2" s="414"/>
      <c r="E2" s="414"/>
      <c r="F2" s="414"/>
      <c r="G2" s="414"/>
      <c r="H2" s="414"/>
      <c r="I2" s="414"/>
    </row>
    <row r="4" spans="1:21">
      <c r="A4" s="35"/>
      <c r="B4" s="238">
        <v>2010</v>
      </c>
      <c r="C4" s="238">
        <v>2011</v>
      </c>
      <c r="D4" s="238">
        <v>2012</v>
      </c>
      <c r="E4" s="238">
        <v>2013</v>
      </c>
      <c r="F4" s="238">
        <v>2014</v>
      </c>
      <c r="G4" s="238">
        <v>2015</v>
      </c>
      <c r="H4" s="238">
        <v>2016</v>
      </c>
      <c r="I4" s="238">
        <v>2017</v>
      </c>
      <c r="J4" s="238">
        <v>2018</v>
      </c>
      <c r="K4" s="238">
        <v>2019</v>
      </c>
      <c r="L4" s="238">
        <v>2020</v>
      </c>
      <c r="M4" s="310" t="s">
        <v>422</v>
      </c>
    </row>
    <row r="5" spans="1:21">
      <c r="A5" s="30" t="s">
        <v>506</v>
      </c>
      <c r="B5" s="30"/>
      <c r="C5" s="30"/>
      <c r="D5" s="30"/>
      <c r="E5" s="30"/>
      <c r="F5" s="30"/>
      <c r="G5" s="30"/>
      <c r="H5" s="30"/>
      <c r="I5" s="30">
        <f t="shared" ref="I5:K5" si="0">I9/I7</f>
        <v>0.1837231292596446</v>
      </c>
      <c r="J5" s="30">
        <f t="shared" si="0"/>
        <v>0.2219516420239751</v>
      </c>
      <c r="K5" s="30">
        <f t="shared" si="0"/>
        <v>0.19947087297816934</v>
      </c>
      <c r="L5" s="30"/>
      <c r="M5" s="323" t="s">
        <v>227</v>
      </c>
    </row>
    <row r="6" spans="1:21">
      <c r="A6" s="30" t="s">
        <v>505</v>
      </c>
      <c r="B6" s="30"/>
      <c r="C6" s="30"/>
      <c r="D6" s="30"/>
      <c r="E6" s="30"/>
      <c r="F6" s="30"/>
      <c r="G6" s="194">
        <f>'Cadrage macroéconomique '!G5/'Cadrage macroéconomique '!$K$5</f>
        <v>0.98782759141208298</v>
      </c>
      <c r="H6" s="194">
        <f>'Cadrage macroéconomique '!H5/'Cadrage macroéconomique '!$K$5</f>
        <v>0.9903786532901383</v>
      </c>
      <c r="I6" s="194">
        <f>'Cadrage macroéconomique '!I5/'Cadrage macroéconomique '!$K$5</f>
        <v>0.99123210366809489</v>
      </c>
      <c r="J6" s="194">
        <f>'Cadrage macroéconomique '!J5/'Cadrage macroéconomique '!$K$5</f>
        <v>0.99390508702871538</v>
      </c>
      <c r="K6" s="194">
        <f>'Cadrage macroéconomique '!K5/'Cadrage macroéconomique '!$K$5</f>
        <v>1</v>
      </c>
      <c r="L6" s="30"/>
      <c r="M6" s="323" t="s">
        <v>271</v>
      </c>
    </row>
    <row r="7" spans="1:21">
      <c r="A7" s="30" t="s">
        <v>361</v>
      </c>
      <c r="B7" s="30"/>
      <c r="C7" s="43" t="s">
        <v>362</v>
      </c>
      <c r="D7" s="30"/>
      <c r="E7" s="30"/>
      <c r="F7" s="30"/>
      <c r="G7" s="30"/>
      <c r="H7" s="194"/>
      <c r="I7" s="25">
        <f>0.607*('Cadrage macroéconomique '!I5/1000)</f>
        <v>518.17101300000002</v>
      </c>
      <c r="J7" s="25">
        <f>0.554*('Cadrage macroéconomique '!J5/1000)</f>
        <v>474.20239400000003</v>
      </c>
      <c r="K7" s="184">
        <f>0.599*('Cadrage macroéconomique '!K5/1000)</f>
        <v>515.86478999999997</v>
      </c>
      <c r="L7" s="184">
        <f>0.63*('Cadrage macroéconomique '!L5/1000)</f>
        <v>543.81411000000003</v>
      </c>
      <c r="M7" s="323" t="s">
        <v>363</v>
      </c>
    </row>
    <row r="8" spans="1:21">
      <c r="A8" s="30" t="s">
        <v>364</v>
      </c>
      <c r="B8" s="194">
        <f>3145/1000</f>
        <v>3.145</v>
      </c>
      <c r="C8" s="194">
        <f>2979/1000</f>
        <v>2.9790000000000001</v>
      </c>
      <c r="D8" s="194">
        <f>2766/1000</f>
        <v>2.766</v>
      </c>
      <c r="E8" s="194">
        <f>2971/1000</f>
        <v>2.9710000000000001</v>
      </c>
      <c r="F8" s="194">
        <f>3344/1000</f>
        <v>3.3439999999999999</v>
      </c>
      <c r="G8" s="194">
        <f>3350/1000</f>
        <v>3.35</v>
      </c>
      <c r="H8" s="194">
        <f>3416/1000</f>
        <v>3.4159999999999999</v>
      </c>
      <c r="I8" s="194">
        <f>3808/1000</f>
        <v>3.8079999999999998</v>
      </c>
      <c r="J8" s="194">
        <f>4210/1000</f>
        <v>4.21</v>
      </c>
      <c r="K8" s="194">
        <f>4116/1000</f>
        <v>4.1159999999999997</v>
      </c>
      <c r="L8" s="30"/>
      <c r="M8" s="323" t="s">
        <v>227</v>
      </c>
    </row>
    <row r="9" spans="1:21">
      <c r="A9" s="30" t="s">
        <v>365</v>
      </c>
      <c r="B9" s="30">
        <f t="shared" ref="B9:K9" si="1">B8*25</f>
        <v>78.625</v>
      </c>
      <c r="C9" s="30">
        <f t="shared" si="1"/>
        <v>74.475000000000009</v>
      </c>
      <c r="D9" s="30">
        <f t="shared" si="1"/>
        <v>69.150000000000006</v>
      </c>
      <c r="E9" s="30">
        <f t="shared" si="1"/>
        <v>74.275000000000006</v>
      </c>
      <c r="F9" s="30">
        <f t="shared" si="1"/>
        <v>83.6</v>
      </c>
      <c r="G9" s="30">
        <f t="shared" si="1"/>
        <v>83.75</v>
      </c>
      <c r="H9" s="30">
        <f t="shared" si="1"/>
        <v>85.399999999999991</v>
      </c>
      <c r="I9" s="30">
        <f t="shared" si="1"/>
        <v>95.199999999999989</v>
      </c>
      <c r="J9" s="30">
        <f t="shared" si="1"/>
        <v>105.25</v>
      </c>
      <c r="K9" s="30">
        <f t="shared" si="1"/>
        <v>102.89999999999999</v>
      </c>
      <c r="L9" s="30"/>
      <c r="M9" s="323"/>
    </row>
    <row r="10" spans="1:21">
      <c r="A10" s="30" t="s">
        <v>366</v>
      </c>
      <c r="B10" s="39">
        <f>GES!V8</f>
        <v>94.050964424355897</v>
      </c>
      <c r="C10" s="39">
        <f>GES!W8</f>
        <v>89.759834063342296</v>
      </c>
      <c r="D10" s="39">
        <f>GES!X8</f>
        <v>84.248866121172298</v>
      </c>
      <c r="E10" s="39">
        <f>GES!Y8</f>
        <v>89.347489033248195</v>
      </c>
      <c r="F10" s="39">
        <f>GES!Z8</f>
        <v>98.902686181891298</v>
      </c>
      <c r="G10" s="39">
        <f>GES!AA8</f>
        <v>99.0215765975191</v>
      </c>
      <c r="H10" s="39">
        <f>GES!AB8</f>
        <v>100.26029072051099</v>
      </c>
      <c r="I10" s="39">
        <f>GES!AC8</f>
        <v>110.110197273387</v>
      </c>
      <c r="J10" s="39">
        <f>GES!AD8</f>
        <v>120.197103670077</v>
      </c>
      <c r="K10" s="39">
        <f>GES!AE8</f>
        <v>117.96690475680499</v>
      </c>
      <c r="L10" s="30"/>
      <c r="M10" s="323" t="s">
        <v>227</v>
      </c>
    </row>
    <row r="11" spans="1:21">
      <c r="A11" s="333" t="s">
        <v>440</v>
      </c>
      <c r="B11" s="334">
        <f t="shared" ref="B11:K11" si="2">B10/B9</f>
        <v>1.1961966858423643</v>
      </c>
      <c r="C11" s="334">
        <f t="shared" si="2"/>
        <v>1.2052344285108061</v>
      </c>
      <c r="D11" s="334">
        <f t="shared" si="2"/>
        <v>1.2183494739142775</v>
      </c>
      <c r="E11" s="334">
        <f t="shared" si="2"/>
        <v>1.202928159316704</v>
      </c>
      <c r="F11" s="334">
        <f t="shared" si="2"/>
        <v>1.1830464854293219</v>
      </c>
      <c r="G11" s="334">
        <f t="shared" si="2"/>
        <v>1.1823471832539594</v>
      </c>
      <c r="H11" s="334">
        <f t="shared" si="2"/>
        <v>1.1740080880621897</v>
      </c>
      <c r="I11" s="334">
        <f t="shared" si="2"/>
        <v>1.156619719258267</v>
      </c>
      <c r="J11" s="334">
        <f t="shared" si="2"/>
        <v>1.1420152367703278</v>
      </c>
      <c r="K11" s="334">
        <f t="shared" si="2"/>
        <v>1.1464227867522352</v>
      </c>
      <c r="L11" s="334">
        <f>AVERAGE(B11:K11)</f>
        <v>1.1807168247110453</v>
      </c>
      <c r="M11" s="323" t="s">
        <v>441</v>
      </c>
    </row>
    <row r="13" spans="1:21">
      <c r="A13" s="414" t="s">
        <v>152</v>
      </c>
      <c r="B13" s="414"/>
      <c r="C13" s="414"/>
      <c r="D13" s="414"/>
      <c r="E13" s="414"/>
      <c r="F13" s="414"/>
      <c r="G13" s="414"/>
      <c r="H13" s="414"/>
      <c r="I13" s="414"/>
      <c r="M13" s="414" t="s">
        <v>153</v>
      </c>
      <c r="N13" s="414"/>
      <c r="O13" s="414"/>
      <c r="P13" s="414"/>
      <c r="Q13" s="414"/>
      <c r="R13" s="414"/>
      <c r="S13" s="414"/>
      <c r="T13" s="414"/>
      <c r="U13" s="414"/>
    </row>
    <row r="15" spans="1:21">
      <c r="A15" s="35"/>
      <c r="B15" s="238">
        <v>2019</v>
      </c>
      <c r="C15" s="238">
        <v>2020</v>
      </c>
      <c r="D15" s="238">
        <v>2025</v>
      </c>
      <c r="E15" s="238">
        <v>2030</v>
      </c>
      <c r="F15" s="238">
        <v>2035</v>
      </c>
      <c r="G15" s="238">
        <v>2040</v>
      </c>
      <c r="H15" s="238">
        <v>2045</v>
      </c>
      <c r="I15" s="238">
        <v>2050</v>
      </c>
      <c r="J15" s="271" t="s">
        <v>422</v>
      </c>
      <c r="K15" t="s">
        <v>445</v>
      </c>
      <c r="M15" s="35"/>
      <c r="N15" s="238">
        <v>2015</v>
      </c>
      <c r="O15" s="238">
        <v>2017</v>
      </c>
      <c r="P15" s="238">
        <v>2025</v>
      </c>
      <c r="Q15" s="238">
        <v>2030</v>
      </c>
      <c r="R15" s="238">
        <v>2035</v>
      </c>
      <c r="S15" s="238">
        <v>2040</v>
      </c>
      <c r="T15" s="238">
        <v>2045</v>
      </c>
      <c r="U15" s="238">
        <v>2050</v>
      </c>
    </row>
    <row r="16" spans="1:21">
      <c r="A16" s="30" t="s">
        <v>508</v>
      </c>
      <c r="B16" s="239">
        <f>K5</f>
        <v>0.19947087297816934</v>
      </c>
      <c r="C16" s="239">
        <f t="shared" ref="C16:H16" si="3">$B$16*C17</f>
        <v>0.19850569133472659</v>
      </c>
      <c r="D16" s="239">
        <f t="shared" si="3"/>
        <v>0.1936797831175128</v>
      </c>
      <c r="E16" s="239">
        <f t="shared" si="3"/>
        <v>0.18885387490029903</v>
      </c>
      <c r="F16" s="239">
        <f t="shared" si="3"/>
        <v>0.18402796668308527</v>
      </c>
      <c r="G16" s="239">
        <f t="shared" si="3"/>
        <v>0.17920205846587151</v>
      </c>
      <c r="H16" s="239">
        <f t="shared" si="3"/>
        <v>0.17437615024865771</v>
      </c>
      <c r="I16" s="239">
        <f>$B$16*I17</f>
        <v>0.16955024203144395</v>
      </c>
      <c r="J16" s="323" t="s">
        <v>367</v>
      </c>
      <c r="K16" t="s">
        <v>445</v>
      </c>
      <c r="M16" s="30" t="s">
        <v>359</v>
      </c>
      <c r="N16" s="30">
        <v>1</v>
      </c>
      <c r="O16" s="30"/>
      <c r="P16" s="30"/>
      <c r="Q16" s="30"/>
      <c r="R16" s="30"/>
      <c r="S16" s="30"/>
      <c r="T16" s="30"/>
      <c r="U16" s="30">
        <v>0.9</v>
      </c>
    </row>
    <row r="17" spans="1:21" s="384" customFormat="1">
      <c r="A17" s="30" t="s">
        <v>507</v>
      </c>
      <c r="B17" s="239">
        <f>1</f>
        <v>1</v>
      </c>
      <c r="C17" s="184">
        <f>$B17+($I17-$B17)*1/31</f>
        <v>0.99516129032258061</v>
      </c>
      <c r="D17" s="184">
        <f>$B17+($I17-$B17)*6/31</f>
        <v>0.97096774193548385</v>
      </c>
      <c r="E17" s="184">
        <f>$B17+($I17-$B17)*11/31</f>
        <v>0.9467741935483871</v>
      </c>
      <c r="F17" s="184">
        <f>$B17+($I17-$B17)*16/31</f>
        <v>0.92258064516129035</v>
      </c>
      <c r="G17" s="184">
        <f>$B17+($I17-$B17)*21/31</f>
        <v>0.89838709677419359</v>
      </c>
      <c r="H17" s="184">
        <f>$B17+($I17-$B17)*26/31</f>
        <v>0.87419354838709673</v>
      </c>
      <c r="I17" s="239">
        <v>0.85</v>
      </c>
      <c r="J17" s="323"/>
      <c r="M17" s="30"/>
      <c r="N17" s="30"/>
      <c r="O17" s="30"/>
      <c r="P17" s="30"/>
      <c r="Q17" s="30"/>
      <c r="R17" s="30"/>
      <c r="S17" s="30"/>
      <c r="T17" s="30"/>
      <c r="U17" s="30"/>
    </row>
    <row r="18" spans="1:21">
      <c r="A18" s="30" t="s">
        <v>505</v>
      </c>
      <c r="B18" s="239">
        <f>K6</f>
        <v>1</v>
      </c>
      <c r="C18" s="39">
        <f>'Cadrage macroéconomique '!$B$15/'Cadrage macroéconomique '!$K$5*1000000</f>
        <v>1</v>
      </c>
      <c r="D18" s="39">
        <f>'Cadrage macroéconomique '!$C$15/'Cadrage macroéconomique '!$K$5*1000000</f>
        <v>1.0206569826174801</v>
      </c>
      <c r="E18" s="39">
        <f>'Cadrage macroéconomique '!$D$15/'Cadrage macroéconomique '!$K$5*1000000</f>
        <v>1.0369131802928437</v>
      </c>
      <c r="F18" s="39">
        <f>'Cadrage macroéconomique '!$E$15/'Cadrage macroéconomique '!$K$5*1000000</f>
        <v>1.0496859070377724</v>
      </c>
      <c r="G18" s="39">
        <f>'Cadrage macroéconomique '!$F$15/'Cadrage macroéconomique '!$K$5*1000000</f>
        <v>1.0601363198290776</v>
      </c>
      <c r="H18" s="39">
        <f>'Cadrage macroéconomique '!$G$15/'Cadrage macroéconomique '!$K$5*1000000</f>
        <v>1.0647809477363244</v>
      </c>
      <c r="I18" s="39">
        <f>'Cadrage macroéconomique '!$H$15/'Cadrage macroéconomique '!$K$5*1000000</f>
        <v>1.0659421047131361</v>
      </c>
      <c r="J18" s="323" t="s">
        <v>233</v>
      </c>
      <c r="K18" t="s">
        <v>445</v>
      </c>
      <c r="M18" s="30" t="s">
        <v>360</v>
      </c>
      <c r="N18" s="30"/>
      <c r="O18" s="30"/>
      <c r="P18" s="30"/>
      <c r="Q18" s="30"/>
      <c r="R18" s="30"/>
      <c r="S18" s="30"/>
      <c r="T18" s="30"/>
      <c r="U18" s="30"/>
    </row>
    <row r="19" spans="1:21">
      <c r="A19" s="30" t="s">
        <v>364</v>
      </c>
      <c r="B19" s="335">
        <f>K8</f>
        <v>4.1159999999999997</v>
      </c>
      <c r="C19" s="335">
        <f t="shared" ref="C19:H19" si="4">C18*C17*$B$19</f>
        <v>4.0960838709677416</v>
      </c>
      <c r="D19" s="335">
        <f t="shared" si="4"/>
        <v>4.0790589234726378</v>
      </c>
      <c r="E19" s="335">
        <f t="shared" si="4"/>
        <v>4.0407703864517694</v>
      </c>
      <c r="F19" s="335">
        <f t="shared" si="4"/>
        <v>3.9860163138809575</v>
      </c>
      <c r="G19" s="335">
        <f t="shared" si="4"/>
        <v>3.920131045929002</v>
      </c>
      <c r="H19" s="335">
        <f t="shared" si="4"/>
        <v>3.8312741974813371</v>
      </c>
      <c r="I19" s="335">
        <f>I18*I17*$B$19</f>
        <v>3.7293050475493774</v>
      </c>
      <c r="J19" s="323" t="s">
        <v>442</v>
      </c>
      <c r="K19" t="s">
        <v>445</v>
      </c>
      <c r="M19" s="30" t="s">
        <v>364</v>
      </c>
      <c r="N19" s="30">
        <v>3.1</v>
      </c>
      <c r="O19" s="30">
        <v>3.0350000000000001</v>
      </c>
      <c r="P19" s="30"/>
      <c r="Q19" s="30"/>
      <c r="R19" s="30"/>
      <c r="S19" s="30"/>
      <c r="T19" s="30"/>
      <c r="U19" s="30">
        <v>2.8</v>
      </c>
    </row>
    <row r="20" spans="1:21">
      <c r="A20" s="30" t="s">
        <v>365</v>
      </c>
      <c r="B20" s="39">
        <f>K9</f>
        <v>102.89999999999999</v>
      </c>
      <c r="C20" s="39">
        <f t="shared" ref="C20:I20" si="5">C19*25</f>
        <v>102.40209677419354</v>
      </c>
      <c r="D20" s="39">
        <f t="shared" si="5"/>
        <v>101.97647308681594</v>
      </c>
      <c r="E20" s="39">
        <f t="shared" si="5"/>
        <v>101.01925966129424</v>
      </c>
      <c r="F20" s="39">
        <f t="shared" si="5"/>
        <v>99.650407847023942</v>
      </c>
      <c r="G20" s="39">
        <f t="shared" si="5"/>
        <v>98.003276148225055</v>
      </c>
      <c r="H20" s="39">
        <f t="shared" si="5"/>
        <v>95.78185493703343</v>
      </c>
      <c r="I20" s="39">
        <f t="shared" si="5"/>
        <v>93.232626188734429</v>
      </c>
      <c r="J20" s="323"/>
      <c r="K20" t="s">
        <v>445</v>
      </c>
      <c r="M20" s="30" t="s">
        <v>365</v>
      </c>
      <c r="N20" s="30">
        <v>77.8</v>
      </c>
      <c r="O20" s="30">
        <v>75.875</v>
      </c>
      <c r="P20" s="30"/>
      <c r="Q20" s="30"/>
      <c r="R20" s="30"/>
      <c r="S20" s="30"/>
      <c r="T20" s="30"/>
      <c r="U20" s="30">
        <v>70</v>
      </c>
    </row>
    <row r="21" spans="1:21">
      <c r="A21" s="30" t="s">
        <v>366</v>
      </c>
      <c r="B21" s="168">
        <f>K10</f>
        <v>117.96690475680499</v>
      </c>
      <c r="C21" s="168">
        <f t="shared" ref="C21:I21" si="6">C20*$L11</f>
        <v>120.90787854697898</v>
      </c>
      <c r="D21" s="168">
        <f t="shared" si="6"/>
        <v>120.40533749829669</v>
      </c>
      <c r="E21" s="168">
        <f t="shared" si="6"/>
        <v>119.27513950194393</v>
      </c>
      <c r="F21" s="168">
        <f t="shared" si="6"/>
        <v>117.65891313429874</v>
      </c>
      <c r="G21" s="168">
        <f t="shared" si="6"/>
        <v>115.71411702501202</v>
      </c>
      <c r="H21" s="168">
        <f t="shared" si="6"/>
        <v>113.09124762618808</v>
      </c>
      <c r="I21" s="168">
        <f t="shared" si="6"/>
        <v>110.08133035303436</v>
      </c>
      <c r="J21" s="323" t="s">
        <v>439</v>
      </c>
      <c r="K21" t="s">
        <v>445</v>
      </c>
      <c r="M21" s="30" t="s">
        <v>369</v>
      </c>
      <c r="N21" s="30">
        <v>93.8</v>
      </c>
      <c r="O21" s="30">
        <v>90.875</v>
      </c>
      <c r="P21" s="30"/>
      <c r="Q21" s="30"/>
      <c r="R21" s="30"/>
      <c r="S21" s="30"/>
      <c r="T21" s="30"/>
      <c r="U21" s="30">
        <v>80</v>
      </c>
    </row>
    <row r="22" spans="1:21">
      <c r="A22" s="30" t="s">
        <v>370</v>
      </c>
      <c r="B22" s="335">
        <f>K7</f>
        <v>515.86478999999997</v>
      </c>
      <c r="C22" s="335">
        <f t="shared" ref="C22:H22" si="7">C20/C16</f>
        <v>515.86478999999997</v>
      </c>
      <c r="D22" s="335">
        <f t="shared" si="7"/>
        <v>526.52099999999996</v>
      </c>
      <c r="E22" s="335">
        <f t="shared" si="7"/>
        <v>534.90699999999993</v>
      </c>
      <c r="F22" s="335">
        <f t="shared" si="7"/>
        <v>541.49599999999998</v>
      </c>
      <c r="G22" s="335">
        <f t="shared" si="7"/>
        <v>546.88699999999994</v>
      </c>
      <c r="H22" s="335">
        <f t="shared" si="7"/>
        <v>549.2829999999999</v>
      </c>
      <c r="I22" s="335">
        <f>I20/I16</f>
        <v>549.88199999999983</v>
      </c>
      <c r="J22" s="323"/>
      <c r="K22" t="s">
        <v>445</v>
      </c>
      <c r="M22" s="35"/>
      <c r="N22" s="35"/>
      <c r="O22" s="35"/>
      <c r="P22" s="35"/>
      <c r="Q22" s="35"/>
      <c r="R22" s="35"/>
      <c r="S22" s="35"/>
      <c r="T22" s="35"/>
      <c r="U22" s="35"/>
    </row>
    <row r="23" spans="1:21">
      <c r="A23" s="450" t="s">
        <v>443</v>
      </c>
      <c r="B23" s="450"/>
      <c r="C23" s="450"/>
      <c r="D23" s="450"/>
      <c r="E23" s="450"/>
      <c r="F23" s="450"/>
      <c r="G23" s="450"/>
      <c r="H23" s="450"/>
      <c r="I23" s="450"/>
      <c r="J23" s="450"/>
      <c r="M23" s="414" t="s">
        <v>159</v>
      </c>
      <c r="N23" s="414"/>
      <c r="O23" s="414"/>
      <c r="P23" s="414"/>
      <c r="Q23" s="414"/>
      <c r="R23" s="414"/>
      <c r="S23" s="414"/>
      <c r="T23" s="414"/>
      <c r="U23" s="414"/>
    </row>
    <row r="24" spans="1:21">
      <c r="A24" s="332"/>
      <c r="B24" s="332"/>
      <c r="C24" s="332"/>
      <c r="D24" s="332"/>
      <c r="E24" s="332"/>
      <c r="F24" s="332"/>
      <c r="G24" s="332"/>
      <c r="H24" s="332"/>
      <c r="I24" s="332"/>
      <c r="J24" s="332"/>
      <c r="M24" s="297"/>
      <c r="N24" s="297"/>
      <c r="O24" s="297"/>
      <c r="P24" s="297"/>
      <c r="Q24" s="297"/>
      <c r="R24" s="297"/>
      <c r="S24" s="297"/>
      <c r="T24" s="297"/>
      <c r="U24" s="297"/>
    </row>
    <row r="25" spans="1:21">
      <c r="A25" s="414" t="s">
        <v>158</v>
      </c>
      <c r="B25" s="414"/>
      <c r="C25" s="414"/>
      <c r="D25" s="414"/>
      <c r="E25" s="414"/>
      <c r="F25" s="414"/>
      <c r="G25" s="414"/>
      <c r="H25" s="414"/>
      <c r="I25" s="414"/>
    </row>
    <row r="26" spans="1:21">
      <c r="M26" s="35"/>
      <c r="N26" s="238">
        <v>2015</v>
      </c>
      <c r="O26" s="238">
        <v>2020</v>
      </c>
      <c r="P26" s="238">
        <v>2025</v>
      </c>
      <c r="Q26" s="238">
        <v>2030</v>
      </c>
      <c r="R26" s="238">
        <v>2035</v>
      </c>
      <c r="S26" s="238">
        <v>2040</v>
      </c>
      <c r="T26" s="238">
        <v>2045</v>
      </c>
      <c r="U26" s="238">
        <v>2050</v>
      </c>
    </row>
    <row r="27" spans="1:21">
      <c r="A27" s="181"/>
      <c r="B27" s="240">
        <v>2019</v>
      </c>
      <c r="C27" s="240">
        <v>2020</v>
      </c>
      <c r="D27" s="240">
        <v>2025</v>
      </c>
      <c r="E27" s="240">
        <v>2030</v>
      </c>
      <c r="F27" s="240">
        <v>2035</v>
      </c>
      <c r="G27" s="240">
        <v>2040</v>
      </c>
      <c r="H27" s="240">
        <v>2045</v>
      </c>
      <c r="I27" s="240">
        <v>2050</v>
      </c>
      <c r="J27" s="271" t="s">
        <v>422</v>
      </c>
      <c r="K27" t="s">
        <v>445</v>
      </c>
      <c r="M27" s="30" t="s">
        <v>359</v>
      </c>
      <c r="N27" s="30">
        <v>1</v>
      </c>
      <c r="O27" s="30"/>
      <c r="P27" s="30"/>
      <c r="Q27" s="30"/>
      <c r="R27" s="30"/>
      <c r="S27" s="30"/>
      <c r="T27" s="30"/>
      <c r="U27" s="30">
        <v>0.5</v>
      </c>
    </row>
    <row r="28" spans="1:21">
      <c r="A28" s="1" t="s">
        <v>359</v>
      </c>
      <c r="B28" s="184">
        <f>K5</f>
        <v>0.19947087297816934</v>
      </c>
      <c r="C28" s="184">
        <f t="shared" ref="C28:H28" si="8">$B$28*C29</f>
        <v>0.19625360083336016</v>
      </c>
      <c r="D28" s="184">
        <f t="shared" si="8"/>
        <v>0.18016724010931423</v>
      </c>
      <c r="E28" s="184">
        <f t="shared" si="8"/>
        <v>0.16408087938526833</v>
      </c>
      <c r="F28" s="184">
        <f t="shared" si="8"/>
        <v>0.14799451866122243</v>
      </c>
      <c r="G28" s="184">
        <f t="shared" si="8"/>
        <v>0.13190815793717653</v>
      </c>
      <c r="H28" s="184">
        <f t="shared" si="8"/>
        <v>0.11582179721313057</v>
      </c>
      <c r="I28" s="184">
        <f>$B$28*I29</f>
        <v>9.9735436489084672E-2</v>
      </c>
      <c r="J28" s="323" t="s">
        <v>367</v>
      </c>
      <c r="K28" t="s">
        <v>445</v>
      </c>
      <c r="M28" s="30" t="s">
        <v>360</v>
      </c>
      <c r="N28" s="30"/>
      <c r="O28" s="30"/>
      <c r="P28" s="30"/>
      <c r="Q28" s="30"/>
      <c r="R28" s="30"/>
      <c r="S28" s="30"/>
      <c r="T28" s="30"/>
      <c r="U28" s="30"/>
    </row>
    <row r="29" spans="1:21" s="384" customFormat="1">
      <c r="A29" s="30" t="s">
        <v>507</v>
      </c>
      <c r="B29" s="184">
        <v>1</v>
      </c>
      <c r="C29" s="184">
        <f>$B29+($I29-$B29)*1/31</f>
        <v>0.9838709677419355</v>
      </c>
      <c r="D29" s="184">
        <f>$B29+($I29-$B29)*6/31</f>
        <v>0.90322580645161288</v>
      </c>
      <c r="E29" s="184">
        <f>$B29+($I29-$B29)*11/31</f>
        <v>0.82258064516129026</v>
      </c>
      <c r="F29" s="184">
        <f>$B29+($I29-$B29)*16/31</f>
        <v>0.74193548387096775</v>
      </c>
      <c r="G29" s="184">
        <f>$B29+($I29-$B29)*21/31</f>
        <v>0.66129032258064524</v>
      </c>
      <c r="H29" s="184">
        <f>$B29+($I29-$B29)*26/31</f>
        <v>0.58064516129032251</v>
      </c>
      <c r="I29" s="184">
        <v>0.5</v>
      </c>
      <c r="J29" s="323"/>
      <c r="M29" s="30"/>
      <c r="N29" s="30"/>
      <c r="O29" s="30"/>
      <c r="P29" s="30"/>
      <c r="Q29" s="30"/>
      <c r="R29" s="30"/>
      <c r="S29" s="30"/>
      <c r="T29" s="30"/>
      <c r="U29" s="30"/>
    </row>
    <row r="30" spans="1:21">
      <c r="A30" s="1" t="s">
        <v>360</v>
      </c>
      <c r="B30" s="184">
        <f>B18</f>
        <v>1</v>
      </c>
      <c r="C30" s="184">
        <f t="shared" ref="C30:I30" si="9">C18</f>
        <v>1</v>
      </c>
      <c r="D30" s="184">
        <f t="shared" si="9"/>
        <v>1.0206569826174801</v>
      </c>
      <c r="E30" s="184">
        <f t="shared" si="9"/>
        <v>1.0369131802928437</v>
      </c>
      <c r="F30" s="184">
        <f t="shared" si="9"/>
        <v>1.0496859070377724</v>
      </c>
      <c r="G30" s="184">
        <f t="shared" si="9"/>
        <v>1.0601363198290776</v>
      </c>
      <c r="H30" s="184">
        <f t="shared" si="9"/>
        <v>1.0647809477363244</v>
      </c>
      <c r="I30" s="184">
        <f t="shared" si="9"/>
        <v>1.0659421047131361</v>
      </c>
      <c r="J30" s="323" t="s">
        <v>233</v>
      </c>
      <c r="K30" t="s">
        <v>445</v>
      </c>
      <c r="M30" s="30" t="s">
        <v>364</v>
      </c>
      <c r="N30" s="30">
        <v>16.3</v>
      </c>
      <c r="O30" s="30"/>
      <c r="P30" s="30"/>
      <c r="Q30" s="30"/>
      <c r="R30" s="30"/>
      <c r="S30" s="30"/>
      <c r="T30" s="30"/>
      <c r="U30" s="30">
        <v>8.15</v>
      </c>
    </row>
    <row r="31" spans="1:21">
      <c r="A31" s="1" t="s">
        <v>371</v>
      </c>
      <c r="B31" s="30">
        <v>1</v>
      </c>
      <c r="C31" s="184">
        <f>$B31+($I31-$B31)*1/31</f>
        <v>0.9838709677419355</v>
      </c>
      <c r="D31" s="184">
        <f>$B31+($I31-$B31)*6/31</f>
        <v>0.90322580645161288</v>
      </c>
      <c r="E31" s="184">
        <f>$B31+($I31-$B31)*11/31</f>
        <v>0.82258064516129026</v>
      </c>
      <c r="F31" s="184">
        <f>$B31+($I31-$B31)*16/31</f>
        <v>0.74193548387096775</v>
      </c>
      <c r="G31" s="184">
        <f>$B31+($I31-$B31)*21/31</f>
        <v>0.66129032258064524</v>
      </c>
      <c r="H31" s="184">
        <f>$B31+($I31-$B31)*26/31</f>
        <v>0.58064516129032251</v>
      </c>
      <c r="I31" s="184">
        <v>0.5</v>
      </c>
      <c r="J31" s="323"/>
      <c r="K31" t="s">
        <v>445</v>
      </c>
      <c r="M31" s="30" t="s">
        <v>365</v>
      </c>
      <c r="N31" s="30">
        <v>407.5</v>
      </c>
      <c r="O31" s="30"/>
      <c r="P31" s="30"/>
      <c r="Q31" s="30"/>
      <c r="R31" s="30"/>
      <c r="S31" s="30"/>
      <c r="T31" s="30"/>
      <c r="U31" s="30">
        <v>203.75</v>
      </c>
    </row>
    <row r="32" spans="1:21">
      <c r="A32" s="1" t="s">
        <v>364</v>
      </c>
      <c r="B32" s="184">
        <f>K8</f>
        <v>4.1159999999999997</v>
      </c>
      <c r="C32" s="184">
        <f t="shared" ref="C32:H32" si="10">$B$32*C31*C30*C29</f>
        <v>3.9842965660770027</v>
      </c>
      <c r="D32" s="184">
        <f t="shared" si="10"/>
        <v>3.4272663122950897</v>
      </c>
      <c r="E32" s="184">
        <f t="shared" si="10"/>
        <v>2.88785068284911</v>
      </c>
      <c r="F32" s="184">
        <f t="shared" si="10"/>
        <v>2.3783020866715838</v>
      </c>
      <c r="G32" s="184">
        <f t="shared" si="10"/>
        <v>1.9081891145556997</v>
      </c>
      <c r="H32" s="184">
        <f t="shared" si="10"/>
        <v>1.4776012855421414</v>
      </c>
      <c r="I32" s="184">
        <f>$B$32*I31*I30*I29</f>
        <v>1.096854425749817</v>
      </c>
      <c r="J32" s="323" t="s">
        <v>368</v>
      </c>
      <c r="K32" t="s">
        <v>445</v>
      </c>
      <c r="M32" s="30" t="s">
        <v>369</v>
      </c>
      <c r="N32" s="30">
        <f>SUM(N30:N31)</f>
        <v>423.8</v>
      </c>
      <c r="O32" s="30"/>
      <c r="P32" s="30"/>
      <c r="Q32" s="30"/>
      <c r="R32" s="30"/>
      <c r="S32" s="30"/>
      <c r="T32" s="30"/>
      <c r="U32" s="30">
        <f>SUM(U30:U31)</f>
        <v>211.9</v>
      </c>
    </row>
    <row r="33" spans="1:11">
      <c r="A33" s="1" t="s">
        <v>365</v>
      </c>
      <c r="B33" s="184">
        <f>K9</f>
        <v>102.89999999999999</v>
      </c>
      <c r="C33" s="184">
        <f t="shared" ref="C33:I33" si="11">C32*25</f>
        <v>99.60741415192507</v>
      </c>
      <c r="D33" s="184">
        <f t="shared" si="11"/>
        <v>85.681657807377249</v>
      </c>
      <c r="E33" s="184">
        <f t="shared" si="11"/>
        <v>72.196267071227751</v>
      </c>
      <c r="F33" s="184">
        <f t="shared" si="11"/>
        <v>59.457552166789597</v>
      </c>
      <c r="G33" s="184">
        <f t="shared" si="11"/>
        <v>47.704727863892494</v>
      </c>
      <c r="H33" s="184">
        <f t="shared" si="11"/>
        <v>36.940032138553534</v>
      </c>
      <c r="I33" s="184">
        <f t="shared" si="11"/>
        <v>27.421360643745423</v>
      </c>
      <c r="J33" s="323"/>
      <c r="K33" t="s">
        <v>445</v>
      </c>
    </row>
    <row r="34" spans="1:11">
      <c r="A34" s="1" t="s">
        <v>366</v>
      </c>
      <c r="B34" s="184">
        <f>K10</f>
        <v>117.96690475680499</v>
      </c>
      <c r="C34" s="184">
        <f t="shared" ref="C34:I34" si="12">C33*$L11</f>
        <v>117.60814975513901</v>
      </c>
      <c r="D34" s="184">
        <f t="shared" si="12"/>
        <v>101.16577494230481</v>
      </c>
      <c r="E34" s="184">
        <f t="shared" si="12"/>
        <v>85.243347212330633</v>
      </c>
      <c r="F34" s="184">
        <f t="shared" si="12"/>
        <v>70.20253219946315</v>
      </c>
      <c r="G34" s="184">
        <f t="shared" si="12"/>
        <v>56.325774807159675</v>
      </c>
      <c r="H34" s="184">
        <f t="shared" si="12"/>
        <v>43.615717451356893</v>
      </c>
      <c r="I34" s="184">
        <f t="shared" si="12"/>
        <v>32.376861868539521</v>
      </c>
      <c r="J34" s="323" t="s">
        <v>439</v>
      </c>
      <c r="K34" t="s">
        <v>445</v>
      </c>
    </row>
    <row r="35" spans="1:11">
      <c r="A35" s="30" t="s">
        <v>361</v>
      </c>
      <c r="B35" s="184">
        <f>K7</f>
        <v>515.86478999999997</v>
      </c>
      <c r="C35" s="184">
        <f t="shared" ref="C35:H35" si="13">C33/C28</f>
        <v>507.54439016129027</v>
      </c>
      <c r="D35" s="184">
        <f t="shared" si="13"/>
        <v>475.56735483870966</v>
      </c>
      <c r="E35" s="184">
        <f t="shared" si="13"/>
        <v>440.00414516129018</v>
      </c>
      <c r="F35" s="184">
        <f t="shared" si="13"/>
        <v>401.75509677419348</v>
      </c>
      <c r="G35" s="184">
        <f t="shared" si="13"/>
        <v>361.65108064516124</v>
      </c>
      <c r="H35" s="184">
        <f t="shared" si="13"/>
        <v>318.93851612903211</v>
      </c>
      <c r="I35" s="184">
        <f>I33/I28</f>
        <v>274.94099999999992</v>
      </c>
      <c r="J35" s="323"/>
      <c r="K35" t="s">
        <v>445</v>
      </c>
    </row>
    <row r="36" spans="1:11">
      <c r="A36" s="431" t="s">
        <v>444</v>
      </c>
      <c r="B36" s="431"/>
      <c r="C36" s="431"/>
      <c r="D36" s="431"/>
      <c r="E36" s="431"/>
      <c r="F36" s="431"/>
      <c r="G36" s="431"/>
      <c r="H36" s="431"/>
      <c r="I36" s="431"/>
      <c r="J36" s="431"/>
    </row>
  </sheetData>
  <mergeCells count="7">
    <mergeCell ref="A36:J36"/>
    <mergeCell ref="A2:I2"/>
    <mergeCell ref="A13:I13"/>
    <mergeCell ref="M13:U13"/>
    <mergeCell ref="M23:U23"/>
    <mergeCell ref="A25:I25"/>
    <mergeCell ref="A23:J23"/>
  </mergeCells>
  <pageMargins left="0.7" right="0.7" top="0.75" bottom="0.75" header="0.51180555555555496" footer="0.51180555555555496"/>
  <pageSetup paperSize="9" firstPageNumber="0"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O34"/>
  <sheetViews>
    <sheetView zoomScaleNormal="100" workbookViewId="0">
      <selection activeCell="H8" sqref="H8"/>
    </sheetView>
  </sheetViews>
  <sheetFormatPr baseColWidth="10" defaultColWidth="8.88671875" defaultRowHeight="14.4"/>
  <cols>
    <col min="1" max="1" width="28.77734375" customWidth="1"/>
    <col min="2" max="1025" width="10.44140625" customWidth="1"/>
  </cols>
  <sheetData>
    <row r="2" spans="1:35">
      <c r="A2" s="433" t="s">
        <v>86</v>
      </c>
      <c r="B2" s="433"/>
      <c r="C2" s="433"/>
      <c r="D2" s="433"/>
      <c r="E2" s="433"/>
      <c r="F2" s="433"/>
      <c r="G2" s="433"/>
      <c r="H2" s="433"/>
      <c r="I2" s="433"/>
      <c r="J2" s="433"/>
      <c r="K2" s="433"/>
    </row>
    <row r="4" spans="1:35" ht="18">
      <c r="A4" s="46" t="s">
        <v>87</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row>
    <row r="5" spans="1:35" ht="28.8">
      <c r="A5" s="48" t="s">
        <v>88</v>
      </c>
      <c r="B5" s="49">
        <v>1990</v>
      </c>
      <c r="C5" s="49">
        <v>1991</v>
      </c>
      <c r="D5" s="49">
        <v>1992</v>
      </c>
      <c r="E5" s="49">
        <v>1993</v>
      </c>
      <c r="F5" s="49">
        <v>1994</v>
      </c>
      <c r="G5" s="49">
        <v>1995</v>
      </c>
      <c r="H5" s="49">
        <v>1996</v>
      </c>
      <c r="I5" s="49">
        <v>1997</v>
      </c>
      <c r="J5" s="49">
        <v>1998</v>
      </c>
      <c r="K5" s="49">
        <v>1999</v>
      </c>
      <c r="L5" s="49">
        <v>2000</v>
      </c>
      <c r="M5" s="49">
        <v>2001</v>
      </c>
      <c r="N5" s="49">
        <v>2002</v>
      </c>
      <c r="O5" s="49">
        <v>2003</v>
      </c>
      <c r="P5" s="49">
        <v>2004</v>
      </c>
      <c r="Q5" s="49">
        <v>2005</v>
      </c>
      <c r="R5" s="49">
        <v>2006</v>
      </c>
      <c r="S5" s="49">
        <v>2007</v>
      </c>
      <c r="T5" s="49">
        <v>2008</v>
      </c>
      <c r="U5" s="49">
        <v>2009</v>
      </c>
      <c r="V5" s="49">
        <v>2010</v>
      </c>
      <c r="W5" s="49">
        <v>2011</v>
      </c>
      <c r="X5" s="49">
        <v>2012</v>
      </c>
      <c r="Y5" s="49">
        <v>2013</v>
      </c>
      <c r="Z5" s="49">
        <v>2014</v>
      </c>
      <c r="AA5" s="49">
        <v>2015</v>
      </c>
      <c r="AB5" s="49">
        <v>2016</v>
      </c>
      <c r="AC5" s="49">
        <v>2017</v>
      </c>
      <c r="AD5" s="49">
        <v>2018</v>
      </c>
      <c r="AE5" s="49">
        <v>2019</v>
      </c>
      <c r="AF5" s="50"/>
      <c r="AG5" s="51" t="s">
        <v>89</v>
      </c>
      <c r="AH5" s="52" t="s">
        <v>90</v>
      </c>
      <c r="AI5" s="52" t="s">
        <v>91</v>
      </c>
    </row>
    <row r="6" spans="1:35">
      <c r="A6" s="53" t="s">
        <v>92</v>
      </c>
      <c r="B6" s="54">
        <v>237.59786122857901</v>
      </c>
      <c r="C6" s="54">
        <v>364.02092089651597</v>
      </c>
      <c r="D6" s="54">
        <v>457.164739783877</v>
      </c>
      <c r="E6" s="54">
        <v>605.21465650666903</v>
      </c>
      <c r="F6" s="54">
        <v>573.714141197255</v>
      </c>
      <c r="G6" s="54">
        <v>641.79943376637902</v>
      </c>
      <c r="H6" s="54">
        <v>620.63728068168803</v>
      </c>
      <c r="I6" s="54">
        <v>744.69479463438495</v>
      </c>
      <c r="J6" s="54">
        <v>887.27384197447304</v>
      </c>
      <c r="K6" s="54">
        <v>958.62375680433297</v>
      </c>
      <c r="L6" s="54">
        <v>1060.0204256147099</v>
      </c>
      <c r="M6" s="54">
        <v>1199.1501436537201</v>
      </c>
      <c r="N6" s="54">
        <v>1190.3622983227899</v>
      </c>
      <c r="O6" s="54">
        <v>1270.9384348634901</v>
      </c>
      <c r="P6" s="54">
        <v>1424.54975821926</v>
      </c>
      <c r="Q6" s="54">
        <v>1673.8634346393701</v>
      </c>
      <c r="R6" s="54">
        <v>1758.5298957283701</v>
      </c>
      <c r="S6" s="54">
        <v>1841.5457897221399</v>
      </c>
      <c r="T6" s="54">
        <v>1902.3920641306599</v>
      </c>
      <c r="U6" s="54">
        <v>1964.59281286185</v>
      </c>
      <c r="V6" s="54">
        <v>2015.8112572448799</v>
      </c>
      <c r="W6" s="54">
        <v>2074.9116218202598</v>
      </c>
      <c r="X6" s="54">
        <v>2031.0422651061201</v>
      </c>
      <c r="Y6" s="54">
        <v>1923.47411268475</v>
      </c>
      <c r="Z6" s="54">
        <v>2009.11005312917</v>
      </c>
      <c r="AA6" s="54">
        <v>1933.04849103058</v>
      </c>
      <c r="AB6" s="54">
        <v>1972.83532841856</v>
      </c>
      <c r="AC6" s="54">
        <v>1973.0171290680701</v>
      </c>
      <c r="AD6" s="54">
        <v>1875.35019540293</v>
      </c>
      <c r="AE6" s="54">
        <v>2036.6008116143</v>
      </c>
      <c r="AF6" s="55"/>
      <c r="AG6" s="56" t="s">
        <v>92</v>
      </c>
      <c r="AH6" s="57">
        <v>7.57162939549786</v>
      </c>
      <c r="AI6" s="57">
        <v>8.5984269288289505E-2</v>
      </c>
    </row>
    <row r="7" spans="1:35">
      <c r="A7" s="53" t="s">
        <v>93</v>
      </c>
      <c r="B7" s="54">
        <v>45.294251111054599</v>
      </c>
      <c r="C7" s="54">
        <v>54.772037230574099</v>
      </c>
      <c r="D7" s="54">
        <v>65.874329802508797</v>
      </c>
      <c r="E7" s="54">
        <v>63.627641982930001</v>
      </c>
      <c r="F7" s="54">
        <v>64.817663000228293</v>
      </c>
      <c r="G7" s="54">
        <v>81.494697599680194</v>
      </c>
      <c r="H7" s="54">
        <v>77.537046521533995</v>
      </c>
      <c r="I7" s="54">
        <v>82.669608030781404</v>
      </c>
      <c r="J7" s="54">
        <v>87.570134675874499</v>
      </c>
      <c r="K7" s="54">
        <v>92.003349110706495</v>
      </c>
      <c r="L7" s="54">
        <v>95.847335639865307</v>
      </c>
      <c r="M7" s="54">
        <v>104.370361792293</v>
      </c>
      <c r="N7" s="54">
        <v>98.007655303408299</v>
      </c>
      <c r="O7" s="54">
        <v>103.87186832031701</v>
      </c>
      <c r="P7" s="54">
        <v>114.293701920131</v>
      </c>
      <c r="Q7" s="54">
        <v>131.100367418633</v>
      </c>
      <c r="R7" s="54">
        <v>161.70169288125399</v>
      </c>
      <c r="S7" s="54">
        <v>128.18354203625199</v>
      </c>
      <c r="T7" s="54">
        <v>125.04261475826701</v>
      </c>
      <c r="U7" s="54">
        <v>158.58514669410201</v>
      </c>
      <c r="V7" s="54">
        <v>141.71128575657201</v>
      </c>
      <c r="W7" s="54">
        <v>134.60376834663899</v>
      </c>
      <c r="X7" s="54">
        <v>142.404092086747</v>
      </c>
      <c r="Y7" s="54">
        <v>144.89613227391601</v>
      </c>
      <c r="Z7" s="54">
        <v>158.71145433307299</v>
      </c>
      <c r="AA7" s="54">
        <v>168.387631093924</v>
      </c>
      <c r="AB7" s="54">
        <v>169.217644139236</v>
      </c>
      <c r="AC7" s="54">
        <v>163.35432814992501</v>
      </c>
      <c r="AD7" s="54">
        <v>150.93605865519001</v>
      </c>
      <c r="AE7" s="54">
        <v>152.93630694720699</v>
      </c>
      <c r="AF7" s="55"/>
      <c r="AG7" s="58" t="s">
        <v>93</v>
      </c>
      <c r="AH7" s="57">
        <v>2.3765059184272799</v>
      </c>
      <c r="AI7" s="57">
        <v>1.32522891470639E-2</v>
      </c>
    </row>
    <row r="8" spans="1:35">
      <c r="A8" s="53" t="s">
        <v>94</v>
      </c>
      <c r="B8" s="54">
        <v>44.115143164024801</v>
      </c>
      <c r="C8" s="54">
        <v>44.829369587775602</v>
      </c>
      <c r="D8" s="54">
        <v>46.790803306207899</v>
      </c>
      <c r="E8" s="54">
        <v>49.348946779860199</v>
      </c>
      <c r="F8" s="54">
        <v>51.115694377193797</v>
      </c>
      <c r="G8" s="54">
        <v>54.431864078645198</v>
      </c>
      <c r="H8" s="54">
        <v>57.848920655403901</v>
      </c>
      <c r="I8" s="54">
        <v>61.366094420631299</v>
      </c>
      <c r="J8" s="54">
        <v>65.281196267232204</v>
      </c>
      <c r="K8" s="54">
        <v>69.453742853711304</v>
      </c>
      <c r="L8" s="54">
        <v>74.472716483311103</v>
      </c>
      <c r="M8" s="54">
        <v>64.483097170993503</v>
      </c>
      <c r="N8" s="54">
        <v>52.555545460372798</v>
      </c>
      <c r="O8" s="54">
        <v>59.122872711034503</v>
      </c>
      <c r="P8" s="54">
        <v>66.142821992255307</v>
      </c>
      <c r="Q8" s="54">
        <v>64.037096888194995</v>
      </c>
      <c r="R8" s="54">
        <v>63.250319531559398</v>
      </c>
      <c r="S8" s="54">
        <v>70.676019546736896</v>
      </c>
      <c r="T8" s="54">
        <v>78.461029307586301</v>
      </c>
      <c r="U8" s="54">
        <v>86.0973678086456</v>
      </c>
      <c r="V8" s="54">
        <v>94.050964424355897</v>
      </c>
      <c r="W8" s="54">
        <v>89.759834063342296</v>
      </c>
      <c r="X8" s="54">
        <v>84.248866121172298</v>
      </c>
      <c r="Y8" s="54">
        <v>89.347489033248195</v>
      </c>
      <c r="Z8" s="54">
        <v>98.902686181891298</v>
      </c>
      <c r="AA8" s="54">
        <v>99.0215765975191</v>
      </c>
      <c r="AB8" s="54">
        <v>100.26029072051099</v>
      </c>
      <c r="AC8" s="54">
        <v>110.110197273387</v>
      </c>
      <c r="AD8" s="54">
        <v>120.197103670077</v>
      </c>
      <c r="AE8" s="54">
        <v>117.96690475680499</v>
      </c>
      <c r="AF8" s="55"/>
      <c r="AG8" s="59" t="s">
        <v>94</v>
      </c>
      <c r="AH8" s="57">
        <v>1.67406827442883</v>
      </c>
      <c r="AI8" s="57">
        <v>-1.8554514586253401E-2</v>
      </c>
    </row>
    <row r="9" spans="1:35">
      <c r="A9" s="53" t="s">
        <v>95</v>
      </c>
      <c r="B9" s="54">
        <v>137.09888966400001</v>
      </c>
      <c r="C9" s="54">
        <v>143.069091420712</v>
      </c>
      <c r="D9" s="54">
        <v>149.26523485557999</v>
      </c>
      <c r="E9" s="54">
        <v>153.97632670183401</v>
      </c>
      <c r="F9" s="54">
        <v>159.10340256964699</v>
      </c>
      <c r="G9" s="54">
        <v>172.135008284619</v>
      </c>
      <c r="H9" s="54">
        <v>186.98129858834</v>
      </c>
      <c r="I9" s="54">
        <v>187.44186409685699</v>
      </c>
      <c r="J9" s="54">
        <v>190.81802059126099</v>
      </c>
      <c r="K9" s="54">
        <v>197.10750040255701</v>
      </c>
      <c r="L9" s="54">
        <v>198.951095211113</v>
      </c>
      <c r="M9" s="54">
        <v>203.34625072768</v>
      </c>
      <c r="N9" s="54">
        <v>209.00395132767099</v>
      </c>
      <c r="O9" s="54">
        <v>217.808353301729</v>
      </c>
      <c r="P9" s="54">
        <v>232.86909893127901</v>
      </c>
      <c r="Q9" s="54">
        <v>238.81276030566499</v>
      </c>
      <c r="R9" s="54">
        <v>245.32816397308099</v>
      </c>
      <c r="S9" s="54">
        <v>258.679708793987</v>
      </c>
      <c r="T9" s="54">
        <v>270.89338194438699</v>
      </c>
      <c r="U9" s="54">
        <v>278.72294061187301</v>
      </c>
      <c r="V9" s="54">
        <v>294.41462021614598</v>
      </c>
      <c r="W9" s="54">
        <v>312.32045547515901</v>
      </c>
      <c r="X9" s="54">
        <v>322.03759463692199</v>
      </c>
      <c r="Y9" s="54">
        <v>330.24250211913198</v>
      </c>
      <c r="Z9" s="54">
        <v>342.81514791899701</v>
      </c>
      <c r="AA9" s="54">
        <v>356.39199151230599</v>
      </c>
      <c r="AB9" s="54">
        <v>363.83130837432498</v>
      </c>
      <c r="AC9" s="54">
        <v>373.34899383249302</v>
      </c>
      <c r="AD9" s="54">
        <v>348.79977965421602</v>
      </c>
      <c r="AE9" s="54">
        <v>357.25819119506701</v>
      </c>
      <c r="AF9" s="55"/>
      <c r="AG9" s="60" t="s">
        <v>96</v>
      </c>
      <c r="AH9" s="57">
        <v>1.6058430675159401</v>
      </c>
      <c r="AI9" s="57">
        <v>2.42500484066707E-2</v>
      </c>
    </row>
    <row r="10" spans="1:35">
      <c r="A10" s="53" t="s">
        <v>4</v>
      </c>
      <c r="B10" s="54">
        <v>139.262197119392</v>
      </c>
      <c r="C10" s="54">
        <v>140.78541980940199</v>
      </c>
      <c r="D10" s="54">
        <v>142.25806468477501</v>
      </c>
      <c r="E10" s="54">
        <v>151.50578048262199</v>
      </c>
      <c r="F10" s="54">
        <v>153.17062984475399</v>
      </c>
      <c r="G10" s="54">
        <v>154.16248459532599</v>
      </c>
      <c r="H10" s="54">
        <v>156.915038037502</v>
      </c>
      <c r="I10" s="54">
        <v>163.00404360888601</v>
      </c>
      <c r="J10" s="54">
        <v>163.764872825433</v>
      </c>
      <c r="K10" s="54">
        <v>167.255138981958</v>
      </c>
      <c r="L10" s="54">
        <v>159.78685713494701</v>
      </c>
      <c r="M10" s="54">
        <v>164.759287308643</v>
      </c>
      <c r="N10" s="54">
        <v>167.60797084556901</v>
      </c>
      <c r="O10" s="54">
        <v>173.57445093558201</v>
      </c>
      <c r="P10" s="54">
        <v>179.838148275093</v>
      </c>
      <c r="Q10" s="54">
        <v>179.928996573738</v>
      </c>
      <c r="R10" s="54">
        <v>177.17257086400599</v>
      </c>
      <c r="S10" s="54">
        <v>173.875958527471</v>
      </c>
      <c r="T10" s="54">
        <v>176.65248664585599</v>
      </c>
      <c r="U10" s="54">
        <v>175.23382641135601</v>
      </c>
      <c r="V10" s="54">
        <v>156.09252224953801</v>
      </c>
      <c r="W10" s="54">
        <v>156.04761099704299</v>
      </c>
      <c r="X10" s="54">
        <v>159.89742079539499</v>
      </c>
      <c r="Y10" s="54">
        <v>155.916089274314</v>
      </c>
      <c r="Z10" s="54">
        <v>161.56406115870001</v>
      </c>
      <c r="AA10" s="54">
        <v>160.660981098652</v>
      </c>
      <c r="AB10" s="54">
        <v>164.15610601692401</v>
      </c>
      <c r="AC10" s="54">
        <v>162.64618730106599</v>
      </c>
      <c r="AD10" s="54">
        <v>160.00242618003301</v>
      </c>
      <c r="AE10" s="54">
        <v>160.33883987165399</v>
      </c>
      <c r="AF10" s="55"/>
      <c r="AG10" s="61" t="s">
        <v>4</v>
      </c>
      <c r="AH10" s="57">
        <v>0.15134503970372401</v>
      </c>
      <c r="AI10" s="57">
        <v>2.1025536902937198E-3</v>
      </c>
    </row>
    <row r="11" spans="1:35">
      <c r="A11" s="53" t="s">
        <v>97</v>
      </c>
      <c r="B11" s="54">
        <v>800.02703364473496</v>
      </c>
      <c r="C11" s="54">
        <v>864.60042708356104</v>
      </c>
      <c r="D11" s="54">
        <v>906.08236107561095</v>
      </c>
      <c r="E11" s="54">
        <v>915.95369621427301</v>
      </c>
      <c r="F11" s="54">
        <v>989.05510093597002</v>
      </c>
      <c r="G11" s="54">
        <v>1115.9632993166999</v>
      </c>
      <c r="H11" s="54">
        <v>1122.9252171565599</v>
      </c>
      <c r="I11" s="54">
        <v>1190.82791761935</v>
      </c>
      <c r="J11" s="54">
        <v>1262.8919237499399</v>
      </c>
      <c r="K11" s="54">
        <v>1304.1629691753001</v>
      </c>
      <c r="L11" s="54">
        <v>1336.295947656</v>
      </c>
      <c r="M11" s="54">
        <v>1327.12029404042</v>
      </c>
      <c r="N11" s="54">
        <v>1351.6810572674499</v>
      </c>
      <c r="O11" s="54">
        <v>1397.2823573774101</v>
      </c>
      <c r="P11" s="54">
        <v>1459.8143923279499</v>
      </c>
      <c r="Q11" s="54">
        <v>1450.00455717416</v>
      </c>
      <c r="R11" s="54">
        <v>1427.09204542251</v>
      </c>
      <c r="S11" s="54">
        <v>1490.1885477871999</v>
      </c>
      <c r="T11" s="54">
        <v>1511.8549290588801</v>
      </c>
      <c r="U11" s="54">
        <v>1549.5658493421399</v>
      </c>
      <c r="V11" s="54">
        <v>1599.8343675052199</v>
      </c>
      <c r="W11" s="54">
        <v>1619.9480480856</v>
      </c>
      <c r="X11" s="54">
        <v>1613.4843360413599</v>
      </c>
      <c r="Y11" s="54">
        <v>1612.00703710572</v>
      </c>
      <c r="Z11" s="54">
        <v>1608.57775103174</v>
      </c>
      <c r="AA11" s="54">
        <v>1674.6352544026399</v>
      </c>
      <c r="AB11" s="54">
        <v>1709.56696293298</v>
      </c>
      <c r="AC11" s="54">
        <v>1749.20033653722</v>
      </c>
      <c r="AD11" s="54">
        <v>1761.5353762075299</v>
      </c>
      <c r="AE11" s="54">
        <v>1845.4688199345101</v>
      </c>
      <c r="AF11" s="55"/>
      <c r="AG11" s="62" t="s">
        <v>97</v>
      </c>
      <c r="AH11" s="57">
        <v>1.3067580748202801</v>
      </c>
      <c r="AI11" s="57">
        <v>4.7647889937743902E-2</v>
      </c>
    </row>
    <row r="12" spans="1:35">
      <c r="A12" s="63" t="s">
        <v>98</v>
      </c>
      <c r="B12" s="64">
        <v>36.9782037517612</v>
      </c>
      <c r="C12" s="64">
        <v>32.438044770393702</v>
      </c>
      <c r="D12" s="64">
        <v>31.6171020437335</v>
      </c>
      <c r="E12" s="64">
        <v>38.203504374347602</v>
      </c>
      <c r="F12" s="64">
        <v>49.062060454553702</v>
      </c>
      <c r="G12" s="64">
        <v>39.193210364235199</v>
      </c>
      <c r="H12" s="64">
        <v>32.729292749253197</v>
      </c>
      <c r="I12" s="64">
        <v>26.994816515130999</v>
      </c>
      <c r="J12" s="64">
        <v>33.926217791533603</v>
      </c>
      <c r="K12" s="64">
        <v>27.552598400848499</v>
      </c>
      <c r="L12" s="64">
        <v>27.263299324986701</v>
      </c>
      <c r="M12" s="64">
        <v>25.994189131048898</v>
      </c>
      <c r="N12" s="64">
        <v>24.5342227177442</v>
      </c>
      <c r="O12" s="64">
        <v>29.827581086044301</v>
      </c>
      <c r="P12" s="64">
        <v>36.384699461779398</v>
      </c>
      <c r="Q12" s="64">
        <v>31.831028116751899</v>
      </c>
      <c r="R12" s="64">
        <v>29.7980472114522</v>
      </c>
      <c r="S12" s="64">
        <v>36.666579927233798</v>
      </c>
      <c r="T12" s="64">
        <v>38.721875974280501</v>
      </c>
      <c r="U12" s="64">
        <v>41.191899018905502</v>
      </c>
      <c r="V12" s="64">
        <v>41.110030457778301</v>
      </c>
      <c r="W12" s="64">
        <v>48.895161196871697</v>
      </c>
      <c r="X12" s="64">
        <v>37.070631871423799</v>
      </c>
      <c r="Y12" s="64">
        <v>23.731564622295402</v>
      </c>
      <c r="Z12" s="64">
        <v>22.510312740907299</v>
      </c>
      <c r="AA12" s="64">
        <v>25.163965805759702</v>
      </c>
      <c r="AB12" s="64">
        <v>25.1175511690404</v>
      </c>
      <c r="AC12" s="64">
        <v>40.698487078308602</v>
      </c>
      <c r="AD12" s="64">
        <v>37.476923476463298</v>
      </c>
      <c r="AE12" s="64">
        <v>42.259671869266199</v>
      </c>
      <c r="AF12" s="65"/>
      <c r="AG12" s="66" t="s">
        <v>98</v>
      </c>
      <c r="AH12" s="67">
        <v>0.14282651891260301</v>
      </c>
      <c r="AI12" s="67">
        <v>0.12761849023724001</v>
      </c>
    </row>
    <row r="13" spans="1:35">
      <c r="A13" s="68" t="s">
        <v>99</v>
      </c>
      <c r="B13" s="69">
        <v>1403.3953759317901</v>
      </c>
      <c r="C13" s="69">
        <v>1612.07726602854</v>
      </c>
      <c r="D13" s="69">
        <v>1767.43553350856</v>
      </c>
      <c r="E13" s="69">
        <v>1939.6270486681899</v>
      </c>
      <c r="F13" s="69">
        <v>1990.97663192505</v>
      </c>
      <c r="G13" s="69">
        <v>2219.98678764134</v>
      </c>
      <c r="H13" s="69">
        <v>2222.8448016410198</v>
      </c>
      <c r="I13" s="69">
        <v>2430.0043224108999</v>
      </c>
      <c r="J13" s="69">
        <v>2657.5999900842098</v>
      </c>
      <c r="K13" s="69">
        <v>2788.6064573285598</v>
      </c>
      <c r="L13" s="69">
        <v>2925.37437773995</v>
      </c>
      <c r="M13" s="69">
        <v>3063.2294346937501</v>
      </c>
      <c r="N13" s="69">
        <v>3069.2184785272598</v>
      </c>
      <c r="O13" s="69">
        <v>3222.5983375095698</v>
      </c>
      <c r="P13" s="69">
        <v>3477.5079216659701</v>
      </c>
      <c r="Q13" s="69">
        <v>3737.74721299976</v>
      </c>
      <c r="R13" s="69">
        <v>3833.0746884007699</v>
      </c>
      <c r="S13" s="69">
        <v>3963.1495664137901</v>
      </c>
      <c r="T13" s="69">
        <v>4065.2965058456298</v>
      </c>
      <c r="U13" s="69">
        <v>4212.79794372996</v>
      </c>
      <c r="V13" s="69">
        <v>4301.91501739672</v>
      </c>
      <c r="W13" s="69">
        <v>4387.59133878804</v>
      </c>
      <c r="X13" s="69">
        <v>4353.1145747877099</v>
      </c>
      <c r="Y13" s="69">
        <v>4255.8833624910803</v>
      </c>
      <c r="Z13" s="69">
        <v>4379.6811537535796</v>
      </c>
      <c r="AA13" s="69">
        <v>4392.14592573562</v>
      </c>
      <c r="AB13" s="69">
        <v>4479.8676406025397</v>
      </c>
      <c r="AC13" s="69">
        <v>4531.6771721621599</v>
      </c>
      <c r="AD13" s="69">
        <v>4416.8209397699802</v>
      </c>
      <c r="AE13" s="69">
        <v>4670.5698743195398</v>
      </c>
      <c r="AF13" s="55"/>
      <c r="AG13" s="70" t="s">
        <v>99</v>
      </c>
      <c r="AH13" s="71">
        <v>2.32804992407682</v>
      </c>
      <c r="AI13" s="71">
        <v>5.7450582219613799E-2</v>
      </c>
    </row>
    <row r="14" spans="1:35">
      <c r="A14" s="53" t="s">
        <v>100</v>
      </c>
      <c r="B14" s="54">
        <v>5.7268196399197198</v>
      </c>
      <c r="C14" s="54">
        <v>4.7597651089590398</v>
      </c>
      <c r="D14" s="54">
        <v>5.7444370638317004</v>
      </c>
      <c r="E14" s="54">
        <v>5.1728038417043596</v>
      </c>
      <c r="F14" s="54">
        <v>4.6773107945770196</v>
      </c>
      <c r="G14" s="54">
        <v>6.39292842944967</v>
      </c>
      <c r="H14" s="54">
        <v>28.529848600489</v>
      </c>
      <c r="I14" s="54">
        <v>3.8121354811949901</v>
      </c>
      <c r="J14" s="54">
        <v>8.7170085859372595</v>
      </c>
      <c r="K14" s="54">
        <v>44.106380314927499</v>
      </c>
      <c r="L14" s="54">
        <v>4.1504804709176897</v>
      </c>
      <c r="M14" s="54">
        <v>7.8640214352718898</v>
      </c>
      <c r="N14" s="54">
        <v>7.1720866171912796</v>
      </c>
      <c r="O14" s="54">
        <v>3.7792059912773301</v>
      </c>
      <c r="P14" s="54">
        <v>4.0740478411967302</v>
      </c>
      <c r="Q14" s="54">
        <v>6.6084260384494504</v>
      </c>
      <c r="R14" s="54">
        <v>7.3296461723902597</v>
      </c>
      <c r="S14" s="54">
        <v>3.8844830443804699</v>
      </c>
      <c r="T14" s="54">
        <v>5.8401963297040203</v>
      </c>
      <c r="U14" s="54">
        <v>5.4548545571088098</v>
      </c>
      <c r="V14" s="54">
        <v>51.328521852086297</v>
      </c>
      <c r="W14" s="54">
        <v>141.72287227306401</v>
      </c>
      <c r="X14" s="54">
        <v>11.590403436874499</v>
      </c>
      <c r="Y14" s="54">
        <v>22.791865441518599</v>
      </c>
      <c r="Z14" s="54">
        <v>16.2044445603293</v>
      </c>
      <c r="AA14" s="54">
        <v>8.0866061616401197</v>
      </c>
      <c r="AB14" s="54">
        <v>19.054571629617602</v>
      </c>
      <c r="AC14" s="54">
        <v>7.9926464642616599</v>
      </c>
      <c r="AD14" s="54">
        <v>9.8237904403944203</v>
      </c>
      <c r="AE14" s="54">
        <v>94.935672080342201</v>
      </c>
      <c r="AF14" s="55"/>
      <c r="AG14" s="72" t="s">
        <v>100</v>
      </c>
      <c r="AH14" s="57">
        <v>15.577381173064699</v>
      </c>
      <c r="AI14" s="57">
        <v>8.6638535457735806</v>
      </c>
    </row>
    <row r="15" spans="1:35">
      <c r="A15" s="63" t="s">
        <v>101</v>
      </c>
      <c r="B15" s="64">
        <v>0</v>
      </c>
      <c r="C15" s="64">
        <v>0</v>
      </c>
      <c r="D15" s="64">
        <v>0</v>
      </c>
      <c r="E15" s="64">
        <v>0</v>
      </c>
      <c r="F15" s="64">
        <v>0</v>
      </c>
      <c r="G15" s="64">
        <v>0</v>
      </c>
      <c r="H15" s="64">
        <v>0</v>
      </c>
      <c r="I15" s="64">
        <v>0</v>
      </c>
      <c r="J15" s="64">
        <v>0</v>
      </c>
      <c r="K15" s="64">
        <v>0</v>
      </c>
      <c r="L15" s="64">
        <v>0</v>
      </c>
      <c r="M15" s="64">
        <v>0</v>
      </c>
      <c r="N15" s="64">
        <v>0</v>
      </c>
      <c r="O15" s="64">
        <v>0</v>
      </c>
      <c r="P15" s="64">
        <v>0</v>
      </c>
      <c r="Q15" s="64">
        <v>0</v>
      </c>
      <c r="R15" s="64">
        <v>0</v>
      </c>
      <c r="S15" s="64">
        <v>0</v>
      </c>
      <c r="T15" s="64">
        <v>0</v>
      </c>
      <c r="U15" s="64">
        <v>0</v>
      </c>
      <c r="V15" s="64">
        <v>0</v>
      </c>
      <c r="W15" s="64">
        <v>0</v>
      </c>
      <c r="X15" s="64">
        <v>0</v>
      </c>
      <c r="Y15" s="64">
        <v>0</v>
      </c>
      <c r="Z15" s="64">
        <v>0</v>
      </c>
      <c r="AA15" s="64">
        <v>0</v>
      </c>
      <c r="AB15" s="64">
        <v>0</v>
      </c>
      <c r="AC15" s="64">
        <v>0</v>
      </c>
      <c r="AD15" s="64">
        <v>0</v>
      </c>
      <c r="AE15" s="64">
        <v>0</v>
      </c>
      <c r="AF15" s="65"/>
      <c r="AG15" s="66" t="s">
        <v>101</v>
      </c>
      <c r="AH15" s="67">
        <v>0</v>
      </c>
      <c r="AI15" s="67">
        <v>0</v>
      </c>
    </row>
    <row r="16" spans="1:35">
      <c r="A16" s="63" t="s">
        <v>102</v>
      </c>
      <c r="B16" s="64">
        <v>23.1965796641019</v>
      </c>
      <c r="C16" s="64">
        <v>23.1965796641019</v>
      </c>
      <c r="D16" s="64">
        <v>133.48238348347201</v>
      </c>
      <c r="E16" s="64">
        <v>0</v>
      </c>
      <c r="F16" s="64">
        <v>0</v>
      </c>
      <c r="G16" s="64">
        <v>0</v>
      </c>
      <c r="H16" s="64">
        <v>0</v>
      </c>
      <c r="I16" s="64">
        <v>0</v>
      </c>
      <c r="J16" s="64">
        <v>133.48238348347201</v>
      </c>
      <c r="K16" s="64">
        <v>133.48238348347201</v>
      </c>
      <c r="L16" s="64">
        <v>266.96476696694299</v>
      </c>
      <c r="M16" s="64">
        <v>266.96476696694299</v>
      </c>
      <c r="N16" s="64">
        <v>901.59332735690498</v>
      </c>
      <c r="O16" s="64">
        <v>127.576083329336</v>
      </c>
      <c r="P16" s="64">
        <v>29.102879818237799</v>
      </c>
      <c r="Q16" s="64">
        <v>42.490930973495097</v>
      </c>
      <c r="R16" s="64">
        <v>80.911295749019303</v>
      </c>
      <c r="S16" s="64">
        <v>56.473316089161102</v>
      </c>
      <c r="T16" s="64">
        <v>104.73233165626201</v>
      </c>
      <c r="U16" s="64">
        <v>139.018107748338</v>
      </c>
      <c r="V16" s="64">
        <v>156.69671104581499</v>
      </c>
      <c r="W16" s="64">
        <v>0</v>
      </c>
      <c r="X16" s="64">
        <v>0</v>
      </c>
      <c r="Y16" s="64">
        <v>0</v>
      </c>
      <c r="Z16" s="64">
        <v>23.1965796641019</v>
      </c>
      <c r="AA16" s="64">
        <v>23.1965796641019</v>
      </c>
      <c r="AB16" s="64">
        <v>46.393159328203801</v>
      </c>
      <c r="AC16" s="64">
        <v>46.393159328203801</v>
      </c>
      <c r="AD16" s="64">
        <v>92.786318656407602</v>
      </c>
      <c r="AE16" s="64">
        <v>139.179477984611</v>
      </c>
      <c r="AF16" s="65"/>
      <c r="AG16" s="66" t="s">
        <v>102</v>
      </c>
      <c r="AH16" s="67">
        <v>5</v>
      </c>
      <c r="AI16" s="67">
        <v>0.5</v>
      </c>
    </row>
    <row r="17" spans="1:41">
      <c r="A17" s="68" t="s">
        <v>103</v>
      </c>
      <c r="B17" s="69">
        <v>1409.1221955717001</v>
      </c>
      <c r="C17" s="69">
        <v>1616.8370311374999</v>
      </c>
      <c r="D17" s="69">
        <v>1773.1799705723899</v>
      </c>
      <c r="E17" s="69">
        <v>1944.7998525098899</v>
      </c>
      <c r="F17" s="69">
        <v>1995.6539427196301</v>
      </c>
      <c r="G17" s="69">
        <v>2226.37971607079</v>
      </c>
      <c r="H17" s="69">
        <v>2251.3746502415102</v>
      </c>
      <c r="I17" s="69">
        <v>2433.8164578920901</v>
      </c>
      <c r="J17" s="69">
        <v>2666.31699867015</v>
      </c>
      <c r="K17" s="69">
        <v>2832.7128376434898</v>
      </c>
      <c r="L17" s="69">
        <v>2929.5248582108702</v>
      </c>
      <c r="M17" s="69">
        <v>3071.0934561290201</v>
      </c>
      <c r="N17" s="69">
        <v>3076.3905651444502</v>
      </c>
      <c r="O17" s="69">
        <v>3226.3775435008502</v>
      </c>
      <c r="P17" s="69">
        <v>3481.58196950717</v>
      </c>
      <c r="Q17" s="69">
        <v>3744.35563903821</v>
      </c>
      <c r="R17" s="69">
        <v>3840.4043345731602</v>
      </c>
      <c r="S17" s="69">
        <v>3967.0340494581701</v>
      </c>
      <c r="T17" s="69">
        <v>4071.1367021753399</v>
      </c>
      <c r="U17" s="69">
        <v>4218.2527982870697</v>
      </c>
      <c r="V17" s="69">
        <v>4353.2435392487996</v>
      </c>
      <c r="W17" s="69">
        <v>4529.3142110611097</v>
      </c>
      <c r="X17" s="69">
        <v>4364.7049782245804</v>
      </c>
      <c r="Y17" s="69">
        <v>4278.6752279326001</v>
      </c>
      <c r="Z17" s="69">
        <v>4395.8855983139101</v>
      </c>
      <c r="AA17" s="69">
        <v>4400.2325318972598</v>
      </c>
      <c r="AB17" s="69">
        <v>4498.9222122321598</v>
      </c>
      <c r="AC17" s="69">
        <v>4539.6698186264202</v>
      </c>
      <c r="AD17" s="69">
        <v>4426.6447302103697</v>
      </c>
      <c r="AE17" s="69">
        <v>4765.5055463998897</v>
      </c>
      <c r="AF17" s="73"/>
      <c r="AG17" s="74" t="s">
        <v>103</v>
      </c>
      <c r="AH17" s="71">
        <v>2.3818965887954402</v>
      </c>
      <c r="AI17" s="71">
        <v>7.6550262522064094E-2</v>
      </c>
    </row>
    <row r="18" spans="1:41">
      <c r="A18" s="63" t="s">
        <v>104</v>
      </c>
      <c r="B18" s="64">
        <v>60.174783415863097</v>
      </c>
      <c r="C18" s="64">
        <v>55.634624434495599</v>
      </c>
      <c r="D18" s="64">
        <v>165.09948552720499</v>
      </c>
      <c r="E18" s="64">
        <v>38.203504374347602</v>
      </c>
      <c r="F18" s="64">
        <v>49.062060454553702</v>
      </c>
      <c r="G18" s="64">
        <v>39.193210364235199</v>
      </c>
      <c r="H18" s="64">
        <v>32.729292749253197</v>
      </c>
      <c r="I18" s="64">
        <v>26.994816515130999</v>
      </c>
      <c r="J18" s="64">
        <v>167.408601275005</v>
      </c>
      <c r="K18" s="64">
        <v>161.03498188431999</v>
      </c>
      <c r="L18" s="64">
        <v>294.22806629193002</v>
      </c>
      <c r="M18" s="64">
        <v>292.95895609799197</v>
      </c>
      <c r="N18" s="64">
        <v>926.12755007464898</v>
      </c>
      <c r="O18" s="64">
        <v>157.40366441538001</v>
      </c>
      <c r="P18" s="64">
        <v>65.487579280017201</v>
      </c>
      <c r="Q18" s="64">
        <v>74.321959090247006</v>
      </c>
      <c r="R18" s="64">
        <v>110.70934296047101</v>
      </c>
      <c r="S18" s="64">
        <v>93.1398960163949</v>
      </c>
      <c r="T18" s="64">
        <v>143.45420763054301</v>
      </c>
      <c r="U18" s="64">
        <v>180.21000676724401</v>
      </c>
      <c r="V18" s="64">
        <v>197.806741503593</v>
      </c>
      <c r="W18" s="64">
        <v>48.895161196871697</v>
      </c>
      <c r="X18" s="64">
        <v>37.070631871423799</v>
      </c>
      <c r="Y18" s="64">
        <v>23.731564622295402</v>
      </c>
      <c r="Z18" s="64">
        <v>45.706892405009199</v>
      </c>
      <c r="AA18" s="64">
        <v>48.360545469861599</v>
      </c>
      <c r="AB18" s="64">
        <v>71.510710497244204</v>
      </c>
      <c r="AC18" s="64">
        <v>87.091646406512396</v>
      </c>
      <c r="AD18" s="64">
        <v>130.263242132871</v>
      </c>
      <c r="AE18" s="64">
        <v>181.43914985387801</v>
      </c>
      <c r="AF18" s="65"/>
      <c r="AG18" s="66" t="s">
        <v>104</v>
      </c>
      <c r="AH18" s="67">
        <v>2.01520237472175</v>
      </c>
      <c r="AI18" s="67">
        <v>0.39286530016507798</v>
      </c>
    </row>
    <row r="19" spans="1:41">
      <c r="M19" s="75" t="s">
        <v>105</v>
      </c>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row>
    <row r="20" spans="1:41">
      <c r="M20" s="75" t="s">
        <v>106</v>
      </c>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row>
    <row r="22" spans="1:41" ht="18">
      <c r="A22" s="451" t="s">
        <v>107</v>
      </c>
      <c r="B22" s="451"/>
      <c r="C22" s="451"/>
      <c r="D22" s="451"/>
      <c r="E22" s="451"/>
      <c r="F22" s="451"/>
      <c r="G22" s="451"/>
      <c r="H22" s="451"/>
      <c r="I22" s="451"/>
    </row>
    <row r="23" spans="1:41" ht="15">
      <c r="B23" s="76"/>
      <c r="C23" s="77"/>
      <c r="D23" s="77"/>
      <c r="E23" s="77"/>
      <c r="F23" s="77"/>
      <c r="G23" s="77"/>
      <c r="H23" s="77"/>
      <c r="I23" s="77"/>
    </row>
    <row r="24" spans="1:41" ht="15" customHeight="1">
      <c r="B24" s="78"/>
      <c r="C24" s="452" t="s">
        <v>108</v>
      </c>
      <c r="D24" s="452"/>
      <c r="E24" s="452"/>
      <c r="F24" s="452"/>
      <c r="G24" s="452"/>
      <c r="H24" s="79"/>
    </row>
    <row r="25" spans="1:41" ht="47.25" customHeight="1">
      <c r="B25" s="453" t="s">
        <v>109</v>
      </c>
      <c r="C25" s="80" t="s">
        <v>110</v>
      </c>
      <c r="D25" s="80" t="s">
        <v>111</v>
      </c>
      <c r="E25" s="80" t="s">
        <v>112</v>
      </c>
      <c r="F25" s="81" t="s">
        <v>113</v>
      </c>
      <c r="G25" s="80" t="s">
        <v>114</v>
      </c>
      <c r="H25" s="80" t="s">
        <v>115</v>
      </c>
    </row>
    <row r="26" spans="1:41">
      <c r="B26" s="453"/>
      <c r="C26" s="82" t="s">
        <v>116</v>
      </c>
      <c r="D26" s="82" t="s">
        <v>117</v>
      </c>
      <c r="E26" s="82" t="s">
        <v>118</v>
      </c>
      <c r="F26" s="83" t="s">
        <v>119</v>
      </c>
      <c r="G26" s="82" t="s">
        <v>120</v>
      </c>
      <c r="H26" s="82" t="s">
        <v>121</v>
      </c>
    </row>
    <row r="27" spans="1:41">
      <c r="B27" s="84" t="s">
        <v>122</v>
      </c>
      <c r="C27" s="85">
        <v>1</v>
      </c>
      <c r="D27" s="85">
        <v>1</v>
      </c>
      <c r="E27" s="85">
        <v>1</v>
      </c>
      <c r="F27" s="52">
        <v>1</v>
      </c>
      <c r="G27" s="85">
        <v>1</v>
      </c>
      <c r="H27" s="85">
        <v>1</v>
      </c>
    </row>
    <row r="28" spans="1:41" ht="15" customHeight="1">
      <c r="B28" s="84" t="s">
        <v>123</v>
      </c>
      <c r="C28" s="86">
        <v>21</v>
      </c>
      <c r="D28" s="86">
        <v>21</v>
      </c>
      <c r="E28" s="86">
        <v>23</v>
      </c>
      <c r="F28" s="87">
        <v>25</v>
      </c>
      <c r="G28" s="86">
        <v>28</v>
      </c>
      <c r="H28" s="454" t="s">
        <v>124</v>
      </c>
    </row>
    <row r="29" spans="1:41">
      <c r="B29" s="84" t="s">
        <v>125</v>
      </c>
      <c r="C29" s="86">
        <v>290</v>
      </c>
      <c r="D29" s="86">
        <v>310</v>
      </c>
      <c r="E29" s="86">
        <v>296</v>
      </c>
      <c r="F29" s="87">
        <v>298</v>
      </c>
      <c r="G29" s="86">
        <v>265</v>
      </c>
      <c r="H29" s="454"/>
    </row>
    <row r="30" spans="1:41" ht="24">
      <c r="B30" s="84" t="s">
        <v>126</v>
      </c>
      <c r="C30" s="86" t="s">
        <v>127</v>
      </c>
      <c r="D30" s="86" t="s">
        <v>128</v>
      </c>
      <c r="E30" s="86" t="s">
        <v>129</v>
      </c>
      <c r="F30" s="87" t="s">
        <v>130</v>
      </c>
      <c r="G30" s="86" t="s">
        <v>131</v>
      </c>
      <c r="H30" s="454"/>
    </row>
    <row r="31" spans="1:41" ht="24">
      <c r="B31" s="84" t="s">
        <v>132</v>
      </c>
      <c r="C31" s="86" t="s">
        <v>133</v>
      </c>
      <c r="D31" s="88" t="s">
        <v>134</v>
      </c>
      <c r="E31" s="86" t="s">
        <v>135</v>
      </c>
      <c r="F31" s="87" t="s">
        <v>136</v>
      </c>
      <c r="G31" s="86" t="s">
        <v>137</v>
      </c>
      <c r="H31" s="454"/>
    </row>
    <row r="32" spans="1:41">
      <c r="B32" s="84" t="s">
        <v>138</v>
      </c>
      <c r="C32" s="86" t="s">
        <v>133</v>
      </c>
      <c r="D32" s="89">
        <v>23900</v>
      </c>
      <c r="E32" s="89">
        <v>22200</v>
      </c>
      <c r="F32" s="90">
        <v>22800</v>
      </c>
      <c r="G32" s="86" t="s">
        <v>139</v>
      </c>
      <c r="H32" s="454"/>
    </row>
    <row r="33" spans="2:8">
      <c r="B33" s="84" t="s">
        <v>140</v>
      </c>
      <c r="C33" s="86" t="s">
        <v>133</v>
      </c>
      <c r="D33" s="86" t="s">
        <v>133</v>
      </c>
      <c r="E33" s="86" t="s">
        <v>133</v>
      </c>
      <c r="F33" s="90">
        <v>17200</v>
      </c>
      <c r="G33" s="86" t="s">
        <v>141</v>
      </c>
      <c r="H33" s="454"/>
    </row>
    <row r="34" spans="2:8" ht="72">
      <c r="B34" s="87" t="s">
        <v>142</v>
      </c>
      <c r="C34" s="86" t="s">
        <v>143</v>
      </c>
      <c r="D34" s="86" t="s">
        <v>144</v>
      </c>
      <c r="E34" s="86" t="s">
        <v>143</v>
      </c>
      <c r="F34" s="87" t="s">
        <v>145</v>
      </c>
      <c r="G34" s="86" t="s">
        <v>146</v>
      </c>
      <c r="H34" s="454"/>
    </row>
  </sheetData>
  <mergeCells count="5">
    <mergeCell ref="A2:K2"/>
    <mergeCell ref="A22:I22"/>
    <mergeCell ref="C24:G24"/>
    <mergeCell ref="B25:B26"/>
    <mergeCell ref="H28:H34"/>
  </mergeCells>
  <pageMargins left="0.7" right="0.7" top="0.75" bottom="0.75" header="0.51180555555555496" footer="0.51180555555555496"/>
  <pageSetup paperSize="9" firstPageNumber="0"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J258"/>
  <sheetViews>
    <sheetView zoomScaleNormal="100" workbookViewId="0">
      <selection activeCell="L24" sqref="L24"/>
    </sheetView>
  </sheetViews>
  <sheetFormatPr baseColWidth="10" defaultColWidth="8.88671875" defaultRowHeight="14.4"/>
  <cols>
    <col min="1" max="1" width="20.21875" customWidth="1"/>
    <col min="2" max="6" width="10.44140625" style="22" customWidth="1"/>
    <col min="7" max="7" width="10.44140625" style="174" customWidth="1"/>
    <col min="8" max="9" width="10.44140625" style="22" customWidth="1"/>
    <col min="10" max="1025" width="10.44140625" customWidth="1"/>
  </cols>
  <sheetData>
    <row r="1" spans="1:10" ht="23.4">
      <c r="A1" s="241" t="s">
        <v>372</v>
      </c>
      <c r="B1" s="241"/>
      <c r="C1" s="241"/>
      <c r="D1" s="241"/>
      <c r="E1" s="241"/>
      <c r="F1" s="241"/>
      <c r="G1" s="241"/>
      <c r="H1" s="241"/>
      <c r="I1" s="241"/>
      <c r="J1" s="241"/>
    </row>
    <row r="4" spans="1:10">
      <c r="B4" s="242" t="s">
        <v>373</v>
      </c>
    </row>
    <row r="5" spans="1:10">
      <c r="B5" s="22" t="s">
        <v>374</v>
      </c>
    </row>
    <row r="6" spans="1:10">
      <c r="B6" s="22" t="s">
        <v>375</v>
      </c>
    </row>
    <row r="8" spans="1:10" ht="43.2">
      <c r="A8" s="243"/>
      <c r="B8" s="244" t="s">
        <v>14</v>
      </c>
      <c r="C8" s="244" t="s">
        <v>15</v>
      </c>
      <c r="D8" s="244" t="s">
        <v>16</v>
      </c>
      <c r="E8" s="244" t="s">
        <v>17</v>
      </c>
      <c r="F8" s="244" t="s">
        <v>18</v>
      </c>
      <c r="G8" s="245" t="s">
        <v>19</v>
      </c>
      <c r="H8" s="244" t="s">
        <v>20</v>
      </c>
      <c r="I8" s="244" t="s">
        <v>21</v>
      </c>
      <c r="J8" s="246" t="s">
        <v>23</v>
      </c>
    </row>
    <row r="9" spans="1:10">
      <c r="A9" s="8" t="s">
        <v>24</v>
      </c>
      <c r="B9" s="9">
        <v>0</v>
      </c>
      <c r="C9" s="9">
        <v>0</v>
      </c>
      <c r="D9" s="9">
        <v>0</v>
      </c>
      <c r="E9" s="9">
        <v>0</v>
      </c>
      <c r="F9" s="9">
        <v>665</v>
      </c>
      <c r="G9" s="10">
        <v>2108</v>
      </c>
      <c r="H9" s="9">
        <v>0</v>
      </c>
      <c r="I9" s="9">
        <v>0</v>
      </c>
      <c r="J9" s="9">
        <v>2773</v>
      </c>
    </row>
    <row r="10" spans="1:10">
      <c r="A10" s="8" t="s">
        <v>25</v>
      </c>
      <c r="B10" s="9">
        <v>0</v>
      </c>
      <c r="C10" s="9">
        <v>0</v>
      </c>
      <c r="D10" s="9">
        <v>0</v>
      </c>
      <c r="E10" s="9">
        <v>0</v>
      </c>
      <c r="F10" s="9">
        <v>423</v>
      </c>
      <c r="G10" s="10">
        <v>0</v>
      </c>
      <c r="H10" s="9">
        <v>0</v>
      </c>
      <c r="I10" s="9">
        <v>0</v>
      </c>
      <c r="J10" s="9">
        <v>423</v>
      </c>
    </row>
    <row r="11" spans="1:10">
      <c r="A11" s="8" t="s">
        <v>26</v>
      </c>
      <c r="B11" s="9">
        <v>0</v>
      </c>
      <c r="C11" s="9">
        <v>0</v>
      </c>
      <c r="D11" s="9">
        <v>0</v>
      </c>
      <c r="E11" s="9">
        <v>0</v>
      </c>
      <c r="F11" s="9">
        <v>10</v>
      </c>
      <c r="G11" s="10">
        <v>0</v>
      </c>
      <c r="H11" s="9">
        <v>0</v>
      </c>
      <c r="I11" s="9">
        <v>0</v>
      </c>
      <c r="J11" s="9">
        <v>10</v>
      </c>
    </row>
    <row r="12" spans="1:10">
      <c r="A12" s="8" t="s">
        <v>27</v>
      </c>
      <c r="B12" s="9">
        <v>0</v>
      </c>
      <c r="C12" s="9">
        <v>0</v>
      </c>
      <c r="D12" s="9">
        <v>0</v>
      </c>
      <c r="E12" s="9">
        <v>0</v>
      </c>
      <c r="F12" s="9">
        <v>232</v>
      </c>
      <c r="G12" s="10">
        <v>0</v>
      </c>
      <c r="H12" s="9">
        <v>0</v>
      </c>
      <c r="I12" s="9">
        <v>0</v>
      </c>
      <c r="J12" s="9">
        <v>232</v>
      </c>
    </row>
    <row r="13" spans="1:10">
      <c r="A13" s="8" t="s">
        <v>28</v>
      </c>
      <c r="B13" s="9">
        <v>4389</v>
      </c>
      <c r="C13" s="9">
        <v>0</v>
      </c>
      <c r="D13" s="9">
        <v>9239</v>
      </c>
      <c r="E13" s="9">
        <v>0</v>
      </c>
      <c r="F13" s="9">
        <v>0</v>
      </c>
      <c r="G13" s="10">
        <v>0</v>
      </c>
      <c r="H13" s="9">
        <v>0</v>
      </c>
      <c r="I13" s="9">
        <v>0</v>
      </c>
      <c r="J13" s="9">
        <v>13627</v>
      </c>
    </row>
    <row r="14" spans="1:10">
      <c r="A14" s="8" t="s">
        <v>29</v>
      </c>
      <c r="B14" s="9">
        <v>0</v>
      </c>
      <c r="C14" s="9">
        <v>0</v>
      </c>
      <c r="D14" s="9">
        <v>-20</v>
      </c>
      <c r="E14" s="9">
        <v>0</v>
      </c>
      <c r="F14" s="9">
        <v>0</v>
      </c>
      <c r="G14" s="10">
        <v>0</v>
      </c>
      <c r="H14" s="9">
        <v>0</v>
      </c>
      <c r="I14" s="9">
        <v>0</v>
      </c>
      <c r="J14" s="9">
        <v>-20</v>
      </c>
    </row>
    <row r="15" spans="1:10">
      <c r="A15" s="8" t="s">
        <v>30</v>
      </c>
      <c r="B15" s="9">
        <v>0</v>
      </c>
      <c r="C15" s="9">
        <v>0</v>
      </c>
      <c r="D15" s="9">
        <v>0</v>
      </c>
      <c r="E15" s="9">
        <v>0</v>
      </c>
      <c r="F15" s="9">
        <v>0</v>
      </c>
      <c r="G15" s="10">
        <v>0</v>
      </c>
      <c r="H15" s="9">
        <v>0</v>
      </c>
      <c r="I15" s="9">
        <v>0</v>
      </c>
      <c r="J15" s="9">
        <v>0</v>
      </c>
    </row>
    <row r="16" spans="1:10">
      <c r="A16" s="8" t="s">
        <v>31</v>
      </c>
      <c r="B16" s="9">
        <v>0</v>
      </c>
      <c r="C16" s="9">
        <v>0</v>
      </c>
      <c r="D16" s="9">
        <v>-1607</v>
      </c>
      <c r="E16" s="9">
        <v>0</v>
      </c>
      <c r="F16" s="9">
        <v>0</v>
      </c>
      <c r="G16" s="10">
        <v>0</v>
      </c>
      <c r="H16" s="9">
        <v>0</v>
      </c>
      <c r="I16" s="9">
        <v>0</v>
      </c>
      <c r="J16" s="9">
        <v>-1607</v>
      </c>
    </row>
    <row r="17" spans="1:10">
      <c r="A17" s="8" t="s">
        <v>32</v>
      </c>
      <c r="B17" s="9">
        <v>-53</v>
      </c>
      <c r="C17" s="9">
        <v>0</v>
      </c>
      <c r="D17" s="9">
        <v>125</v>
      </c>
      <c r="E17" s="9">
        <v>0</v>
      </c>
      <c r="F17" s="9">
        <v>0</v>
      </c>
      <c r="G17" s="10">
        <v>0</v>
      </c>
      <c r="H17" s="9">
        <v>0</v>
      </c>
      <c r="I17" s="9">
        <v>0</v>
      </c>
      <c r="J17" s="9">
        <v>72</v>
      </c>
    </row>
    <row r="18" spans="1:10">
      <c r="A18" s="12" t="s">
        <v>33</v>
      </c>
      <c r="B18" s="13">
        <v>4336</v>
      </c>
      <c r="C18" s="13">
        <v>0</v>
      </c>
      <c r="D18" s="13">
        <v>7736</v>
      </c>
      <c r="E18" s="13">
        <v>0</v>
      </c>
      <c r="F18" s="13">
        <v>665</v>
      </c>
      <c r="G18" s="14">
        <v>2108</v>
      </c>
      <c r="H18" s="13">
        <v>0</v>
      </c>
      <c r="I18" s="13">
        <v>0</v>
      </c>
      <c r="J18" s="13">
        <v>14845</v>
      </c>
    </row>
    <row r="19" spans="1:10">
      <c r="A19" s="8" t="s">
        <v>34</v>
      </c>
      <c r="B19" s="9">
        <v>0</v>
      </c>
      <c r="C19" s="9">
        <v>0</v>
      </c>
      <c r="D19" s="9">
        <v>-491</v>
      </c>
      <c r="E19" s="9">
        <v>0</v>
      </c>
      <c r="F19" s="9">
        <v>0</v>
      </c>
      <c r="G19" s="10">
        <v>0</v>
      </c>
      <c r="H19" s="9">
        <v>221</v>
      </c>
      <c r="I19" s="9">
        <v>0</v>
      </c>
      <c r="J19" s="9">
        <v>-270</v>
      </c>
    </row>
    <row r="20" spans="1:10">
      <c r="A20" s="8" t="s">
        <v>35</v>
      </c>
      <c r="B20" s="9">
        <v>4336</v>
      </c>
      <c r="C20" s="9">
        <v>0</v>
      </c>
      <c r="D20" s="9">
        <v>2173</v>
      </c>
      <c r="E20" s="9">
        <v>0</v>
      </c>
      <c r="F20" s="9">
        <v>665</v>
      </c>
      <c r="G20" s="10">
        <v>1405</v>
      </c>
      <c r="H20" s="9">
        <v>-3185</v>
      </c>
      <c r="I20" s="9">
        <v>-440</v>
      </c>
      <c r="J20" s="9">
        <v>4954</v>
      </c>
    </row>
    <row r="21" spans="1:10">
      <c r="A21" s="8" t="s">
        <v>36</v>
      </c>
      <c r="B21" s="9">
        <v>0</v>
      </c>
      <c r="C21" s="9">
        <v>0</v>
      </c>
      <c r="D21" s="9">
        <v>0</v>
      </c>
      <c r="E21" s="9">
        <v>0</v>
      </c>
      <c r="F21" s="9">
        <v>0</v>
      </c>
      <c r="G21" s="10">
        <v>0</v>
      </c>
      <c r="H21" s="9">
        <v>0</v>
      </c>
      <c r="I21" s="9">
        <v>0</v>
      </c>
      <c r="J21" s="9">
        <v>0</v>
      </c>
    </row>
    <row r="22" spans="1:10">
      <c r="A22" s="8" t="s">
        <v>37</v>
      </c>
      <c r="B22" s="9">
        <v>0</v>
      </c>
      <c r="C22" s="9">
        <v>0</v>
      </c>
      <c r="D22" s="9">
        <v>0</v>
      </c>
      <c r="E22" s="9">
        <v>0</v>
      </c>
      <c r="F22" s="9">
        <v>0</v>
      </c>
      <c r="G22" s="10">
        <v>0</v>
      </c>
      <c r="H22" s="9">
        <v>0</v>
      </c>
      <c r="I22" s="9">
        <v>0</v>
      </c>
      <c r="J22" s="9">
        <v>0</v>
      </c>
    </row>
    <row r="23" spans="1:10">
      <c r="A23" s="8" t="s">
        <v>38</v>
      </c>
      <c r="B23" s="9">
        <v>0</v>
      </c>
      <c r="C23" s="9">
        <v>0</v>
      </c>
      <c r="D23" s="9">
        <v>0</v>
      </c>
      <c r="E23" s="9">
        <v>0</v>
      </c>
      <c r="F23" s="9">
        <v>0</v>
      </c>
      <c r="G23" s="10">
        <v>0</v>
      </c>
      <c r="H23" s="9">
        <v>41</v>
      </c>
      <c r="I23" s="9">
        <v>0</v>
      </c>
      <c r="J23" s="9">
        <v>41</v>
      </c>
    </row>
    <row r="24" spans="1:10">
      <c r="A24" s="8" t="s">
        <v>39</v>
      </c>
      <c r="B24" s="9">
        <v>0</v>
      </c>
      <c r="C24" s="9">
        <v>0</v>
      </c>
      <c r="D24" s="9">
        <v>0</v>
      </c>
      <c r="E24" s="9">
        <v>0</v>
      </c>
      <c r="F24" s="9">
        <v>0</v>
      </c>
      <c r="G24" s="10">
        <v>0</v>
      </c>
      <c r="H24" s="9">
        <v>203</v>
      </c>
      <c r="I24" s="9">
        <v>40</v>
      </c>
      <c r="J24" s="9">
        <v>243</v>
      </c>
    </row>
    <row r="25" spans="1:10">
      <c r="A25" s="12" t="s">
        <v>40</v>
      </c>
      <c r="B25" s="13">
        <v>4336</v>
      </c>
      <c r="C25" s="13">
        <v>0</v>
      </c>
      <c r="D25" s="13">
        <v>1682</v>
      </c>
      <c r="E25" s="13">
        <v>0</v>
      </c>
      <c r="F25" s="13">
        <v>665</v>
      </c>
      <c r="G25" s="14">
        <v>1405</v>
      </c>
      <c r="H25" s="13">
        <v>-2721</v>
      </c>
      <c r="I25" s="13">
        <v>-400</v>
      </c>
      <c r="J25" s="13">
        <v>4967</v>
      </c>
    </row>
    <row r="26" spans="1:10">
      <c r="A26" s="8" t="s">
        <v>41</v>
      </c>
      <c r="B26" s="9">
        <v>0</v>
      </c>
      <c r="C26" s="9">
        <v>0</v>
      </c>
      <c r="D26" s="9">
        <v>237</v>
      </c>
      <c r="E26" s="9">
        <v>0</v>
      </c>
      <c r="F26" s="9">
        <v>0</v>
      </c>
      <c r="G26" s="10">
        <v>0</v>
      </c>
      <c r="H26" s="9">
        <v>289</v>
      </c>
      <c r="I26" s="9">
        <v>400</v>
      </c>
      <c r="J26" s="9">
        <v>927</v>
      </c>
    </row>
    <row r="27" spans="1:10">
      <c r="A27" s="8" t="s">
        <v>42</v>
      </c>
      <c r="B27" s="9">
        <v>0</v>
      </c>
      <c r="C27" s="9">
        <v>0</v>
      </c>
      <c r="D27" s="9">
        <v>5084</v>
      </c>
      <c r="E27" s="9">
        <v>0</v>
      </c>
      <c r="F27" s="9">
        <v>0</v>
      </c>
      <c r="G27" s="10">
        <v>0</v>
      </c>
      <c r="H27" s="9">
        <v>0</v>
      </c>
      <c r="I27" s="9">
        <v>0</v>
      </c>
      <c r="J27" s="9">
        <v>5084</v>
      </c>
    </row>
    <row r="28" spans="1:10">
      <c r="A28" s="8" t="s">
        <v>43</v>
      </c>
      <c r="B28" s="9">
        <v>0</v>
      </c>
      <c r="C28" s="9">
        <v>0</v>
      </c>
      <c r="D28" s="9">
        <v>131</v>
      </c>
      <c r="E28" s="9">
        <v>0</v>
      </c>
      <c r="F28" s="9">
        <v>0</v>
      </c>
      <c r="G28" s="10">
        <v>655</v>
      </c>
      <c r="H28" s="9">
        <v>1273</v>
      </c>
      <c r="I28" s="9">
        <v>0</v>
      </c>
      <c r="J28" s="9">
        <v>2059</v>
      </c>
    </row>
    <row r="29" spans="1:10">
      <c r="A29" s="8" t="s">
        <v>44</v>
      </c>
      <c r="B29" s="9">
        <v>0</v>
      </c>
      <c r="C29" s="9">
        <v>0</v>
      </c>
      <c r="D29" s="9">
        <v>280</v>
      </c>
      <c r="E29" s="9">
        <v>0</v>
      </c>
      <c r="F29" s="9">
        <v>0</v>
      </c>
      <c r="G29" s="10">
        <v>1</v>
      </c>
      <c r="H29" s="9">
        <v>1139</v>
      </c>
      <c r="I29" s="9">
        <v>0</v>
      </c>
      <c r="J29" s="9">
        <v>1420</v>
      </c>
    </row>
    <row r="30" spans="1:10">
      <c r="A30" s="8" t="s">
        <v>4</v>
      </c>
      <c r="B30" s="9">
        <v>0</v>
      </c>
      <c r="C30" s="9">
        <v>0</v>
      </c>
      <c r="D30" s="9">
        <v>84</v>
      </c>
      <c r="E30" s="9">
        <v>0</v>
      </c>
      <c r="F30" s="9">
        <v>0</v>
      </c>
      <c r="G30" s="10">
        <v>46</v>
      </c>
      <c r="H30" s="9">
        <v>20</v>
      </c>
      <c r="I30" s="9">
        <v>0</v>
      </c>
      <c r="J30" s="9">
        <v>150</v>
      </c>
    </row>
    <row r="31" spans="1:10">
      <c r="A31" s="16" t="s">
        <v>45</v>
      </c>
      <c r="B31" s="17">
        <v>0</v>
      </c>
      <c r="C31" s="17">
        <v>0</v>
      </c>
      <c r="D31" s="17">
        <v>5816</v>
      </c>
      <c r="E31" s="17">
        <v>0</v>
      </c>
      <c r="F31" s="17">
        <v>0</v>
      </c>
      <c r="G31" s="18">
        <v>702</v>
      </c>
      <c r="H31" s="17">
        <v>2721</v>
      </c>
      <c r="I31" s="17">
        <v>400</v>
      </c>
      <c r="J31" s="17">
        <v>9640</v>
      </c>
    </row>
    <row r="32" spans="1:10">
      <c r="A32" s="16" t="s">
        <v>46</v>
      </c>
      <c r="B32" s="17">
        <v>0</v>
      </c>
      <c r="C32" s="17">
        <v>0</v>
      </c>
      <c r="D32" s="17">
        <v>238</v>
      </c>
      <c r="E32" s="17">
        <v>0</v>
      </c>
      <c r="F32" s="17">
        <v>0</v>
      </c>
      <c r="G32" s="18">
        <v>0</v>
      </c>
      <c r="H32" s="17">
        <v>0</v>
      </c>
      <c r="I32" s="17">
        <v>0</v>
      </c>
      <c r="J32" s="17">
        <v>238</v>
      </c>
    </row>
    <row r="33" spans="1:10">
      <c r="A33" s="12" t="s">
        <v>47</v>
      </c>
      <c r="B33" s="13">
        <v>0</v>
      </c>
      <c r="C33" s="13">
        <v>0</v>
      </c>
      <c r="D33" s="13">
        <v>6054</v>
      </c>
      <c r="E33" s="13">
        <v>0</v>
      </c>
      <c r="F33" s="13">
        <v>0</v>
      </c>
      <c r="G33" s="14">
        <v>702</v>
      </c>
      <c r="H33" s="13">
        <v>2721</v>
      </c>
      <c r="I33" s="13">
        <v>400</v>
      </c>
      <c r="J33" s="13">
        <v>9878</v>
      </c>
    </row>
    <row r="34" spans="1:10">
      <c r="A34" s="8" t="s">
        <v>376</v>
      </c>
      <c r="B34" s="8"/>
      <c r="C34" s="8"/>
      <c r="D34" s="8"/>
      <c r="E34" s="8"/>
      <c r="F34" s="8"/>
      <c r="G34" s="247"/>
      <c r="H34" s="8"/>
      <c r="I34" s="8"/>
      <c r="J34" s="8"/>
    </row>
    <row r="35" spans="1:10">
      <c r="A35" s="8"/>
      <c r="B35" s="8"/>
      <c r="C35" s="8"/>
      <c r="D35" s="8"/>
      <c r="E35" s="8"/>
      <c r="F35" s="8"/>
      <c r="G35" s="247"/>
      <c r="H35" s="8"/>
      <c r="I35" s="8"/>
      <c r="J35" s="8"/>
    </row>
    <row r="36" spans="1:10">
      <c r="A36" s="8"/>
      <c r="B36" s="8" t="s">
        <v>377</v>
      </c>
      <c r="C36" s="8"/>
      <c r="D36" s="8"/>
      <c r="E36" s="8"/>
      <c r="F36" s="8"/>
      <c r="G36" s="247"/>
      <c r="H36" s="8"/>
      <c r="I36" s="8"/>
      <c r="J36" s="8"/>
    </row>
    <row r="37" spans="1:10">
      <c r="A37" s="8"/>
      <c r="B37" s="8" t="s">
        <v>374</v>
      </c>
      <c r="C37" s="8"/>
      <c r="D37" s="8"/>
      <c r="E37" s="8"/>
      <c r="F37" s="8"/>
      <c r="G37" s="247"/>
      <c r="H37" s="8"/>
      <c r="I37" s="8"/>
      <c r="J37" s="8"/>
    </row>
    <row r="38" spans="1:10">
      <c r="A38" s="8"/>
      <c r="B38" s="8" t="s">
        <v>375</v>
      </c>
      <c r="C38" s="8"/>
      <c r="D38" s="8"/>
      <c r="E38" s="8"/>
      <c r="F38" s="8"/>
      <c r="G38" s="247"/>
      <c r="H38" s="8"/>
      <c r="I38" s="8"/>
      <c r="J38" s="8"/>
    </row>
    <row r="39" spans="1:10">
      <c r="A39" s="8"/>
      <c r="B39" s="8"/>
      <c r="C39" s="8"/>
      <c r="D39" s="8"/>
      <c r="E39" s="8"/>
      <c r="F39" s="8"/>
      <c r="G39" s="247"/>
      <c r="H39" s="8"/>
      <c r="I39" s="8"/>
      <c r="J39" s="8"/>
    </row>
    <row r="40" spans="1:10" ht="43.2">
      <c r="A40" s="12"/>
      <c r="B40" s="244" t="s">
        <v>14</v>
      </c>
      <c r="C40" s="244" t="s">
        <v>15</v>
      </c>
      <c r="D40" s="244" t="s">
        <v>16</v>
      </c>
      <c r="E40" s="244" t="s">
        <v>17</v>
      </c>
      <c r="F40" s="244" t="s">
        <v>18</v>
      </c>
      <c r="G40" s="245" t="s">
        <v>19</v>
      </c>
      <c r="H40" s="244" t="s">
        <v>20</v>
      </c>
      <c r="I40" s="244" t="s">
        <v>21</v>
      </c>
      <c r="J40" s="244" t="s">
        <v>23</v>
      </c>
    </row>
    <row r="41" spans="1:10">
      <c r="A41" s="8" t="s">
        <v>24</v>
      </c>
      <c r="B41" s="9">
        <v>0</v>
      </c>
      <c r="C41" s="9">
        <v>0</v>
      </c>
      <c r="D41" s="9">
        <v>0</v>
      </c>
      <c r="E41" s="9">
        <v>0</v>
      </c>
      <c r="F41" s="9">
        <v>678</v>
      </c>
      <c r="G41" s="10">
        <v>1910</v>
      </c>
      <c r="H41" s="9">
        <v>0</v>
      </c>
      <c r="I41" s="9">
        <v>0</v>
      </c>
      <c r="J41" s="9">
        <v>2588</v>
      </c>
    </row>
    <row r="42" spans="1:10">
      <c r="A42" s="8" t="s">
        <v>25</v>
      </c>
      <c r="B42" s="9">
        <v>0</v>
      </c>
      <c r="C42" s="9">
        <v>0</v>
      </c>
      <c r="D42" s="9">
        <v>0</v>
      </c>
      <c r="E42" s="9">
        <v>0</v>
      </c>
      <c r="F42" s="9">
        <v>422</v>
      </c>
      <c r="G42" s="10">
        <v>0</v>
      </c>
      <c r="H42" s="9">
        <v>0</v>
      </c>
      <c r="I42" s="9">
        <v>0</v>
      </c>
      <c r="J42" s="9">
        <v>422</v>
      </c>
    </row>
    <row r="43" spans="1:10">
      <c r="A43" s="8" t="s">
        <v>26</v>
      </c>
      <c r="B43" s="9">
        <v>0</v>
      </c>
      <c r="C43" s="9">
        <v>0</v>
      </c>
      <c r="D43" s="9">
        <v>0</v>
      </c>
      <c r="E43" s="9">
        <v>0</v>
      </c>
      <c r="F43" s="9">
        <v>12</v>
      </c>
      <c r="G43" s="10">
        <v>0</v>
      </c>
      <c r="H43" s="9">
        <v>0</v>
      </c>
      <c r="I43" s="9">
        <v>0</v>
      </c>
      <c r="J43" s="9">
        <v>12</v>
      </c>
    </row>
    <row r="44" spans="1:10">
      <c r="A44" s="8" t="s">
        <v>27</v>
      </c>
      <c r="B44" s="9">
        <v>0</v>
      </c>
      <c r="C44" s="9">
        <v>0</v>
      </c>
      <c r="D44" s="9">
        <v>0</v>
      </c>
      <c r="E44" s="9">
        <v>0</v>
      </c>
      <c r="F44" s="9">
        <v>244</v>
      </c>
      <c r="G44" s="10">
        <v>0</v>
      </c>
      <c r="H44" s="9">
        <v>0</v>
      </c>
      <c r="I44" s="9">
        <v>0</v>
      </c>
      <c r="J44" s="9">
        <v>244</v>
      </c>
    </row>
    <row r="45" spans="1:10">
      <c r="A45" s="8" t="s">
        <v>28</v>
      </c>
      <c r="B45" s="9">
        <v>3907</v>
      </c>
      <c r="C45" s="9">
        <v>0</v>
      </c>
      <c r="D45" s="9">
        <v>11017</v>
      </c>
      <c r="E45" s="9">
        <v>0</v>
      </c>
      <c r="F45" s="9">
        <v>0</v>
      </c>
      <c r="G45" s="10">
        <v>0</v>
      </c>
      <c r="H45" s="9">
        <v>0</v>
      </c>
      <c r="I45" s="9">
        <v>0</v>
      </c>
      <c r="J45" s="9">
        <v>14923</v>
      </c>
    </row>
    <row r="46" spans="1:10">
      <c r="A46" s="8" t="s">
        <v>29</v>
      </c>
      <c r="B46" s="9">
        <v>0</v>
      </c>
      <c r="C46" s="9">
        <v>0</v>
      </c>
      <c r="D46" s="9">
        <v>-23</v>
      </c>
      <c r="E46" s="9">
        <v>0</v>
      </c>
      <c r="F46" s="9">
        <v>0</v>
      </c>
      <c r="G46" s="10">
        <v>0</v>
      </c>
      <c r="H46" s="9">
        <v>0</v>
      </c>
      <c r="I46" s="9">
        <v>0</v>
      </c>
      <c r="J46" s="9">
        <v>-23</v>
      </c>
    </row>
    <row r="47" spans="1:10">
      <c r="A47" s="8" t="s">
        <v>30</v>
      </c>
      <c r="B47" s="9">
        <v>0</v>
      </c>
      <c r="C47" s="9">
        <v>0</v>
      </c>
      <c r="D47" s="9">
        <v>0</v>
      </c>
      <c r="E47" s="9">
        <v>0</v>
      </c>
      <c r="F47" s="9">
        <v>0</v>
      </c>
      <c r="G47" s="10">
        <v>0</v>
      </c>
      <c r="H47" s="9">
        <v>0</v>
      </c>
      <c r="I47" s="9">
        <v>0</v>
      </c>
      <c r="J47" s="9">
        <v>0</v>
      </c>
    </row>
    <row r="48" spans="1:10">
      <c r="A48" s="8" t="s">
        <v>31</v>
      </c>
      <c r="B48" s="9">
        <v>0</v>
      </c>
      <c r="C48" s="9">
        <v>0</v>
      </c>
      <c r="D48" s="9">
        <v>-2459</v>
      </c>
      <c r="E48" s="9">
        <v>0</v>
      </c>
      <c r="F48" s="9">
        <v>0</v>
      </c>
      <c r="G48" s="10">
        <v>0</v>
      </c>
      <c r="H48" s="9">
        <v>0</v>
      </c>
      <c r="I48" s="9">
        <v>0</v>
      </c>
      <c r="J48" s="9">
        <v>-2459</v>
      </c>
    </row>
    <row r="49" spans="1:10">
      <c r="A49" s="8" t="s">
        <v>32</v>
      </c>
      <c r="B49" s="9">
        <v>271</v>
      </c>
      <c r="C49" s="9">
        <v>0</v>
      </c>
      <c r="D49" s="9">
        <v>0</v>
      </c>
      <c r="E49" s="9">
        <v>0</v>
      </c>
      <c r="F49" s="9">
        <v>0</v>
      </c>
      <c r="G49" s="10">
        <v>0</v>
      </c>
      <c r="H49" s="9">
        <v>0</v>
      </c>
      <c r="I49" s="9">
        <v>0</v>
      </c>
      <c r="J49" s="9">
        <v>271</v>
      </c>
    </row>
    <row r="50" spans="1:10">
      <c r="A50" s="12" t="s">
        <v>33</v>
      </c>
      <c r="B50" s="13">
        <v>4177</v>
      </c>
      <c r="C50" s="13">
        <v>0</v>
      </c>
      <c r="D50" s="13">
        <v>8535</v>
      </c>
      <c r="E50" s="13">
        <v>0</v>
      </c>
      <c r="F50" s="13">
        <v>678</v>
      </c>
      <c r="G50" s="14">
        <v>1910</v>
      </c>
      <c r="H50" s="13">
        <v>0</v>
      </c>
      <c r="I50" s="13">
        <v>0</v>
      </c>
      <c r="J50" s="13">
        <v>15300</v>
      </c>
    </row>
    <row r="51" spans="1:10">
      <c r="A51" s="8" t="s">
        <v>34</v>
      </c>
      <c r="B51" s="9">
        <v>0</v>
      </c>
      <c r="C51" s="9">
        <v>0</v>
      </c>
      <c r="D51" s="9">
        <v>-459</v>
      </c>
      <c r="E51" s="9">
        <v>0</v>
      </c>
      <c r="F51" s="9">
        <v>0</v>
      </c>
      <c r="G51" s="10">
        <v>0</v>
      </c>
      <c r="H51" s="9">
        <v>195</v>
      </c>
      <c r="I51" s="9">
        <v>0</v>
      </c>
      <c r="J51" s="9">
        <v>-289</v>
      </c>
    </row>
    <row r="52" spans="1:10">
      <c r="A52" s="8" t="s">
        <v>35</v>
      </c>
      <c r="B52" s="9">
        <v>4177</v>
      </c>
      <c r="C52" s="9">
        <v>0</v>
      </c>
      <c r="D52" s="9">
        <v>2289</v>
      </c>
      <c r="E52" s="9">
        <v>0</v>
      </c>
      <c r="F52" s="9">
        <v>678</v>
      </c>
      <c r="G52" s="10">
        <v>1203</v>
      </c>
      <c r="H52" s="9">
        <v>-3179</v>
      </c>
      <c r="I52" s="9">
        <v>-473</v>
      </c>
      <c r="J52" s="9">
        <v>4697</v>
      </c>
    </row>
    <row r="53" spans="1:10">
      <c r="A53" s="8" t="s">
        <v>36</v>
      </c>
      <c r="B53" s="9">
        <v>0</v>
      </c>
      <c r="C53" s="9">
        <v>0</v>
      </c>
      <c r="D53" s="9">
        <v>0</v>
      </c>
      <c r="E53" s="9">
        <v>0</v>
      </c>
      <c r="F53" s="9">
        <v>0</v>
      </c>
      <c r="G53" s="10">
        <v>0</v>
      </c>
      <c r="H53" s="9">
        <v>0</v>
      </c>
      <c r="I53" s="9">
        <v>0</v>
      </c>
      <c r="J53" s="9">
        <v>0</v>
      </c>
    </row>
    <row r="54" spans="1:10">
      <c r="A54" s="8" t="s">
        <v>37</v>
      </c>
      <c r="B54" s="9">
        <v>0</v>
      </c>
      <c r="C54" s="9">
        <v>0</v>
      </c>
      <c r="D54" s="9">
        <v>0</v>
      </c>
      <c r="E54" s="9">
        <v>0</v>
      </c>
      <c r="F54" s="9">
        <v>0</v>
      </c>
      <c r="G54" s="10">
        <v>0</v>
      </c>
      <c r="H54" s="9">
        <v>0</v>
      </c>
      <c r="I54" s="9">
        <v>0</v>
      </c>
      <c r="J54" s="9">
        <v>0</v>
      </c>
    </row>
    <row r="55" spans="1:10">
      <c r="A55" s="8" t="s">
        <v>38</v>
      </c>
      <c r="B55" s="9">
        <v>0</v>
      </c>
      <c r="C55" s="9">
        <v>0</v>
      </c>
      <c r="D55" s="9">
        <v>0</v>
      </c>
      <c r="E55" s="9">
        <v>0</v>
      </c>
      <c r="F55" s="9">
        <v>0</v>
      </c>
      <c r="G55" s="10">
        <v>0</v>
      </c>
      <c r="H55" s="9">
        <v>35</v>
      </c>
      <c r="I55" s="9">
        <v>0</v>
      </c>
      <c r="J55" s="9">
        <v>35</v>
      </c>
    </row>
    <row r="56" spans="1:10">
      <c r="A56" s="8" t="s">
        <v>39</v>
      </c>
      <c r="B56" s="9">
        <v>0</v>
      </c>
      <c r="C56" s="9">
        <v>0</v>
      </c>
      <c r="D56" s="9">
        <v>0</v>
      </c>
      <c r="E56" s="9">
        <v>0</v>
      </c>
      <c r="F56" s="9">
        <v>0</v>
      </c>
      <c r="G56" s="10">
        <v>0</v>
      </c>
      <c r="H56" s="9">
        <v>204</v>
      </c>
      <c r="I56" s="9">
        <v>37</v>
      </c>
      <c r="J56" s="9">
        <v>266</v>
      </c>
    </row>
    <row r="57" spans="1:10">
      <c r="A57" s="12" t="s">
        <v>40</v>
      </c>
      <c r="B57" s="13">
        <v>4177</v>
      </c>
      <c r="C57" s="13">
        <v>0</v>
      </c>
      <c r="D57" s="13">
        <v>1830</v>
      </c>
      <c r="E57" s="13">
        <v>0</v>
      </c>
      <c r="F57" s="13">
        <v>678</v>
      </c>
      <c r="G57" s="14">
        <v>1203</v>
      </c>
      <c r="H57" s="13">
        <v>-2745</v>
      </c>
      <c r="I57" s="13">
        <v>-436</v>
      </c>
      <c r="J57" s="13">
        <v>4708</v>
      </c>
    </row>
    <row r="58" spans="1:10">
      <c r="A58" s="8" t="s">
        <v>41</v>
      </c>
      <c r="B58" s="9">
        <v>0</v>
      </c>
      <c r="C58" s="9">
        <v>0</v>
      </c>
      <c r="D58" s="9">
        <v>289</v>
      </c>
      <c r="E58" s="9">
        <v>0</v>
      </c>
      <c r="F58" s="9">
        <v>0</v>
      </c>
      <c r="G58" s="10">
        <v>28</v>
      </c>
      <c r="H58" s="9">
        <v>308</v>
      </c>
      <c r="I58" s="9">
        <v>436</v>
      </c>
      <c r="J58" s="9">
        <v>1061</v>
      </c>
    </row>
    <row r="59" spans="1:10">
      <c r="A59" s="8" t="s">
        <v>42</v>
      </c>
      <c r="B59" s="9">
        <v>0</v>
      </c>
      <c r="C59" s="9">
        <v>0</v>
      </c>
      <c r="D59" s="9">
        <v>5620</v>
      </c>
      <c r="E59" s="9">
        <v>0</v>
      </c>
      <c r="F59" s="9">
        <v>0</v>
      </c>
      <c r="G59" s="10">
        <v>0</v>
      </c>
      <c r="H59" s="9">
        <v>0</v>
      </c>
      <c r="I59" s="9">
        <v>0</v>
      </c>
      <c r="J59" s="9">
        <v>5620</v>
      </c>
    </row>
    <row r="60" spans="1:10">
      <c r="A60" s="8" t="s">
        <v>43</v>
      </c>
      <c r="B60" s="9">
        <v>0</v>
      </c>
      <c r="C60" s="9">
        <v>0</v>
      </c>
      <c r="D60" s="9">
        <v>92</v>
      </c>
      <c r="E60" s="9">
        <v>0</v>
      </c>
      <c r="F60" s="9">
        <v>0</v>
      </c>
      <c r="G60" s="10">
        <v>633</v>
      </c>
      <c r="H60" s="9">
        <v>1230</v>
      </c>
      <c r="I60" s="9">
        <v>0</v>
      </c>
      <c r="J60" s="9">
        <v>1955</v>
      </c>
    </row>
    <row r="61" spans="1:10">
      <c r="A61" s="8" t="s">
        <v>44</v>
      </c>
      <c r="B61" s="9">
        <v>0</v>
      </c>
      <c r="C61" s="9">
        <v>0</v>
      </c>
      <c r="D61" s="9">
        <v>333</v>
      </c>
      <c r="E61" s="9">
        <v>0</v>
      </c>
      <c r="F61" s="9">
        <v>0</v>
      </c>
      <c r="G61" s="10">
        <v>1</v>
      </c>
      <c r="H61" s="9">
        <v>1187</v>
      </c>
      <c r="I61" s="9">
        <v>0</v>
      </c>
      <c r="J61" s="9">
        <v>1521</v>
      </c>
    </row>
    <row r="62" spans="1:10">
      <c r="A62" s="8" t="s">
        <v>4</v>
      </c>
      <c r="B62" s="9">
        <v>0</v>
      </c>
      <c r="C62" s="9">
        <v>0</v>
      </c>
      <c r="D62" s="9">
        <v>102</v>
      </c>
      <c r="E62" s="9">
        <v>0</v>
      </c>
      <c r="F62" s="9">
        <v>0</v>
      </c>
      <c r="G62" s="10">
        <v>45</v>
      </c>
      <c r="H62" s="9">
        <v>20</v>
      </c>
      <c r="I62" s="9">
        <v>0</v>
      </c>
      <c r="J62" s="9">
        <v>166</v>
      </c>
    </row>
    <row r="63" spans="1:10">
      <c r="A63" s="16" t="s">
        <v>45</v>
      </c>
      <c r="B63" s="17">
        <v>0</v>
      </c>
      <c r="C63" s="17">
        <v>0</v>
      </c>
      <c r="D63" s="17">
        <v>6437</v>
      </c>
      <c r="E63" s="17">
        <v>0</v>
      </c>
      <c r="F63" s="17">
        <v>0</v>
      </c>
      <c r="G63" s="18">
        <v>707</v>
      </c>
      <c r="H63" s="17">
        <v>2745</v>
      </c>
      <c r="I63" s="17">
        <v>436</v>
      </c>
      <c r="J63" s="17">
        <v>10324</v>
      </c>
    </row>
    <row r="64" spans="1:10">
      <c r="A64" s="16" t="s">
        <v>46</v>
      </c>
      <c r="B64" s="17">
        <v>0</v>
      </c>
      <c r="C64" s="17">
        <v>0</v>
      </c>
      <c r="D64" s="17">
        <v>268</v>
      </c>
      <c r="E64" s="17">
        <v>0</v>
      </c>
      <c r="F64" s="17">
        <v>0</v>
      </c>
      <c r="G64" s="18">
        <v>0</v>
      </c>
      <c r="H64" s="17">
        <v>0</v>
      </c>
      <c r="I64" s="17">
        <v>0</v>
      </c>
      <c r="J64" s="17">
        <v>268</v>
      </c>
    </row>
    <row r="65" spans="1:10">
      <c r="A65" s="12" t="s">
        <v>47</v>
      </c>
      <c r="B65" s="13">
        <v>0</v>
      </c>
      <c r="C65" s="13">
        <v>0</v>
      </c>
      <c r="D65" s="13">
        <v>6705</v>
      </c>
      <c r="E65" s="13">
        <v>0</v>
      </c>
      <c r="F65" s="13">
        <v>0</v>
      </c>
      <c r="G65" s="14">
        <v>707</v>
      </c>
      <c r="H65" s="13">
        <v>2745</v>
      </c>
      <c r="I65" s="13">
        <v>436</v>
      </c>
      <c r="J65" s="13">
        <v>10592</v>
      </c>
    </row>
    <row r="66" spans="1:10">
      <c r="A66" s="8" t="s">
        <v>376</v>
      </c>
      <c r="B66" s="8"/>
      <c r="C66" s="8"/>
      <c r="D66" s="8"/>
      <c r="E66" s="8"/>
      <c r="F66" s="8"/>
      <c r="G66" s="247"/>
      <c r="H66" s="8"/>
      <c r="I66" s="8"/>
      <c r="J66" s="8"/>
    </row>
    <row r="67" spans="1:10">
      <c r="A67" s="8"/>
      <c r="B67" s="8"/>
      <c r="C67" s="8"/>
      <c r="D67" s="8"/>
      <c r="E67" s="8"/>
      <c r="F67" s="8"/>
      <c r="G67" s="247"/>
      <c r="H67" s="8"/>
      <c r="I67" s="8"/>
      <c r="J67" s="8"/>
    </row>
    <row r="68" spans="1:10">
      <c r="A68" s="8"/>
      <c r="B68" s="8" t="s">
        <v>378</v>
      </c>
      <c r="C68" s="8"/>
      <c r="D68" s="8"/>
      <c r="E68" s="8"/>
      <c r="F68" s="8"/>
      <c r="G68" s="247"/>
      <c r="H68" s="8"/>
      <c r="I68" s="8"/>
      <c r="J68" s="8"/>
    </row>
    <row r="69" spans="1:10">
      <c r="A69" s="8"/>
      <c r="B69" s="8" t="s">
        <v>374</v>
      </c>
      <c r="C69" s="8"/>
      <c r="D69" s="8"/>
      <c r="E69" s="8"/>
      <c r="F69" s="8"/>
      <c r="G69" s="247"/>
      <c r="H69" s="8"/>
      <c r="I69" s="8"/>
      <c r="J69" s="8"/>
    </row>
    <row r="70" spans="1:10">
      <c r="A70" s="8"/>
      <c r="B70" s="8" t="s">
        <v>375</v>
      </c>
      <c r="C70" s="8"/>
      <c r="D70" s="8"/>
      <c r="E70" s="8"/>
      <c r="F70" s="8"/>
      <c r="G70" s="247"/>
      <c r="H70" s="8"/>
      <c r="I70" s="8"/>
      <c r="J70" s="8"/>
    </row>
    <row r="71" spans="1:10">
      <c r="A71" s="8"/>
      <c r="B71" s="8"/>
      <c r="C71" s="8"/>
      <c r="D71" s="8"/>
      <c r="E71" s="8"/>
      <c r="F71" s="8"/>
      <c r="G71" s="247"/>
      <c r="H71" s="8"/>
      <c r="I71" s="8"/>
      <c r="J71" s="8"/>
    </row>
    <row r="72" spans="1:10" ht="43.2">
      <c r="A72" s="12"/>
      <c r="B72" s="244" t="s">
        <v>14</v>
      </c>
      <c r="C72" s="244" t="s">
        <v>15</v>
      </c>
      <c r="D72" s="244" t="s">
        <v>16</v>
      </c>
      <c r="E72" s="244" t="s">
        <v>17</v>
      </c>
      <c r="F72" s="244" t="s">
        <v>18</v>
      </c>
      <c r="G72" s="245" t="s">
        <v>19</v>
      </c>
      <c r="H72" s="244" t="s">
        <v>20</v>
      </c>
      <c r="I72" s="244" t="s">
        <v>21</v>
      </c>
      <c r="J72" s="244" t="s">
        <v>23</v>
      </c>
    </row>
    <row r="73" spans="1:10">
      <c r="A73" s="8" t="s">
        <v>24</v>
      </c>
      <c r="B73" s="9">
        <v>0</v>
      </c>
      <c r="C73" s="9">
        <v>0</v>
      </c>
      <c r="D73" s="9">
        <v>0</v>
      </c>
      <c r="E73" s="9">
        <v>0</v>
      </c>
      <c r="F73" s="9">
        <v>861</v>
      </c>
      <c r="G73" s="10">
        <v>1727</v>
      </c>
      <c r="H73" s="9">
        <v>0</v>
      </c>
      <c r="I73" s="9">
        <v>0</v>
      </c>
      <c r="J73" s="9">
        <v>2587</v>
      </c>
    </row>
    <row r="74" spans="1:10">
      <c r="A74" s="8" t="s">
        <v>25</v>
      </c>
      <c r="B74" s="9">
        <v>0</v>
      </c>
      <c r="C74" s="9">
        <v>0</v>
      </c>
      <c r="D74" s="9">
        <v>0</v>
      </c>
      <c r="E74" s="9">
        <v>0</v>
      </c>
      <c r="F74" s="9">
        <v>610</v>
      </c>
      <c r="G74" s="10">
        <v>0</v>
      </c>
      <c r="H74" s="9">
        <v>0</v>
      </c>
      <c r="I74" s="9">
        <v>0</v>
      </c>
      <c r="J74" s="9">
        <v>610</v>
      </c>
    </row>
    <row r="75" spans="1:10">
      <c r="A75" s="8" t="s">
        <v>26</v>
      </c>
      <c r="B75" s="9">
        <v>0</v>
      </c>
      <c r="C75" s="9">
        <v>0</v>
      </c>
      <c r="D75" s="9">
        <v>0</v>
      </c>
      <c r="E75" s="9">
        <v>0</v>
      </c>
      <c r="F75" s="9">
        <v>13</v>
      </c>
      <c r="G75" s="10">
        <v>0</v>
      </c>
      <c r="H75" s="9">
        <v>0</v>
      </c>
      <c r="I75" s="9">
        <v>0</v>
      </c>
      <c r="J75" s="9">
        <v>13</v>
      </c>
    </row>
    <row r="76" spans="1:10">
      <c r="A76" s="8" t="s">
        <v>27</v>
      </c>
      <c r="B76" s="9">
        <v>0</v>
      </c>
      <c r="C76" s="9">
        <v>0</v>
      </c>
      <c r="D76" s="9">
        <v>0</v>
      </c>
      <c r="E76" s="9">
        <v>0</v>
      </c>
      <c r="F76" s="9">
        <v>238</v>
      </c>
      <c r="G76" s="10">
        <v>0</v>
      </c>
      <c r="H76" s="9">
        <v>0</v>
      </c>
      <c r="I76" s="9">
        <v>0</v>
      </c>
      <c r="J76" s="9">
        <v>238</v>
      </c>
    </row>
    <row r="77" spans="1:10">
      <c r="A77" s="8" t="s">
        <v>28</v>
      </c>
      <c r="B77" s="9">
        <v>4287</v>
      </c>
      <c r="C77" s="9">
        <v>0</v>
      </c>
      <c r="D77" s="9">
        <v>11007</v>
      </c>
      <c r="E77" s="9">
        <v>0</v>
      </c>
      <c r="F77" s="9">
        <v>0</v>
      </c>
      <c r="G77" s="10">
        <v>0</v>
      </c>
      <c r="H77" s="9">
        <v>0</v>
      </c>
      <c r="I77" s="9">
        <v>0</v>
      </c>
      <c r="J77" s="9">
        <v>15294</v>
      </c>
    </row>
    <row r="78" spans="1:10">
      <c r="A78" s="8" t="s">
        <v>29</v>
      </c>
      <c r="B78" s="9">
        <v>0</v>
      </c>
      <c r="C78" s="9">
        <v>0</v>
      </c>
      <c r="D78" s="9">
        <v>-22</v>
      </c>
      <c r="E78" s="9">
        <v>0</v>
      </c>
      <c r="F78" s="9">
        <v>0</v>
      </c>
      <c r="G78" s="10">
        <v>0</v>
      </c>
      <c r="H78" s="9">
        <v>0</v>
      </c>
      <c r="I78" s="9">
        <v>0</v>
      </c>
      <c r="J78" s="9">
        <v>-22</v>
      </c>
    </row>
    <row r="79" spans="1:10">
      <c r="A79" s="8" t="s">
        <v>30</v>
      </c>
      <c r="B79" s="9">
        <v>0</v>
      </c>
      <c r="C79" s="9">
        <v>0</v>
      </c>
      <c r="D79" s="9">
        <v>-122</v>
      </c>
      <c r="E79" s="9">
        <v>0</v>
      </c>
      <c r="F79" s="9">
        <v>0</v>
      </c>
      <c r="G79" s="10">
        <v>0</v>
      </c>
      <c r="H79" s="9">
        <v>0</v>
      </c>
      <c r="I79" s="9">
        <v>0</v>
      </c>
      <c r="J79" s="9">
        <v>-122</v>
      </c>
    </row>
    <row r="80" spans="1:10">
      <c r="A80" s="8" t="s">
        <v>31</v>
      </c>
      <c r="B80" s="9">
        <v>0</v>
      </c>
      <c r="C80" s="9">
        <v>0</v>
      </c>
      <c r="D80" s="9">
        <v>-2466</v>
      </c>
      <c r="E80" s="9">
        <v>0</v>
      </c>
      <c r="F80" s="9">
        <v>0</v>
      </c>
      <c r="G80" s="10">
        <v>0</v>
      </c>
      <c r="H80" s="9">
        <v>0</v>
      </c>
      <c r="I80" s="9">
        <v>0</v>
      </c>
      <c r="J80" s="9">
        <v>-2466</v>
      </c>
    </row>
    <row r="81" spans="1:10">
      <c r="A81" s="8" t="s">
        <v>32</v>
      </c>
      <c r="B81" s="9">
        <v>-163</v>
      </c>
      <c r="C81" s="9">
        <v>0</v>
      </c>
      <c r="D81" s="9">
        <v>287</v>
      </c>
      <c r="E81" s="9">
        <v>0</v>
      </c>
      <c r="F81" s="9">
        <v>0</v>
      </c>
      <c r="G81" s="10">
        <v>0</v>
      </c>
      <c r="H81" s="9">
        <v>0</v>
      </c>
      <c r="I81" s="9">
        <v>0</v>
      </c>
      <c r="J81" s="9">
        <v>124</v>
      </c>
    </row>
    <row r="82" spans="1:10">
      <c r="A82" s="12" t="s">
        <v>33</v>
      </c>
      <c r="B82" s="13">
        <v>4124</v>
      </c>
      <c r="C82" s="13">
        <v>0</v>
      </c>
      <c r="D82" s="13">
        <v>8684</v>
      </c>
      <c r="E82" s="13">
        <v>0</v>
      </c>
      <c r="F82" s="13">
        <v>861</v>
      </c>
      <c r="G82" s="14">
        <v>1727</v>
      </c>
      <c r="H82" s="13">
        <v>0</v>
      </c>
      <c r="I82" s="13">
        <v>0</v>
      </c>
      <c r="J82" s="13">
        <v>15396</v>
      </c>
    </row>
    <row r="83" spans="1:10">
      <c r="A83" s="8" t="s">
        <v>34</v>
      </c>
      <c r="B83" s="9">
        <v>0</v>
      </c>
      <c r="C83" s="9">
        <v>0</v>
      </c>
      <c r="D83" s="9">
        <v>493</v>
      </c>
      <c r="E83" s="9">
        <v>0</v>
      </c>
      <c r="F83" s="9">
        <v>0</v>
      </c>
      <c r="G83" s="10">
        <v>0</v>
      </c>
      <c r="H83" s="9">
        <v>70</v>
      </c>
      <c r="I83" s="9">
        <v>0</v>
      </c>
      <c r="J83" s="9">
        <v>563</v>
      </c>
    </row>
    <row r="84" spans="1:10">
      <c r="A84" s="8" t="s">
        <v>35</v>
      </c>
      <c r="B84" s="9">
        <v>4124</v>
      </c>
      <c r="C84" s="9">
        <v>0</v>
      </c>
      <c r="D84" s="9">
        <v>1891</v>
      </c>
      <c r="E84" s="9">
        <v>0</v>
      </c>
      <c r="F84" s="9">
        <v>861</v>
      </c>
      <c r="G84" s="10">
        <v>1045</v>
      </c>
      <c r="H84" s="9">
        <v>-3055</v>
      </c>
      <c r="I84" s="9">
        <v>-409</v>
      </c>
      <c r="J84" s="9">
        <v>4456</v>
      </c>
    </row>
    <row r="85" spans="1:10">
      <c r="A85" s="8" t="s">
        <v>36</v>
      </c>
      <c r="B85" s="9">
        <v>0</v>
      </c>
      <c r="C85" s="9">
        <v>0</v>
      </c>
      <c r="D85" s="9">
        <v>0</v>
      </c>
      <c r="E85" s="9">
        <v>0</v>
      </c>
      <c r="F85" s="9">
        <v>0</v>
      </c>
      <c r="G85" s="10">
        <v>0</v>
      </c>
      <c r="H85" s="9">
        <v>0</v>
      </c>
      <c r="I85" s="9">
        <v>0</v>
      </c>
      <c r="J85" s="9">
        <v>0</v>
      </c>
    </row>
    <row r="86" spans="1:10">
      <c r="A86" s="8" t="s">
        <v>37</v>
      </c>
      <c r="B86" s="9">
        <v>0</v>
      </c>
      <c r="C86" s="9">
        <v>0</v>
      </c>
      <c r="D86" s="9">
        <v>0</v>
      </c>
      <c r="E86" s="9">
        <v>0</v>
      </c>
      <c r="F86" s="9">
        <v>0</v>
      </c>
      <c r="G86" s="10">
        <v>0</v>
      </c>
      <c r="H86" s="9">
        <v>0</v>
      </c>
      <c r="I86" s="9">
        <v>0</v>
      </c>
      <c r="J86" s="9">
        <v>0</v>
      </c>
    </row>
    <row r="87" spans="1:10">
      <c r="A87" s="8" t="s">
        <v>38</v>
      </c>
      <c r="B87" s="9">
        <v>0</v>
      </c>
      <c r="C87" s="9">
        <v>0</v>
      </c>
      <c r="D87" s="9">
        <v>0</v>
      </c>
      <c r="E87" s="9">
        <v>0</v>
      </c>
      <c r="F87" s="9">
        <v>0</v>
      </c>
      <c r="G87" s="10">
        <v>0</v>
      </c>
      <c r="H87" s="9">
        <v>35</v>
      </c>
      <c r="I87" s="9">
        <v>0</v>
      </c>
      <c r="J87" s="9">
        <v>35</v>
      </c>
    </row>
    <row r="88" spans="1:10">
      <c r="A88" s="8" t="s">
        <v>39</v>
      </c>
      <c r="B88" s="9">
        <v>0</v>
      </c>
      <c r="C88" s="9">
        <v>0</v>
      </c>
      <c r="D88" s="9">
        <v>0</v>
      </c>
      <c r="E88" s="9">
        <v>0</v>
      </c>
      <c r="F88" s="9">
        <v>0</v>
      </c>
      <c r="G88" s="10">
        <v>0</v>
      </c>
      <c r="H88" s="9">
        <v>227</v>
      </c>
      <c r="I88" s="9">
        <v>30</v>
      </c>
      <c r="J88" s="9">
        <v>257</v>
      </c>
    </row>
    <row r="89" spans="1:10">
      <c r="A89" s="12" t="s">
        <v>40</v>
      </c>
      <c r="B89" s="13">
        <v>4124</v>
      </c>
      <c r="C89" s="13">
        <v>0</v>
      </c>
      <c r="D89" s="13">
        <v>2384</v>
      </c>
      <c r="E89" s="13">
        <v>0</v>
      </c>
      <c r="F89" s="13">
        <v>861</v>
      </c>
      <c r="G89" s="14">
        <v>1045</v>
      </c>
      <c r="H89" s="13">
        <v>-2724</v>
      </c>
      <c r="I89" s="13">
        <v>-379</v>
      </c>
      <c r="J89" s="13">
        <v>5311</v>
      </c>
    </row>
    <row r="90" spans="1:10">
      <c r="A90" s="8" t="s">
        <v>41</v>
      </c>
      <c r="B90" s="9">
        <v>0</v>
      </c>
      <c r="C90" s="9">
        <v>0</v>
      </c>
      <c r="D90" s="9">
        <v>195</v>
      </c>
      <c r="E90" s="9">
        <v>0</v>
      </c>
      <c r="F90" s="9">
        <v>0</v>
      </c>
      <c r="G90" s="10">
        <v>28</v>
      </c>
      <c r="H90" s="9">
        <v>300</v>
      </c>
      <c r="I90" s="9">
        <v>379</v>
      </c>
      <c r="J90" s="9">
        <v>902</v>
      </c>
    </row>
    <row r="91" spans="1:10">
      <c r="A91" s="8" t="s">
        <v>42</v>
      </c>
      <c r="B91" s="9">
        <v>0</v>
      </c>
      <c r="C91" s="9">
        <v>0</v>
      </c>
      <c r="D91" s="9">
        <v>5236</v>
      </c>
      <c r="E91" s="9">
        <v>0</v>
      </c>
      <c r="F91" s="9">
        <v>0</v>
      </c>
      <c r="G91" s="10">
        <v>0</v>
      </c>
      <c r="H91" s="9">
        <v>0</v>
      </c>
      <c r="I91" s="9">
        <v>0</v>
      </c>
      <c r="J91" s="9">
        <v>5236</v>
      </c>
    </row>
    <row r="92" spans="1:10">
      <c r="A92" s="8" t="s">
        <v>43</v>
      </c>
      <c r="B92" s="9">
        <v>0</v>
      </c>
      <c r="C92" s="9">
        <v>0</v>
      </c>
      <c r="D92" s="9">
        <v>145</v>
      </c>
      <c r="E92" s="9">
        <v>0</v>
      </c>
      <c r="F92" s="9">
        <v>0</v>
      </c>
      <c r="G92" s="10">
        <v>610</v>
      </c>
      <c r="H92" s="9">
        <v>1219</v>
      </c>
      <c r="I92" s="9">
        <v>0</v>
      </c>
      <c r="J92" s="9">
        <v>1974</v>
      </c>
    </row>
    <row r="93" spans="1:10">
      <c r="A93" s="8" t="s">
        <v>44</v>
      </c>
      <c r="B93" s="9">
        <v>0</v>
      </c>
      <c r="C93" s="9">
        <v>0</v>
      </c>
      <c r="D93" s="9">
        <v>353</v>
      </c>
      <c r="E93" s="9">
        <v>0</v>
      </c>
      <c r="F93" s="9">
        <v>0</v>
      </c>
      <c r="G93" s="10">
        <v>0</v>
      </c>
      <c r="H93" s="9">
        <v>1185</v>
      </c>
      <c r="I93" s="9">
        <v>0</v>
      </c>
      <c r="J93" s="9">
        <v>1538</v>
      </c>
    </row>
    <row r="94" spans="1:10">
      <c r="A94" s="8" t="s">
        <v>4</v>
      </c>
      <c r="B94" s="9">
        <v>0</v>
      </c>
      <c r="C94" s="9">
        <v>0</v>
      </c>
      <c r="D94" s="9">
        <v>104</v>
      </c>
      <c r="E94" s="9">
        <v>0</v>
      </c>
      <c r="F94" s="9">
        <v>0</v>
      </c>
      <c r="G94" s="10">
        <v>43</v>
      </c>
      <c r="H94" s="9">
        <v>20</v>
      </c>
      <c r="I94" s="9">
        <v>0</v>
      </c>
      <c r="J94" s="9">
        <v>167</v>
      </c>
    </row>
    <row r="95" spans="1:10">
      <c r="A95" s="16" t="s">
        <v>45</v>
      </c>
      <c r="B95" s="17">
        <v>0</v>
      </c>
      <c r="C95" s="17">
        <v>0</v>
      </c>
      <c r="D95" s="17">
        <v>6033</v>
      </c>
      <c r="E95" s="17">
        <v>0</v>
      </c>
      <c r="F95" s="17">
        <v>0</v>
      </c>
      <c r="G95" s="18">
        <v>682</v>
      </c>
      <c r="H95" s="17">
        <v>2724</v>
      </c>
      <c r="I95" s="17">
        <v>379</v>
      </c>
      <c r="J95" s="17">
        <v>9817</v>
      </c>
    </row>
    <row r="96" spans="1:10">
      <c r="A96" s="16" t="s">
        <v>46</v>
      </c>
      <c r="B96" s="17">
        <v>0</v>
      </c>
      <c r="C96" s="17">
        <v>0</v>
      </c>
      <c r="D96" s="17">
        <v>268</v>
      </c>
      <c r="E96" s="17">
        <v>0</v>
      </c>
      <c r="F96" s="17">
        <v>0</v>
      </c>
      <c r="G96" s="18">
        <v>0</v>
      </c>
      <c r="H96" s="17">
        <v>0</v>
      </c>
      <c r="I96" s="17">
        <v>0</v>
      </c>
      <c r="J96" s="17">
        <v>268</v>
      </c>
    </row>
    <row r="97" spans="1:10">
      <c r="A97" s="12" t="s">
        <v>47</v>
      </c>
      <c r="B97" s="13">
        <v>0</v>
      </c>
      <c r="C97" s="13">
        <v>0</v>
      </c>
      <c r="D97" s="13">
        <v>6300</v>
      </c>
      <c r="E97" s="13">
        <v>0</v>
      </c>
      <c r="F97" s="13">
        <v>0</v>
      </c>
      <c r="G97" s="14">
        <v>682</v>
      </c>
      <c r="H97" s="13">
        <v>2724</v>
      </c>
      <c r="I97" s="13">
        <v>379</v>
      </c>
      <c r="J97" s="13">
        <v>10085</v>
      </c>
    </row>
    <row r="98" spans="1:10">
      <c r="A98" s="8" t="s">
        <v>376</v>
      </c>
      <c r="B98" s="8"/>
      <c r="C98" s="8"/>
      <c r="D98" s="8"/>
      <c r="E98" s="8"/>
      <c r="F98" s="8"/>
      <c r="G98" s="247"/>
      <c r="H98" s="8"/>
      <c r="I98" s="8"/>
      <c r="J98" s="8"/>
    </row>
    <row r="99" spans="1:10">
      <c r="A99" s="8"/>
      <c r="B99" s="8"/>
      <c r="C99" s="8"/>
      <c r="D99" s="8"/>
      <c r="E99" s="8"/>
      <c r="F99" s="8"/>
      <c r="G99" s="247"/>
      <c r="H99" s="8"/>
      <c r="I99" s="8"/>
      <c r="J99" s="8"/>
    </row>
    <row r="100" spans="1:10">
      <c r="A100" s="8"/>
      <c r="B100" s="8" t="s">
        <v>379</v>
      </c>
      <c r="C100" s="8"/>
      <c r="D100" s="8"/>
      <c r="E100" s="8"/>
      <c r="F100" s="8"/>
      <c r="G100" s="247"/>
      <c r="H100" s="8"/>
      <c r="I100" s="8"/>
      <c r="J100" s="8"/>
    </row>
    <row r="101" spans="1:10">
      <c r="A101" s="8"/>
      <c r="B101" s="8" t="s">
        <v>374</v>
      </c>
      <c r="C101" s="8"/>
      <c r="D101" s="8"/>
      <c r="E101" s="8"/>
      <c r="F101" s="8"/>
      <c r="G101" s="247"/>
      <c r="H101" s="8"/>
      <c r="I101" s="8"/>
      <c r="J101" s="8"/>
    </row>
    <row r="102" spans="1:10">
      <c r="A102" s="8"/>
      <c r="B102" s="8" t="s">
        <v>375</v>
      </c>
      <c r="C102" s="8"/>
      <c r="D102" s="8"/>
      <c r="E102" s="8"/>
      <c r="F102" s="8"/>
      <c r="G102" s="247"/>
      <c r="H102" s="8"/>
      <c r="I102" s="8"/>
      <c r="J102" s="8"/>
    </row>
    <row r="103" spans="1:10">
      <c r="A103" s="8"/>
      <c r="B103" s="8"/>
      <c r="C103" s="8"/>
      <c r="D103" s="8"/>
      <c r="E103" s="8"/>
      <c r="F103" s="8"/>
      <c r="G103" s="247"/>
      <c r="H103" s="8"/>
      <c r="I103" s="8"/>
      <c r="J103" s="8"/>
    </row>
    <row r="104" spans="1:10" ht="43.2">
      <c r="A104" s="12"/>
      <c r="B104" s="244" t="s">
        <v>14</v>
      </c>
      <c r="C104" s="244" t="s">
        <v>15</v>
      </c>
      <c r="D104" s="244" t="s">
        <v>16</v>
      </c>
      <c r="E104" s="244" t="s">
        <v>17</v>
      </c>
      <c r="F104" s="244" t="s">
        <v>18</v>
      </c>
      <c r="G104" s="245" t="s">
        <v>19</v>
      </c>
      <c r="H104" s="244" t="s">
        <v>20</v>
      </c>
      <c r="I104" s="244" t="s">
        <v>21</v>
      </c>
      <c r="J104" s="244" t="s">
        <v>23</v>
      </c>
    </row>
    <row r="105" spans="1:10">
      <c r="A105" s="8" t="s">
        <v>24</v>
      </c>
      <c r="B105" s="9">
        <v>0</v>
      </c>
      <c r="C105" s="9">
        <v>0</v>
      </c>
      <c r="D105" s="9">
        <v>0</v>
      </c>
      <c r="E105" s="9">
        <v>0</v>
      </c>
      <c r="F105" s="9">
        <v>687</v>
      </c>
      <c r="G105" s="10">
        <v>1906</v>
      </c>
      <c r="H105" s="9">
        <v>0</v>
      </c>
      <c r="I105" s="9">
        <v>0</v>
      </c>
      <c r="J105" s="9">
        <v>2594</v>
      </c>
    </row>
    <row r="106" spans="1:10">
      <c r="A106" s="8" t="s">
        <v>25</v>
      </c>
      <c r="B106" s="9">
        <v>0</v>
      </c>
      <c r="C106" s="9">
        <v>0</v>
      </c>
      <c r="D106" s="9">
        <v>0</v>
      </c>
      <c r="E106" s="9">
        <v>0</v>
      </c>
      <c r="F106" s="9">
        <v>427</v>
      </c>
      <c r="G106" s="10">
        <v>0</v>
      </c>
      <c r="H106" s="9">
        <v>0</v>
      </c>
      <c r="I106" s="9">
        <v>0</v>
      </c>
      <c r="J106" s="9">
        <v>427</v>
      </c>
    </row>
    <row r="107" spans="1:10">
      <c r="A107" s="8" t="s">
        <v>26</v>
      </c>
      <c r="B107" s="9">
        <v>0</v>
      </c>
      <c r="C107" s="9">
        <v>0</v>
      </c>
      <c r="D107" s="9">
        <v>0</v>
      </c>
      <c r="E107" s="9">
        <v>0</v>
      </c>
      <c r="F107" s="9">
        <v>14</v>
      </c>
      <c r="G107" s="10">
        <v>0</v>
      </c>
      <c r="H107" s="9">
        <v>0</v>
      </c>
      <c r="I107" s="9">
        <v>0</v>
      </c>
      <c r="J107" s="9">
        <v>14</v>
      </c>
    </row>
    <row r="108" spans="1:10">
      <c r="A108" s="8" t="s">
        <v>27</v>
      </c>
      <c r="B108" s="9">
        <v>0</v>
      </c>
      <c r="C108" s="9">
        <v>0</v>
      </c>
      <c r="D108" s="9">
        <v>0</v>
      </c>
      <c r="E108" s="9">
        <v>0</v>
      </c>
      <c r="F108" s="9">
        <v>247</v>
      </c>
      <c r="G108" s="10">
        <v>0</v>
      </c>
      <c r="H108" s="9">
        <v>0</v>
      </c>
      <c r="I108" s="9">
        <v>0</v>
      </c>
      <c r="J108" s="9">
        <v>247</v>
      </c>
    </row>
    <row r="109" spans="1:10">
      <c r="A109" s="8" t="s">
        <v>28</v>
      </c>
      <c r="B109" s="9">
        <v>4131</v>
      </c>
      <c r="C109" s="9">
        <v>0</v>
      </c>
      <c r="D109" s="9">
        <v>10425</v>
      </c>
      <c r="E109" s="9">
        <v>0</v>
      </c>
      <c r="F109" s="9">
        <v>0</v>
      </c>
      <c r="G109" s="10">
        <v>0</v>
      </c>
      <c r="H109" s="9">
        <v>0</v>
      </c>
      <c r="I109" s="9">
        <v>0</v>
      </c>
      <c r="J109" s="9">
        <v>14555</v>
      </c>
    </row>
    <row r="110" spans="1:10">
      <c r="A110" s="8" t="s">
        <v>29</v>
      </c>
      <c r="B110" s="9">
        <v>0</v>
      </c>
      <c r="C110" s="9">
        <v>0</v>
      </c>
      <c r="D110" s="9">
        <v>-23</v>
      </c>
      <c r="E110" s="9">
        <v>0</v>
      </c>
      <c r="F110" s="9">
        <v>0</v>
      </c>
      <c r="G110" s="10">
        <v>0</v>
      </c>
      <c r="H110" s="9">
        <v>0</v>
      </c>
      <c r="I110" s="9">
        <v>0</v>
      </c>
      <c r="J110" s="9">
        <v>-23</v>
      </c>
    </row>
    <row r="111" spans="1:10">
      <c r="A111" s="8" t="s">
        <v>30</v>
      </c>
      <c r="B111" s="9">
        <v>0</v>
      </c>
      <c r="C111" s="9">
        <v>0</v>
      </c>
      <c r="D111" s="9">
        <v>-113</v>
      </c>
      <c r="E111" s="9">
        <v>0</v>
      </c>
      <c r="F111" s="9">
        <v>0</v>
      </c>
      <c r="G111" s="10">
        <v>0</v>
      </c>
      <c r="H111" s="9">
        <v>0</v>
      </c>
      <c r="I111" s="9">
        <v>0</v>
      </c>
      <c r="J111" s="9">
        <v>-113</v>
      </c>
    </row>
    <row r="112" spans="1:10">
      <c r="A112" s="8" t="s">
        <v>31</v>
      </c>
      <c r="B112" s="9">
        <v>0</v>
      </c>
      <c r="C112" s="9">
        <v>0</v>
      </c>
      <c r="D112" s="9">
        <v>-2295</v>
      </c>
      <c r="E112" s="9">
        <v>0</v>
      </c>
      <c r="F112" s="9">
        <v>0</v>
      </c>
      <c r="G112" s="10">
        <v>0</v>
      </c>
      <c r="H112" s="9">
        <v>0</v>
      </c>
      <c r="I112" s="9">
        <v>0</v>
      </c>
      <c r="J112" s="9">
        <v>-2295</v>
      </c>
    </row>
    <row r="113" spans="1:10">
      <c r="A113" s="8" t="s">
        <v>32</v>
      </c>
      <c r="B113" s="9">
        <v>209</v>
      </c>
      <c r="C113" s="9">
        <v>0</v>
      </c>
      <c r="D113" s="9">
        <v>-42</v>
      </c>
      <c r="E113" s="9">
        <v>0</v>
      </c>
      <c r="F113" s="9">
        <v>0</v>
      </c>
      <c r="G113" s="10">
        <v>0</v>
      </c>
      <c r="H113" s="9">
        <v>0</v>
      </c>
      <c r="I113" s="9">
        <v>0</v>
      </c>
      <c r="J113" s="9">
        <v>167</v>
      </c>
    </row>
    <row r="114" spans="1:10">
      <c r="A114" s="12" t="s">
        <v>33</v>
      </c>
      <c r="B114" s="13">
        <v>4339</v>
      </c>
      <c r="C114" s="13">
        <v>0</v>
      </c>
      <c r="D114" s="13">
        <v>7952</v>
      </c>
      <c r="E114" s="13">
        <v>0</v>
      </c>
      <c r="F114" s="13">
        <v>687</v>
      </c>
      <c r="G114" s="14">
        <v>1906</v>
      </c>
      <c r="H114" s="13">
        <v>0</v>
      </c>
      <c r="I114" s="13">
        <v>0</v>
      </c>
      <c r="J114" s="13">
        <v>14885</v>
      </c>
    </row>
    <row r="115" spans="1:10">
      <c r="A115" s="8" t="s">
        <v>34</v>
      </c>
      <c r="B115" s="9">
        <v>0</v>
      </c>
      <c r="C115" s="9">
        <v>0</v>
      </c>
      <c r="D115" s="9">
        <v>610</v>
      </c>
      <c r="E115" s="9">
        <v>0</v>
      </c>
      <c r="F115" s="9">
        <v>0</v>
      </c>
      <c r="G115" s="10">
        <v>0</v>
      </c>
      <c r="H115" s="9">
        <v>71</v>
      </c>
      <c r="I115" s="9">
        <v>0</v>
      </c>
      <c r="J115" s="9">
        <v>682</v>
      </c>
    </row>
    <row r="116" spans="1:10">
      <c r="A116" s="8" t="s">
        <v>35</v>
      </c>
      <c r="B116" s="9">
        <v>4339</v>
      </c>
      <c r="C116" s="9">
        <v>0</v>
      </c>
      <c r="D116" s="9">
        <v>2084</v>
      </c>
      <c r="E116" s="9">
        <v>0</v>
      </c>
      <c r="F116" s="9">
        <v>687</v>
      </c>
      <c r="G116" s="10">
        <v>1258</v>
      </c>
      <c r="H116" s="9">
        <v>-2982</v>
      </c>
      <c r="I116" s="9">
        <v>-471</v>
      </c>
      <c r="J116" s="9">
        <v>4915</v>
      </c>
    </row>
    <row r="117" spans="1:10">
      <c r="A117" s="8" t="s">
        <v>36</v>
      </c>
      <c r="B117" s="9">
        <v>0</v>
      </c>
      <c r="C117" s="9">
        <v>0</v>
      </c>
      <c r="D117" s="9">
        <v>0</v>
      </c>
      <c r="E117" s="9">
        <v>0</v>
      </c>
      <c r="F117" s="9">
        <v>0</v>
      </c>
      <c r="G117" s="10">
        <v>0</v>
      </c>
      <c r="H117" s="9">
        <v>0</v>
      </c>
      <c r="I117" s="9">
        <v>0</v>
      </c>
      <c r="J117" s="9">
        <v>0</v>
      </c>
    </row>
    <row r="118" spans="1:10">
      <c r="A118" s="8" t="s">
        <v>37</v>
      </c>
      <c r="B118" s="9">
        <v>0</v>
      </c>
      <c r="C118" s="9">
        <v>0</v>
      </c>
      <c r="D118" s="9">
        <v>0</v>
      </c>
      <c r="E118" s="9">
        <v>0</v>
      </c>
      <c r="F118" s="9">
        <v>0</v>
      </c>
      <c r="G118" s="10">
        <v>0</v>
      </c>
      <c r="H118" s="9">
        <v>0</v>
      </c>
      <c r="I118" s="9">
        <v>0</v>
      </c>
      <c r="J118" s="9">
        <v>0</v>
      </c>
    </row>
    <row r="119" spans="1:10">
      <c r="A119" s="8" t="s">
        <v>38</v>
      </c>
      <c r="B119" s="9">
        <v>0</v>
      </c>
      <c r="C119" s="9">
        <v>0</v>
      </c>
      <c r="D119" s="9">
        <v>0</v>
      </c>
      <c r="E119" s="9">
        <v>0</v>
      </c>
      <c r="F119" s="9">
        <v>0</v>
      </c>
      <c r="G119" s="10">
        <v>0</v>
      </c>
      <c r="H119" s="9">
        <v>11</v>
      </c>
      <c r="I119" s="9">
        <v>0</v>
      </c>
      <c r="J119" s="9">
        <v>11</v>
      </c>
    </row>
    <row r="120" spans="1:10">
      <c r="A120" s="8" t="s">
        <v>39</v>
      </c>
      <c r="B120" s="9">
        <v>0</v>
      </c>
      <c r="C120" s="9">
        <v>0</v>
      </c>
      <c r="D120" s="9">
        <v>0</v>
      </c>
      <c r="E120" s="9">
        <v>0</v>
      </c>
      <c r="F120" s="9">
        <v>0</v>
      </c>
      <c r="G120" s="10">
        <v>0</v>
      </c>
      <c r="H120" s="9">
        <v>244</v>
      </c>
      <c r="I120" s="9">
        <v>36</v>
      </c>
      <c r="J120" s="9">
        <v>280</v>
      </c>
    </row>
    <row r="121" spans="1:10">
      <c r="A121" s="12" t="s">
        <v>40</v>
      </c>
      <c r="B121" s="13">
        <v>4339</v>
      </c>
      <c r="C121" s="13">
        <v>0</v>
      </c>
      <c r="D121" s="13">
        <v>2694</v>
      </c>
      <c r="E121" s="13">
        <v>0</v>
      </c>
      <c r="F121" s="13">
        <v>687</v>
      </c>
      <c r="G121" s="14">
        <v>1258</v>
      </c>
      <c r="H121" s="13">
        <v>-2655</v>
      </c>
      <c r="I121" s="13">
        <v>-436</v>
      </c>
      <c r="J121" s="13">
        <v>5888</v>
      </c>
    </row>
    <row r="122" spans="1:10">
      <c r="A122" s="8" t="s">
        <v>41</v>
      </c>
      <c r="B122" s="9">
        <v>0</v>
      </c>
      <c r="C122" s="9">
        <v>0</v>
      </c>
      <c r="D122" s="9">
        <v>163</v>
      </c>
      <c r="E122" s="9">
        <v>0</v>
      </c>
      <c r="F122" s="9">
        <v>0</v>
      </c>
      <c r="G122" s="10">
        <v>27</v>
      </c>
      <c r="H122" s="9">
        <v>361</v>
      </c>
      <c r="I122" s="9">
        <v>436</v>
      </c>
      <c r="J122" s="9">
        <v>987</v>
      </c>
    </row>
    <row r="123" spans="1:10">
      <c r="A123" s="8" t="s">
        <v>42</v>
      </c>
      <c r="B123" s="9">
        <v>0</v>
      </c>
      <c r="C123" s="9">
        <v>0</v>
      </c>
      <c r="D123" s="9">
        <v>4383</v>
      </c>
      <c r="E123" s="9">
        <v>0</v>
      </c>
      <c r="F123" s="9">
        <v>0</v>
      </c>
      <c r="G123" s="10">
        <v>0</v>
      </c>
      <c r="H123" s="9">
        <v>0</v>
      </c>
      <c r="I123" s="9">
        <v>0</v>
      </c>
      <c r="J123" s="9">
        <v>4383</v>
      </c>
    </row>
    <row r="124" spans="1:10">
      <c r="A124" s="8" t="s">
        <v>43</v>
      </c>
      <c r="B124" s="9">
        <v>0</v>
      </c>
      <c r="C124" s="9">
        <v>0</v>
      </c>
      <c r="D124" s="9">
        <v>121</v>
      </c>
      <c r="E124" s="9">
        <v>0</v>
      </c>
      <c r="F124" s="9">
        <v>0</v>
      </c>
      <c r="G124" s="10">
        <v>578</v>
      </c>
      <c r="H124" s="9">
        <v>1196</v>
      </c>
      <c r="I124" s="9">
        <v>0</v>
      </c>
      <c r="J124" s="9">
        <v>1896</v>
      </c>
    </row>
    <row r="125" spans="1:10">
      <c r="A125" s="8" t="s">
        <v>44</v>
      </c>
      <c r="B125" s="9">
        <v>0</v>
      </c>
      <c r="C125" s="9">
        <v>0</v>
      </c>
      <c r="D125" s="9">
        <v>295</v>
      </c>
      <c r="E125" s="9">
        <v>0</v>
      </c>
      <c r="F125" s="9">
        <v>0</v>
      </c>
      <c r="G125" s="10">
        <v>0</v>
      </c>
      <c r="H125" s="9">
        <v>1076</v>
      </c>
      <c r="I125" s="9">
        <v>0</v>
      </c>
      <c r="J125" s="9">
        <v>1372</v>
      </c>
    </row>
    <row r="126" spans="1:10">
      <c r="A126" s="8" t="s">
        <v>4</v>
      </c>
      <c r="B126" s="9">
        <v>0</v>
      </c>
      <c r="C126" s="9">
        <v>0</v>
      </c>
      <c r="D126" s="9">
        <v>87</v>
      </c>
      <c r="E126" s="9">
        <v>0</v>
      </c>
      <c r="F126" s="9">
        <v>0</v>
      </c>
      <c r="G126" s="10">
        <v>43</v>
      </c>
      <c r="H126" s="9">
        <v>21</v>
      </c>
      <c r="I126" s="9">
        <v>0</v>
      </c>
      <c r="J126" s="9">
        <v>151</v>
      </c>
    </row>
    <row r="127" spans="1:10">
      <c r="A127" s="16" t="s">
        <v>45</v>
      </c>
      <c r="B127" s="17">
        <v>0</v>
      </c>
      <c r="C127" s="17">
        <v>0</v>
      </c>
      <c r="D127" s="17">
        <v>5050</v>
      </c>
      <c r="E127" s="17">
        <v>0</v>
      </c>
      <c r="F127" s="17">
        <v>0</v>
      </c>
      <c r="G127" s="18">
        <v>649</v>
      </c>
      <c r="H127" s="17">
        <v>2655</v>
      </c>
      <c r="I127" s="17">
        <v>436</v>
      </c>
      <c r="J127" s="17">
        <v>8789</v>
      </c>
    </row>
    <row r="128" spans="1:10">
      <c r="A128" s="16" t="s">
        <v>46</v>
      </c>
      <c r="B128" s="17">
        <v>0</v>
      </c>
      <c r="C128" s="17">
        <v>0</v>
      </c>
      <c r="D128" s="17">
        <v>207</v>
      </c>
      <c r="E128" s="17">
        <v>0</v>
      </c>
      <c r="F128" s="17">
        <v>0</v>
      </c>
      <c r="G128" s="18">
        <v>0</v>
      </c>
      <c r="H128" s="17">
        <v>0</v>
      </c>
      <c r="I128" s="17">
        <v>0</v>
      </c>
      <c r="J128" s="17">
        <v>207</v>
      </c>
    </row>
    <row r="129" spans="1:10">
      <c r="A129" s="12" t="s">
        <v>47</v>
      </c>
      <c r="B129" s="13">
        <v>0</v>
      </c>
      <c r="C129" s="13">
        <v>0</v>
      </c>
      <c r="D129" s="13">
        <v>5257</v>
      </c>
      <c r="E129" s="13">
        <v>0</v>
      </c>
      <c r="F129" s="13">
        <v>0</v>
      </c>
      <c r="G129" s="14">
        <v>649</v>
      </c>
      <c r="H129" s="13">
        <v>2655</v>
      </c>
      <c r="I129" s="13">
        <v>436</v>
      </c>
      <c r="J129" s="13">
        <v>8997</v>
      </c>
    </row>
    <row r="130" spans="1:10">
      <c r="A130" s="8" t="s">
        <v>376</v>
      </c>
      <c r="B130" s="8"/>
      <c r="C130" s="8"/>
      <c r="D130" s="8"/>
      <c r="E130" s="8"/>
      <c r="F130" s="8"/>
      <c r="G130" s="247"/>
      <c r="H130" s="8"/>
      <c r="I130" s="8"/>
      <c r="J130" s="8"/>
    </row>
    <row r="131" spans="1:10">
      <c r="A131" s="8"/>
      <c r="B131" s="8"/>
      <c r="C131" s="8"/>
      <c r="D131" s="8"/>
      <c r="E131" s="8"/>
      <c r="F131" s="8"/>
      <c r="G131" s="247"/>
      <c r="H131" s="8"/>
      <c r="I131" s="8"/>
      <c r="J131" s="8"/>
    </row>
    <row r="132" spans="1:10">
      <c r="A132" s="8"/>
      <c r="B132" s="8" t="s">
        <v>380</v>
      </c>
      <c r="C132" s="8"/>
      <c r="D132" s="8"/>
      <c r="E132" s="8"/>
      <c r="F132" s="8"/>
      <c r="G132" s="247"/>
      <c r="H132" s="8"/>
      <c r="I132" s="8"/>
      <c r="J132" s="8"/>
    </row>
    <row r="133" spans="1:10">
      <c r="A133" s="8"/>
      <c r="B133" s="8" t="s">
        <v>374</v>
      </c>
      <c r="C133" s="8"/>
      <c r="D133" s="8"/>
      <c r="E133" s="8"/>
      <c r="F133" s="8"/>
      <c r="G133" s="247"/>
      <c r="H133" s="8"/>
      <c r="I133" s="8"/>
      <c r="J133" s="8"/>
    </row>
    <row r="134" spans="1:10">
      <c r="A134" s="8"/>
      <c r="B134" s="8" t="s">
        <v>375</v>
      </c>
      <c r="C134" s="8"/>
      <c r="D134" s="8"/>
      <c r="E134" s="8"/>
      <c r="F134" s="8"/>
      <c r="G134" s="247"/>
      <c r="H134" s="8"/>
      <c r="I134" s="8"/>
      <c r="J134" s="8"/>
    </row>
    <row r="135" spans="1:10">
      <c r="A135" s="8"/>
      <c r="B135" s="8"/>
      <c r="C135" s="8"/>
      <c r="D135" s="8"/>
      <c r="E135" s="8"/>
      <c r="F135" s="8"/>
      <c r="G135" s="247"/>
      <c r="H135" s="8"/>
      <c r="I135" s="8"/>
      <c r="J135" s="8"/>
    </row>
    <row r="136" spans="1:10" ht="43.2">
      <c r="A136" s="12"/>
      <c r="B136" s="244" t="s">
        <v>14</v>
      </c>
      <c r="C136" s="244" t="s">
        <v>15</v>
      </c>
      <c r="D136" s="244" t="s">
        <v>16</v>
      </c>
      <c r="E136" s="244" t="s">
        <v>17</v>
      </c>
      <c r="F136" s="244" t="s">
        <v>18</v>
      </c>
      <c r="G136" s="245" t="s">
        <v>19</v>
      </c>
      <c r="H136" s="244" t="s">
        <v>20</v>
      </c>
      <c r="I136" s="244" t="s">
        <v>21</v>
      </c>
      <c r="J136" s="244" t="s">
        <v>23</v>
      </c>
    </row>
    <row r="137" spans="1:10">
      <c r="A137" s="8" t="s">
        <v>24</v>
      </c>
      <c r="B137" s="9">
        <v>0</v>
      </c>
      <c r="C137" s="9">
        <v>0</v>
      </c>
      <c r="D137" s="9">
        <v>0</v>
      </c>
      <c r="E137" s="9">
        <v>0</v>
      </c>
      <c r="F137" s="9">
        <v>734</v>
      </c>
      <c r="G137" s="10">
        <v>1857</v>
      </c>
      <c r="H137" s="9">
        <v>0</v>
      </c>
      <c r="I137" s="9">
        <v>0</v>
      </c>
      <c r="J137" s="9">
        <v>2591</v>
      </c>
    </row>
    <row r="138" spans="1:10">
      <c r="A138" s="8" t="s">
        <v>25</v>
      </c>
      <c r="B138" s="9">
        <v>0</v>
      </c>
      <c r="C138" s="9">
        <v>0</v>
      </c>
      <c r="D138" s="9">
        <v>0</v>
      </c>
      <c r="E138" s="9">
        <v>0</v>
      </c>
      <c r="F138" s="9">
        <v>465</v>
      </c>
      <c r="G138" s="10">
        <v>0</v>
      </c>
      <c r="H138" s="9">
        <v>0</v>
      </c>
      <c r="I138" s="9">
        <v>0</v>
      </c>
      <c r="J138" s="9">
        <v>465</v>
      </c>
    </row>
    <row r="139" spans="1:10">
      <c r="A139" s="8" t="s">
        <v>26</v>
      </c>
      <c r="B139" s="9">
        <v>0</v>
      </c>
      <c r="C139" s="9">
        <v>0</v>
      </c>
      <c r="D139" s="9">
        <v>0</v>
      </c>
      <c r="E139" s="9">
        <v>0</v>
      </c>
      <c r="F139" s="9">
        <v>18</v>
      </c>
      <c r="G139" s="10">
        <v>0</v>
      </c>
      <c r="H139" s="9">
        <v>0</v>
      </c>
      <c r="I139" s="9">
        <v>0</v>
      </c>
      <c r="J139" s="9">
        <v>18</v>
      </c>
    </row>
    <row r="140" spans="1:10">
      <c r="A140" s="8" t="s">
        <v>27</v>
      </c>
      <c r="B140" s="9">
        <v>0</v>
      </c>
      <c r="C140" s="9">
        <v>0</v>
      </c>
      <c r="D140" s="9">
        <v>0</v>
      </c>
      <c r="E140" s="9">
        <v>0</v>
      </c>
      <c r="F140" s="9">
        <v>251</v>
      </c>
      <c r="G140" s="10">
        <v>0</v>
      </c>
      <c r="H140" s="9">
        <v>0</v>
      </c>
      <c r="I140" s="9">
        <v>0</v>
      </c>
      <c r="J140" s="9">
        <v>251</v>
      </c>
    </row>
    <row r="141" spans="1:10">
      <c r="A141" s="8" t="s">
        <v>28</v>
      </c>
      <c r="B141" s="9">
        <v>4442</v>
      </c>
      <c r="C141" s="9">
        <v>0</v>
      </c>
      <c r="D141" s="9">
        <v>10643</v>
      </c>
      <c r="E141" s="9">
        <v>0</v>
      </c>
      <c r="F141" s="9">
        <v>0</v>
      </c>
      <c r="G141" s="10">
        <v>0</v>
      </c>
      <c r="H141" s="9">
        <v>0</v>
      </c>
      <c r="I141" s="9">
        <v>0</v>
      </c>
      <c r="J141" s="9">
        <v>15085</v>
      </c>
    </row>
    <row r="142" spans="1:10">
      <c r="A142" s="8" t="s">
        <v>29</v>
      </c>
      <c r="B142" s="9">
        <v>0</v>
      </c>
      <c r="C142" s="9">
        <v>0</v>
      </c>
      <c r="D142" s="9">
        <v>0</v>
      </c>
      <c r="E142" s="9">
        <v>0</v>
      </c>
      <c r="F142" s="9">
        <v>0</v>
      </c>
      <c r="G142" s="10">
        <v>0</v>
      </c>
      <c r="H142" s="9">
        <v>0</v>
      </c>
      <c r="I142" s="9">
        <v>0</v>
      </c>
      <c r="J142" s="9">
        <v>0</v>
      </c>
    </row>
    <row r="143" spans="1:10">
      <c r="A143" s="8" t="s">
        <v>30</v>
      </c>
      <c r="B143" s="9">
        <v>0</v>
      </c>
      <c r="C143" s="9">
        <v>0</v>
      </c>
      <c r="D143" s="9">
        <v>-100</v>
      </c>
      <c r="E143" s="9">
        <v>0</v>
      </c>
      <c r="F143" s="9">
        <v>0</v>
      </c>
      <c r="G143" s="10">
        <v>0</v>
      </c>
      <c r="H143" s="9">
        <v>0</v>
      </c>
      <c r="I143" s="9">
        <v>0</v>
      </c>
      <c r="J143" s="9">
        <v>-100</v>
      </c>
    </row>
    <row r="144" spans="1:10">
      <c r="A144" s="8" t="s">
        <v>31</v>
      </c>
      <c r="B144" s="9">
        <v>0</v>
      </c>
      <c r="C144" s="9">
        <v>0</v>
      </c>
      <c r="D144" s="9">
        <v>-2032</v>
      </c>
      <c r="E144" s="9">
        <v>0</v>
      </c>
      <c r="F144" s="9">
        <v>0</v>
      </c>
      <c r="G144" s="10">
        <v>0</v>
      </c>
      <c r="H144" s="9">
        <v>0</v>
      </c>
      <c r="I144" s="9">
        <v>0</v>
      </c>
      <c r="J144" s="9">
        <v>-2032</v>
      </c>
    </row>
    <row r="145" spans="1:10">
      <c r="A145" s="8" t="s">
        <v>32</v>
      </c>
      <c r="B145" s="9">
        <v>-33</v>
      </c>
      <c r="C145" s="9">
        <v>0</v>
      </c>
      <c r="D145" s="9">
        <v>-78</v>
      </c>
      <c r="E145" s="9">
        <v>0</v>
      </c>
      <c r="F145" s="9">
        <v>0</v>
      </c>
      <c r="G145" s="10">
        <v>0</v>
      </c>
      <c r="H145" s="9">
        <v>0</v>
      </c>
      <c r="I145" s="9">
        <v>0</v>
      </c>
      <c r="J145" s="9">
        <v>-111</v>
      </c>
    </row>
    <row r="146" spans="1:10">
      <c r="A146" s="12" t="s">
        <v>33</v>
      </c>
      <c r="B146" s="13">
        <v>4409</v>
      </c>
      <c r="C146" s="13">
        <v>0</v>
      </c>
      <c r="D146" s="13">
        <v>8433</v>
      </c>
      <c r="E146" s="13">
        <v>0</v>
      </c>
      <c r="F146" s="13">
        <v>734</v>
      </c>
      <c r="G146" s="14">
        <v>1857</v>
      </c>
      <c r="H146" s="13">
        <v>0</v>
      </c>
      <c r="I146" s="13">
        <v>0</v>
      </c>
      <c r="J146" s="13">
        <v>15433</v>
      </c>
    </row>
    <row r="147" spans="1:10">
      <c r="A147" s="8" t="s">
        <v>34</v>
      </c>
      <c r="B147" s="9">
        <v>0</v>
      </c>
      <c r="C147" s="9">
        <v>0</v>
      </c>
      <c r="D147" s="9">
        <v>-33</v>
      </c>
      <c r="E147" s="9">
        <v>0</v>
      </c>
      <c r="F147" s="9">
        <v>0</v>
      </c>
      <c r="G147" s="10">
        <v>0</v>
      </c>
      <c r="H147" s="9">
        <v>154</v>
      </c>
      <c r="I147" s="9">
        <v>0</v>
      </c>
      <c r="J147" s="9">
        <v>122</v>
      </c>
    </row>
    <row r="148" spans="1:10">
      <c r="A148" s="8" t="s">
        <v>35</v>
      </c>
      <c r="B148" s="9">
        <v>4409</v>
      </c>
      <c r="C148" s="9">
        <v>0</v>
      </c>
      <c r="D148" s="9">
        <v>1583</v>
      </c>
      <c r="E148" s="9">
        <v>0</v>
      </c>
      <c r="F148" s="9">
        <v>734</v>
      </c>
      <c r="G148" s="10">
        <v>1250</v>
      </c>
      <c r="H148" s="9">
        <v>-3058</v>
      </c>
      <c r="I148" s="9">
        <v>-471</v>
      </c>
      <c r="J148" s="9">
        <v>4448</v>
      </c>
    </row>
    <row r="149" spans="1:10">
      <c r="A149" s="8" t="s">
        <v>36</v>
      </c>
      <c r="B149" s="9">
        <v>0</v>
      </c>
      <c r="C149" s="9">
        <v>0</v>
      </c>
      <c r="D149" s="9">
        <v>0</v>
      </c>
      <c r="E149" s="9">
        <v>0</v>
      </c>
      <c r="F149" s="9">
        <v>0</v>
      </c>
      <c r="G149" s="10">
        <v>0</v>
      </c>
      <c r="H149" s="9">
        <v>0</v>
      </c>
      <c r="I149" s="9">
        <v>0</v>
      </c>
      <c r="J149" s="9">
        <v>0</v>
      </c>
    </row>
    <row r="150" spans="1:10">
      <c r="A150" s="8" t="s">
        <v>37</v>
      </c>
      <c r="B150" s="9">
        <v>0</v>
      </c>
      <c r="C150" s="9">
        <v>0</v>
      </c>
      <c r="D150" s="9">
        <v>0</v>
      </c>
      <c r="E150" s="9">
        <v>0</v>
      </c>
      <c r="F150" s="9">
        <v>0</v>
      </c>
      <c r="G150" s="10">
        <v>0</v>
      </c>
      <c r="H150" s="9">
        <v>0</v>
      </c>
      <c r="I150" s="9">
        <v>0</v>
      </c>
      <c r="J150" s="9">
        <v>0</v>
      </c>
    </row>
    <row r="151" spans="1:10">
      <c r="A151" s="8" t="s">
        <v>38</v>
      </c>
      <c r="B151" s="9">
        <v>0</v>
      </c>
      <c r="C151" s="9">
        <v>0</v>
      </c>
      <c r="D151" s="9">
        <v>0</v>
      </c>
      <c r="E151" s="9">
        <v>0</v>
      </c>
      <c r="F151" s="9">
        <v>0</v>
      </c>
      <c r="G151" s="10">
        <v>0</v>
      </c>
      <c r="H151" s="9">
        <v>12</v>
      </c>
      <c r="I151" s="9">
        <v>0</v>
      </c>
      <c r="J151" s="9">
        <v>12</v>
      </c>
    </row>
    <row r="152" spans="1:10">
      <c r="A152" s="8" t="s">
        <v>39</v>
      </c>
      <c r="B152" s="9">
        <v>0</v>
      </c>
      <c r="C152" s="9">
        <v>0</v>
      </c>
      <c r="D152" s="9">
        <v>0</v>
      </c>
      <c r="E152" s="9">
        <v>0</v>
      </c>
      <c r="F152" s="9">
        <v>0</v>
      </c>
      <c r="G152" s="10">
        <v>0</v>
      </c>
      <c r="H152" s="9">
        <v>241</v>
      </c>
      <c r="I152" s="9">
        <v>36</v>
      </c>
      <c r="J152" s="9">
        <v>277</v>
      </c>
    </row>
    <row r="153" spans="1:10">
      <c r="A153" s="12" t="s">
        <v>40</v>
      </c>
      <c r="B153" s="13">
        <v>4409</v>
      </c>
      <c r="C153" s="13">
        <v>0</v>
      </c>
      <c r="D153" s="13">
        <v>1551</v>
      </c>
      <c r="E153" s="13">
        <v>0</v>
      </c>
      <c r="F153" s="13">
        <v>734</v>
      </c>
      <c r="G153" s="14">
        <v>1250</v>
      </c>
      <c r="H153" s="13">
        <v>-2650</v>
      </c>
      <c r="I153" s="13">
        <v>-435</v>
      </c>
      <c r="J153" s="13">
        <v>4859</v>
      </c>
    </row>
    <row r="154" spans="1:10">
      <c r="A154" s="8" t="s">
        <v>41</v>
      </c>
      <c r="B154" s="9">
        <v>0</v>
      </c>
      <c r="C154" s="9">
        <v>0</v>
      </c>
      <c r="D154" s="9">
        <v>213</v>
      </c>
      <c r="E154" s="9">
        <v>0</v>
      </c>
      <c r="F154" s="9">
        <v>0</v>
      </c>
      <c r="G154" s="10">
        <v>12</v>
      </c>
      <c r="H154" s="9">
        <v>357</v>
      </c>
      <c r="I154" s="9">
        <v>435</v>
      </c>
      <c r="J154" s="9">
        <v>1018</v>
      </c>
    </row>
    <row r="155" spans="1:10">
      <c r="A155" s="8" t="s">
        <v>42</v>
      </c>
      <c r="B155" s="9">
        <v>0</v>
      </c>
      <c r="C155" s="9">
        <v>0</v>
      </c>
      <c r="D155" s="9">
        <v>5736</v>
      </c>
      <c r="E155" s="9">
        <v>0</v>
      </c>
      <c r="F155" s="9">
        <v>0</v>
      </c>
      <c r="G155" s="10">
        <v>0</v>
      </c>
      <c r="H155" s="9">
        <v>0</v>
      </c>
      <c r="I155" s="9">
        <v>0</v>
      </c>
      <c r="J155" s="9">
        <v>5736</v>
      </c>
    </row>
    <row r="156" spans="1:10">
      <c r="A156" s="8" t="s">
        <v>43</v>
      </c>
      <c r="B156" s="9">
        <v>0</v>
      </c>
      <c r="C156" s="9">
        <v>0</v>
      </c>
      <c r="D156" s="9">
        <v>159</v>
      </c>
      <c r="E156" s="9">
        <v>0</v>
      </c>
      <c r="F156" s="9">
        <v>0</v>
      </c>
      <c r="G156" s="10">
        <v>552</v>
      </c>
      <c r="H156" s="9">
        <v>1233</v>
      </c>
      <c r="I156" s="9">
        <v>0</v>
      </c>
      <c r="J156" s="9">
        <v>1944</v>
      </c>
    </row>
    <row r="157" spans="1:10">
      <c r="A157" s="8" t="s">
        <v>44</v>
      </c>
      <c r="B157" s="9">
        <v>0</v>
      </c>
      <c r="C157" s="9">
        <v>0</v>
      </c>
      <c r="D157" s="9">
        <v>387</v>
      </c>
      <c r="E157" s="9">
        <v>0</v>
      </c>
      <c r="F157" s="9">
        <v>0</v>
      </c>
      <c r="G157" s="10">
        <v>0</v>
      </c>
      <c r="H157" s="9">
        <v>1038</v>
      </c>
      <c r="I157" s="9">
        <v>0</v>
      </c>
      <c r="J157" s="9">
        <v>1425</v>
      </c>
    </row>
    <row r="158" spans="1:10">
      <c r="A158" s="8" t="s">
        <v>4</v>
      </c>
      <c r="B158" s="9">
        <v>0</v>
      </c>
      <c r="C158" s="9">
        <v>0</v>
      </c>
      <c r="D158" s="9">
        <v>114</v>
      </c>
      <c r="E158" s="9">
        <v>0</v>
      </c>
      <c r="F158" s="9">
        <v>0</v>
      </c>
      <c r="G158" s="10">
        <v>42</v>
      </c>
      <c r="H158" s="9">
        <v>22</v>
      </c>
      <c r="I158" s="9">
        <v>0</v>
      </c>
      <c r="J158" s="9">
        <v>178</v>
      </c>
    </row>
    <row r="159" spans="1:10">
      <c r="A159" s="16" t="s">
        <v>45</v>
      </c>
      <c r="B159" s="17">
        <v>0</v>
      </c>
      <c r="C159" s="17">
        <v>0</v>
      </c>
      <c r="D159" s="17">
        <v>6608</v>
      </c>
      <c r="E159" s="17">
        <v>0</v>
      </c>
      <c r="F159" s="17">
        <v>0</v>
      </c>
      <c r="G159" s="18">
        <v>607</v>
      </c>
      <c r="H159" s="17">
        <v>2650</v>
      </c>
      <c r="I159" s="17">
        <v>435</v>
      </c>
      <c r="J159" s="17">
        <v>10300</v>
      </c>
    </row>
    <row r="160" spans="1:10">
      <c r="A160" s="16" t="s">
        <v>46</v>
      </c>
      <c r="B160" s="17">
        <v>0</v>
      </c>
      <c r="C160" s="17">
        <v>0</v>
      </c>
      <c r="D160" s="17">
        <v>274</v>
      </c>
      <c r="E160" s="17">
        <v>0</v>
      </c>
      <c r="F160" s="17">
        <v>0</v>
      </c>
      <c r="G160" s="18">
        <v>0</v>
      </c>
      <c r="H160" s="17">
        <v>0</v>
      </c>
      <c r="I160" s="17">
        <v>0</v>
      </c>
      <c r="J160" s="17">
        <v>274</v>
      </c>
    </row>
    <row r="161" spans="1:10">
      <c r="A161" s="12" t="s">
        <v>47</v>
      </c>
      <c r="B161" s="13">
        <v>0</v>
      </c>
      <c r="C161" s="13">
        <v>0</v>
      </c>
      <c r="D161" s="13">
        <v>6882</v>
      </c>
      <c r="E161" s="13">
        <v>0</v>
      </c>
      <c r="F161" s="13">
        <v>0</v>
      </c>
      <c r="G161" s="14">
        <v>607</v>
      </c>
      <c r="H161" s="13">
        <v>2650</v>
      </c>
      <c r="I161" s="13">
        <v>435</v>
      </c>
      <c r="J161" s="13">
        <v>10574</v>
      </c>
    </row>
    <row r="162" spans="1:10">
      <c r="A162" s="8" t="s">
        <v>376</v>
      </c>
      <c r="B162" s="8"/>
      <c r="C162" s="8"/>
      <c r="D162" s="8"/>
      <c r="E162" s="8"/>
      <c r="F162" s="8"/>
      <c r="G162" s="247"/>
      <c r="H162" s="8"/>
      <c r="I162" s="8"/>
      <c r="J162" s="8"/>
    </row>
    <row r="163" spans="1:10">
      <c r="A163" s="8"/>
      <c r="B163" s="8"/>
      <c r="C163" s="8"/>
      <c r="D163" s="8"/>
      <c r="E163" s="8"/>
      <c r="F163" s="8"/>
      <c r="G163" s="247"/>
      <c r="H163" s="8"/>
      <c r="I163" s="8"/>
      <c r="J163" s="8"/>
    </row>
    <row r="164" spans="1:10">
      <c r="A164" s="8"/>
      <c r="B164" s="8" t="s">
        <v>381</v>
      </c>
      <c r="C164" s="8"/>
      <c r="D164" s="8"/>
      <c r="E164" s="8"/>
      <c r="F164" s="8"/>
      <c r="G164" s="247"/>
      <c r="H164" s="8"/>
      <c r="I164" s="8"/>
      <c r="J164" s="8"/>
    </row>
    <row r="165" spans="1:10">
      <c r="A165" s="8"/>
      <c r="B165" s="8" t="s">
        <v>374</v>
      </c>
      <c r="C165" s="8"/>
      <c r="D165" s="8"/>
      <c r="E165" s="8"/>
      <c r="F165" s="8"/>
      <c r="G165" s="247"/>
      <c r="H165" s="8"/>
      <c r="I165" s="8"/>
      <c r="J165" s="8"/>
    </row>
    <row r="166" spans="1:10">
      <c r="A166" s="8"/>
      <c r="B166" s="8" t="s">
        <v>375</v>
      </c>
      <c r="C166" s="8"/>
      <c r="D166" s="8"/>
      <c r="E166" s="8"/>
      <c r="F166" s="8"/>
      <c r="G166" s="247"/>
      <c r="H166" s="8"/>
      <c r="I166" s="8"/>
      <c r="J166" s="8"/>
    </row>
    <row r="167" spans="1:10">
      <c r="A167" s="8"/>
      <c r="B167" s="8"/>
      <c r="C167" s="8"/>
      <c r="D167" s="8"/>
      <c r="E167" s="8"/>
      <c r="F167" s="8"/>
      <c r="G167" s="247"/>
      <c r="H167" s="8"/>
      <c r="I167" s="8"/>
      <c r="J167" s="8"/>
    </row>
    <row r="168" spans="1:10" ht="43.2">
      <c r="A168" s="12"/>
      <c r="B168" s="244" t="s">
        <v>14</v>
      </c>
      <c r="C168" s="244" t="s">
        <v>15</v>
      </c>
      <c r="D168" s="244" t="s">
        <v>16</v>
      </c>
      <c r="E168" s="244" t="s">
        <v>17</v>
      </c>
      <c r="F168" s="244" t="s">
        <v>18</v>
      </c>
      <c r="G168" s="245" t="s">
        <v>19</v>
      </c>
      <c r="H168" s="244" t="s">
        <v>20</v>
      </c>
      <c r="I168" s="244" t="s">
        <v>21</v>
      </c>
      <c r="J168" s="244" t="s">
        <v>23</v>
      </c>
    </row>
    <row r="169" spans="1:10">
      <c r="A169" s="8" t="s">
        <v>24</v>
      </c>
      <c r="B169" s="9">
        <v>0</v>
      </c>
      <c r="C169" s="9">
        <v>0</v>
      </c>
      <c r="D169" s="9">
        <v>0</v>
      </c>
      <c r="E169" s="9">
        <v>0</v>
      </c>
      <c r="F169" s="9">
        <v>749</v>
      </c>
      <c r="G169" s="10">
        <v>1938</v>
      </c>
      <c r="H169" s="9">
        <v>0</v>
      </c>
      <c r="I169" s="9">
        <v>0</v>
      </c>
      <c r="J169" s="9">
        <v>2687</v>
      </c>
    </row>
    <row r="170" spans="1:10">
      <c r="A170" s="8" t="s">
        <v>25</v>
      </c>
      <c r="B170" s="9">
        <v>0</v>
      </c>
      <c r="C170" s="9">
        <v>0</v>
      </c>
      <c r="D170" s="9">
        <v>0</v>
      </c>
      <c r="E170" s="9">
        <v>0</v>
      </c>
      <c r="F170" s="9">
        <v>495</v>
      </c>
      <c r="G170" s="10">
        <v>0</v>
      </c>
      <c r="H170" s="9">
        <v>0</v>
      </c>
      <c r="I170" s="9">
        <v>0</v>
      </c>
      <c r="J170" s="9">
        <v>495</v>
      </c>
    </row>
    <row r="171" spans="1:10">
      <c r="A171" s="8" t="s">
        <v>26</v>
      </c>
      <c r="B171" s="9">
        <v>0</v>
      </c>
      <c r="C171" s="9">
        <v>0</v>
      </c>
      <c r="D171" s="9">
        <v>0</v>
      </c>
      <c r="E171" s="9">
        <v>0</v>
      </c>
      <c r="F171" s="9">
        <v>16</v>
      </c>
      <c r="G171" s="10">
        <v>0</v>
      </c>
      <c r="H171" s="9">
        <v>0</v>
      </c>
      <c r="I171" s="9">
        <v>0</v>
      </c>
      <c r="J171" s="9">
        <v>16</v>
      </c>
    </row>
    <row r="172" spans="1:10">
      <c r="A172" s="8" t="s">
        <v>27</v>
      </c>
      <c r="B172" s="9">
        <v>0</v>
      </c>
      <c r="C172" s="9">
        <v>0</v>
      </c>
      <c r="D172" s="9">
        <v>0</v>
      </c>
      <c r="E172" s="9">
        <v>0</v>
      </c>
      <c r="F172" s="9">
        <v>238</v>
      </c>
      <c r="G172" s="10">
        <v>0</v>
      </c>
      <c r="H172" s="9">
        <v>0</v>
      </c>
      <c r="I172" s="9">
        <v>0</v>
      </c>
      <c r="J172" s="9">
        <v>238</v>
      </c>
    </row>
    <row r="173" spans="1:10">
      <c r="A173" s="8" t="s">
        <v>28</v>
      </c>
      <c r="B173" s="9">
        <v>4782</v>
      </c>
      <c r="C173" s="9">
        <v>0</v>
      </c>
      <c r="D173" s="9">
        <v>10188</v>
      </c>
      <c r="E173" s="9">
        <v>0</v>
      </c>
      <c r="F173" s="9">
        <v>0</v>
      </c>
      <c r="G173" s="10">
        <v>0</v>
      </c>
      <c r="H173" s="9">
        <v>0</v>
      </c>
      <c r="I173" s="9">
        <v>0</v>
      </c>
      <c r="J173" s="9">
        <v>14970</v>
      </c>
    </row>
    <row r="174" spans="1:10">
      <c r="A174" s="8" t="s">
        <v>29</v>
      </c>
      <c r="B174" s="9">
        <v>0</v>
      </c>
      <c r="C174" s="9">
        <v>0</v>
      </c>
      <c r="D174" s="9">
        <v>0</v>
      </c>
      <c r="E174" s="9">
        <v>0</v>
      </c>
      <c r="F174" s="9">
        <v>0</v>
      </c>
      <c r="G174" s="10">
        <v>0</v>
      </c>
      <c r="H174" s="9">
        <v>0</v>
      </c>
      <c r="I174" s="9">
        <v>0</v>
      </c>
      <c r="J174" s="9">
        <v>0</v>
      </c>
    </row>
    <row r="175" spans="1:10">
      <c r="A175" s="8" t="s">
        <v>30</v>
      </c>
      <c r="B175" s="9">
        <v>0</v>
      </c>
      <c r="C175" s="9">
        <v>0</v>
      </c>
      <c r="D175" s="9">
        <v>-97</v>
      </c>
      <c r="E175" s="9">
        <v>0</v>
      </c>
      <c r="F175" s="9">
        <v>0</v>
      </c>
      <c r="G175" s="10">
        <v>0</v>
      </c>
      <c r="H175" s="9">
        <v>0</v>
      </c>
      <c r="I175" s="9">
        <v>0</v>
      </c>
      <c r="J175" s="9">
        <v>-97</v>
      </c>
    </row>
    <row r="176" spans="1:10">
      <c r="A176" s="8" t="s">
        <v>31</v>
      </c>
      <c r="B176" s="9">
        <v>0</v>
      </c>
      <c r="C176" s="9">
        <v>0</v>
      </c>
      <c r="D176" s="9">
        <v>-1967</v>
      </c>
      <c r="E176" s="9">
        <v>0</v>
      </c>
      <c r="F176" s="9">
        <v>0</v>
      </c>
      <c r="G176" s="10">
        <v>0</v>
      </c>
      <c r="H176" s="9">
        <v>0</v>
      </c>
      <c r="I176" s="9">
        <v>0</v>
      </c>
      <c r="J176" s="9">
        <v>-1967</v>
      </c>
    </row>
    <row r="177" spans="1:10">
      <c r="A177" s="8" t="s">
        <v>32</v>
      </c>
      <c r="B177" s="9">
        <v>-267</v>
      </c>
      <c r="C177" s="9">
        <v>0</v>
      </c>
      <c r="D177" s="9">
        <v>-72</v>
      </c>
      <c r="E177" s="9">
        <v>0</v>
      </c>
      <c r="F177" s="9">
        <v>0</v>
      </c>
      <c r="G177" s="10">
        <v>0</v>
      </c>
      <c r="H177" s="9">
        <v>0</v>
      </c>
      <c r="I177" s="9">
        <v>0</v>
      </c>
      <c r="J177" s="9">
        <v>-339</v>
      </c>
    </row>
    <row r="178" spans="1:10">
      <c r="A178" s="12" t="s">
        <v>33</v>
      </c>
      <c r="B178" s="13">
        <v>4515</v>
      </c>
      <c r="C178" s="13">
        <v>0</v>
      </c>
      <c r="D178" s="13">
        <v>8052</v>
      </c>
      <c r="E178" s="13">
        <v>0</v>
      </c>
      <c r="F178" s="13">
        <v>749</v>
      </c>
      <c r="G178" s="14">
        <v>1938</v>
      </c>
      <c r="H178" s="13">
        <v>0</v>
      </c>
      <c r="I178" s="13">
        <v>0</v>
      </c>
      <c r="J178" s="13">
        <v>15253</v>
      </c>
    </row>
    <row r="179" spans="1:10">
      <c r="A179" s="8" t="s">
        <v>34</v>
      </c>
      <c r="B179" s="9">
        <v>0</v>
      </c>
      <c r="C179" s="9">
        <v>0</v>
      </c>
      <c r="D179" s="9">
        <v>-19</v>
      </c>
      <c r="E179" s="9">
        <v>0</v>
      </c>
      <c r="F179" s="9">
        <v>0</v>
      </c>
      <c r="G179" s="10">
        <v>0</v>
      </c>
      <c r="H179" s="9">
        <v>-3</v>
      </c>
      <c r="I179" s="9">
        <v>0</v>
      </c>
      <c r="J179" s="9">
        <v>-22</v>
      </c>
    </row>
    <row r="180" spans="1:10">
      <c r="A180" s="8" t="s">
        <v>35</v>
      </c>
      <c r="B180" s="9">
        <v>4515</v>
      </c>
      <c r="C180" s="9">
        <v>0</v>
      </c>
      <c r="D180" s="9">
        <v>1554</v>
      </c>
      <c r="E180" s="9">
        <v>0</v>
      </c>
      <c r="F180" s="9">
        <v>749</v>
      </c>
      <c r="G180" s="10">
        <v>1353</v>
      </c>
      <c r="H180" s="9">
        <v>-2898</v>
      </c>
      <c r="I180" s="9">
        <v>-497</v>
      </c>
      <c r="J180" s="9">
        <v>4776</v>
      </c>
    </row>
    <row r="181" spans="1:10">
      <c r="A181" s="8" t="s">
        <v>36</v>
      </c>
      <c r="B181" s="9">
        <v>0</v>
      </c>
      <c r="C181" s="9">
        <v>0</v>
      </c>
      <c r="D181" s="9">
        <v>0</v>
      </c>
      <c r="E181" s="9">
        <v>0</v>
      </c>
      <c r="F181" s="9">
        <v>0</v>
      </c>
      <c r="G181" s="10">
        <v>0</v>
      </c>
      <c r="H181" s="9">
        <v>0</v>
      </c>
      <c r="I181" s="9">
        <v>0</v>
      </c>
      <c r="J181" s="9">
        <v>0</v>
      </c>
    </row>
    <row r="182" spans="1:10">
      <c r="A182" s="8" t="s">
        <v>37</v>
      </c>
      <c r="B182" s="9">
        <v>0</v>
      </c>
      <c r="C182" s="9">
        <v>0</v>
      </c>
      <c r="D182" s="9">
        <v>0</v>
      </c>
      <c r="E182" s="9">
        <v>0</v>
      </c>
      <c r="F182" s="9">
        <v>0</v>
      </c>
      <c r="G182" s="10">
        <v>0</v>
      </c>
      <c r="H182" s="9">
        <v>0</v>
      </c>
      <c r="I182" s="9">
        <v>0</v>
      </c>
      <c r="J182" s="9">
        <v>0</v>
      </c>
    </row>
    <row r="183" spans="1:10">
      <c r="A183" s="8" t="s">
        <v>38</v>
      </c>
      <c r="B183" s="9">
        <v>0</v>
      </c>
      <c r="C183" s="9">
        <v>0</v>
      </c>
      <c r="D183" s="9">
        <v>0</v>
      </c>
      <c r="E183" s="9">
        <v>0</v>
      </c>
      <c r="F183" s="9">
        <v>0</v>
      </c>
      <c r="G183" s="10">
        <v>0</v>
      </c>
      <c r="H183" s="9">
        <v>19</v>
      </c>
      <c r="I183" s="9">
        <v>0</v>
      </c>
      <c r="J183" s="9">
        <v>19</v>
      </c>
    </row>
    <row r="184" spans="1:10">
      <c r="A184" s="8" t="s">
        <v>39</v>
      </c>
      <c r="B184" s="9">
        <v>0</v>
      </c>
      <c r="C184" s="9">
        <v>0</v>
      </c>
      <c r="D184" s="9">
        <v>0</v>
      </c>
      <c r="E184" s="9">
        <v>0</v>
      </c>
      <c r="F184" s="9">
        <v>0</v>
      </c>
      <c r="G184" s="10">
        <v>0</v>
      </c>
      <c r="H184" s="9">
        <v>263</v>
      </c>
      <c r="I184" s="9">
        <v>36</v>
      </c>
      <c r="J184" s="9">
        <v>299</v>
      </c>
    </row>
    <row r="185" spans="1:10">
      <c r="A185" s="12" t="s">
        <v>40</v>
      </c>
      <c r="B185" s="13">
        <v>4515</v>
      </c>
      <c r="C185" s="13">
        <v>0</v>
      </c>
      <c r="D185" s="13">
        <v>1535</v>
      </c>
      <c r="E185" s="13">
        <v>0</v>
      </c>
      <c r="F185" s="13">
        <v>749</v>
      </c>
      <c r="G185" s="14">
        <v>1353</v>
      </c>
      <c r="H185" s="13">
        <v>-2619</v>
      </c>
      <c r="I185" s="13">
        <v>-461</v>
      </c>
      <c r="J185" s="13">
        <v>5072</v>
      </c>
    </row>
    <row r="186" spans="1:10">
      <c r="A186" s="8" t="s">
        <v>41</v>
      </c>
      <c r="B186" s="9">
        <v>0</v>
      </c>
      <c r="C186" s="9">
        <v>0</v>
      </c>
      <c r="D186" s="9">
        <v>202</v>
      </c>
      <c r="E186" s="9">
        <v>0</v>
      </c>
      <c r="F186" s="9">
        <v>0</v>
      </c>
      <c r="G186" s="10">
        <v>12</v>
      </c>
      <c r="H186" s="9">
        <v>351</v>
      </c>
      <c r="I186" s="9">
        <v>461</v>
      </c>
      <c r="J186" s="9">
        <v>1026</v>
      </c>
    </row>
    <row r="187" spans="1:10">
      <c r="A187" s="8" t="s">
        <v>42</v>
      </c>
      <c r="B187" s="9">
        <v>0</v>
      </c>
      <c r="C187" s="9">
        <v>0</v>
      </c>
      <c r="D187" s="9">
        <v>5436</v>
      </c>
      <c r="E187" s="9">
        <v>0</v>
      </c>
      <c r="F187" s="9">
        <v>0</v>
      </c>
      <c r="G187" s="10">
        <v>0</v>
      </c>
      <c r="H187" s="9">
        <v>0</v>
      </c>
      <c r="I187" s="9">
        <v>0</v>
      </c>
      <c r="J187" s="9">
        <v>5436</v>
      </c>
    </row>
    <row r="188" spans="1:10">
      <c r="A188" s="8" t="s">
        <v>43</v>
      </c>
      <c r="B188" s="9">
        <v>0</v>
      </c>
      <c r="C188" s="9">
        <v>0</v>
      </c>
      <c r="D188" s="9">
        <v>150</v>
      </c>
      <c r="E188" s="9">
        <v>0</v>
      </c>
      <c r="F188" s="9">
        <v>0</v>
      </c>
      <c r="G188" s="10">
        <v>531</v>
      </c>
      <c r="H188" s="9">
        <v>1099</v>
      </c>
      <c r="I188" s="9">
        <v>0</v>
      </c>
      <c r="J188" s="9">
        <v>1780</v>
      </c>
    </row>
    <row r="189" spans="1:10">
      <c r="A189" s="8" t="s">
        <v>44</v>
      </c>
      <c r="B189" s="9">
        <v>0</v>
      </c>
      <c r="C189" s="9">
        <v>0</v>
      </c>
      <c r="D189" s="9">
        <v>366</v>
      </c>
      <c r="E189" s="9">
        <v>0</v>
      </c>
      <c r="F189" s="9">
        <v>0</v>
      </c>
      <c r="G189" s="10">
        <v>0</v>
      </c>
      <c r="H189" s="9">
        <v>1148</v>
      </c>
      <c r="I189" s="9">
        <v>0</v>
      </c>
      <c r="J189" s="9">
        <v>1515</v>
      </c>
    </row>
    <row r="190" spans="1:10">
      <c r="A190" s="8" t="s">
        <v>4</v>
      </c>
      <c r="B190" s="9">
        <v>0</v>
      </c>
      <c r="C190" s="9">
        <v>0</v>
      </c>
      <c r="D190" s="9">
        <v>108</v>
      </c>
      <c r="E190" s="9">
        <v>0</v>
      </c>
      <c r="F190" s="9">
        <v>0</v>
      </c>
      <c r="G190" s="10">
        <v>42</v>
      </c>
      <c r="H190" s="9">
        <v>21</v>
      </c>
      <c r="I190" s="9">
        <v>0</v>
      </c>
      <c r="J190" s="9">
        <v>171</v>
      </c>
    </row>
    <row r="191" spans="1:10">
      <c r="A191" s="16" t="s">
        <v>45</v>
      </c>
      <c r="B191" s="17">
        <v>0</v>
      </c>
      <c r="C191" s="17">
        <v>0</v>
      </c>
      <c r="D191" s="17">
        <v>6263</v>
      </c>
      <c r="E191" s="17">
        <v>0</v>
      </c>
      <c r="F191" s="17">
        <v>0</v>
      </c>
      <c r="G191" s="18">
        <v>585</v>
      </c>
      <c r="H191" s="17">
        <v>2619</v>
      </c>
      <c r="I191" s="17">
        <v>461</v>
      </c>
      <c r="J191" s="17">
        <v>9927</v>
      </c>
    </row>
    <row r="192" spans="1:10">
      <c r="A192" s="16" t="s">
        <v>46</v>
      </c>
      <c r="B192" s="17">
        <v>0</v>
      </c>
      <c r="C192" s="17">
        <v>0</v>
      </c>
      <c r="D192" s="17">
        <v>253</v>
      </c>
      <c r="E192" s="17">
        <v>0</v>
      </c>
      <c r="F192" s="17">
        <v>0</v>
      </c>
      <c r="G192" s="18">
        <v>0</v>
      </c>
      <c r="H192" s="17">
        <v>0</v>
      </c>
      <c r="I192" s="17">
        <v>0</v>
      </c>
      <c r="J192" s="17">
        <v>253</v>
      </c>
    </row>
    <row r="193" spans="1:10">
      <c r="A193" s="12" t="s">
        <v>47</v>
      </c>
      <c r="B193" s="13">
        <v>0</v>
      </c>
      <c r="C193" s="13">
        <v>0</v>
      </c>
      <c r="D193" s="13">
        <v>6516</v>
      </c>
      <c r="E193" s="13">
        <v>0</v>
      </c>
      <c r="F193" s="13">
        <v>0</v>
      </c>
      <c r="G193" s="14">
        <v>585</v>
      </c>
      <c r="H193" s="13">
        <v>2619</v>
      </c>
      <c r="I193" s="13">
        <v>461</v>
      </c>
      <c r="J193" s="13">
        <v>10181</v>
      </c>
    </row>
    <row r="194" spans="1:10">
      <c r="A194" s="8" t="s">
        <v>376</v>
      </c>
      <c r="B194" s="8"/>
      <c r="C194" s="8"/>
      <c r="D194" s="8"/>
      <c r="E194" s="8"/>
      <c r="F194" s="8"/>
      <c r="G194" s="247"/>
      <c r="H194" s="8"/>
      <c r="I194" s="8"/>
      <c r="J194" s="8"/>
    </row>
    <row r="195" spans="1:10">
      <c r="A195" s="8"/>
      <c r="B195" s="8"/>
      <c r="C195" s="8"/>
      <c r="D195" s="8"/>
      <c r="E195" s="8"/>
      <c r="F195" s="8"/>
      <c r="G195" s="247"/>
      <c r="H195" s="8"/>
      <c r="I195" s="8"/>
      <c r="J195" s="8"/>
    </row>
    <row r="196" spans="1:10">
      <c r="A196" s="8"/>
      <c r="B196" s="8" t="s">
        <v>382</v>
      </c>
      <c r="C196" s="8"/>
      <c r="D196" s="8"/>
      <c r="E196" s="8"/>
      <c r="F196" s="8"/>
      <c r="G196" s="247"/>
      <c r="H196" s="8"/>
      <c r="I196" s="8"/>
      <c r="J196" s="8"/>
    </row>
    <row r="197" spans="1:10">
      <c r="A197" s="8"/>
      <c r="B197" s="8" t="s">
        <v>374</v>
      </c>
      <c r="C197" s="8"/>
      <c r="D197" s="8"/>
      <c r="E197" s="8"/>
      <c r="F197" s="8"/>
      <c r="G197" s="247"/>
      <c r="H197" s="8"/>
      <c r="I197" s="8"/>
      <c r="J197" s="8"/>
    </row>
    <row r="198" spans="1:10">
      <c r="A198" s="8"/>
      <c r="B198" s="8" t="s">
        <v>375</v>
      </c>
      <c r="C198" s="8"/>
      <c r="D198" s="8"/>
      <c r="E198" s="8"/>
      <c r="F198" s="8"/>
      <c r="G198" s="247"/>
      <c r="H198" s="8"/>
      <c r="I198" s="8"/>
      <c r="J198" s="8"/>
    </row>
    <row r="199" spans="1:10">
      <c r="A199" s="8"/>
      <c r="B199" s="8"/>
      <c r="C199" s="8"/>
      <c r="D199" s="8"/>
      <c r="E199" s="8"/>
      <c r="F199" s="8"/>
      <c r="G199" s="247"/>
      <c r="H199" s="8"/>
      <c r="I199" s="8"/>
      <c r="J199" s="8"/>
    </row>
    <row r="200" spans="1:10" ht="43.2">
      <c r="A200" s="12"/>
      <c r="B200" s="244" t="s">
        <v>14</v>
      </c>
      <c r="C200" s="244" t="s">
        <v>15</v>
      </c>
      <c r="D200" s="244" t="s">
        <v>16</v>
      </c>
      <c r="E200" s="244" t="s">
        <v>17</v>
      </c>
      <c r="F200" s="244" t="s">
        <v>18</v>
      </c>
      <c r="G200" s="245" t="s">
        <v>19</v>
      </c>
      <c r="H200" s="244" t="s">
        <v>20</v>
      </c>
      <c r="I200" s="244" t="s">
        <v>21</v>
      </c>
      <c r="J200" s="244" t="s">
        <v>23</v>
      </c>
    </row>
    <row r="201" spans="1:10">
      <c r="A201" s="8" t="s">
        <v>24</v>
      </c>
      <c r="B201" s="9">
        <v>0</v>
      </c>
      <c r="C201" s="9">
        <v>0</v>
      </c>
      <c r="D201" s="9">
        <v>0</v>
      </c>
      <c r="E201" s="9">
        <v>0</v>
      </c>
      <c r="F201" s="9">
        <v>674</v>
      </c>
      <c r="G201" s="10">
        <v>1798</v>
      </c>
      <c r="H201" s="9">
        <v>0</v>
      </c>
      <c r="I201" s="9">
        <v>0</v>
      </c>
      <c r="J201" s="9">
        <v>2472</v>
      </c>
    </row>
    <row r="202" spans="1:10">
      <c r="A202" s="8" t="s">
        <v>25</v>
      </c>
      <c r="B202" s="9">
        <v>0</v>
      </c>
      <c r="C202" s="9">
        <v>0</v>
      </c>
      <c r="D202" s="9">
        <v>0</v>
      </c>
      <c r="E202" s="9">
        <v>0</v>
      </c>
      <c r="F202" s="9">
        <v>430</v>
      </c>
      <c r="G202" s="10">
        <v>0</v>
      </c>
      <c r="H202" s="9">
        <v>0</v>
      </c>
      <c r="I202" s="9">
        <v>0</v>
      </c>
      <c r="J202" s="9">
        <v>430</v>
      </c>
    </row>
    <row r="203" spans="1:10">
      <c r="A203" s="8" t="s">
        <v>26</v>
      </c>
      <c r="B203" s="9">
        <v>0</v>
      </c>
      <c r="C203" s="9">
        <v>0</v>
      </c>
      <c r="D203" s="9">
        <v>0</v>
      </c>
      <c r="E203" s="9">
        <v>0</v>
      </c>
      <c r="F203" s="9">
        <v>16</v>
      </c>
      <c r="G203" s="10">
        <v>0</v>
      </c>
      <c r="H203" s="9">
        <v>0</v>
      </c>
      <c r="I203" s="9">
        <v>0</v>
      </c>
      <c r="J203" s="9">
        <v>16</v>
      </c>
    </row>
    <row r="204" spans="1:10">
      <c r="A204" s="8" t="s">
        <v>27</v>
      </c>
      <c r="B204" s="9">
        <v>0</v>
      </c>
      <c r="C204" s="9">
        <v>0</v>
      </c>
      <c r="D204" s="9">
        <v>0</v>
      </c>
      <c r="E204" s="9">
        <v>0</v>
      </c>
      <c r="F204" s="9">
        <v>228</v>
      </c>
      <c r="G204" s="10">
        <v>0</v>
      </c>
      <c r="H204" s="9">
        <v>0</v>
      </c>
      <c r="I204" s="9">
        <v>0</v>
      </c>
      <c r="J204" s="9">
        <v>228</v>
      </c>
    </row>
    <row r="205" spans="1:10">
      <c r="A205" s="8" t="s">
        <v>28</v>
      </c>
      <c r="B205" s="9">
        <v>4576</v>
      </c>
      <c r="C205" s="9">
        <v>0</v>
      </c>
      <c r="D205" s="9">
        <v>9661</v>
      </c>
      <c r="E205" s="9">
        <v>0</v>
      </c>
      <c r="F205" s="9">
        <v>0</v>
      </c>
      <c r="G205" s="10">
        <v>0</v>
      </c>
      <c r="H205" s="9">
        <v>0</v>
      </c>
      <c r="I205" s="9">
        <v>0</v>
      </c>
      <c r="J205" s="9">
        <v>14238</v>
      </c>
    </row>
    <row r="206" spans="1:10">
      <c r="A206" s="8" t="s">
        <v>29</v>
      </c>
      <c r="B206" s="9">
        <v>0</v>
      </c>
      <c r="C206" s="9">
        <v>0</v>
      </c>
      <c r="D206" s="9">
        <v>0</v>
      </c>
      <c r="E206" s="9">
        <v>0</v>
      </c>
      <c r="F206" s="9">
        <v>0</v>
      </c>
      <c r="G206" s="10">
        <v>0</v>
      </c>
      <c r="H206" s="9">
        <v>0</v>
      </c>
      <c r="I206" s="9">
        <v>0</v>
      </c>
      <c r="J206" s="9">
        <v>0</v>
      </c>
    </row>
    <row r="207" spans="1:10">
      <c r="A207" s="8" t="s">
        <v>30</v>
      </c>
      <c r="B207" s="9">
        <v>0</v>
      </c>
      <c r="C207" s="9">
        <v>0</v>
      </c>
      <c r="D207" s="9">
        <v>-98</v>
      </c>
      <c r="E207" s="9">
        <v>0</v>
      </c>
      <c r="F207" s="9">
        <v>0</v>
      </c>
      <c r="G207" s="10">
        <v>0</v>
      </c>
      <c r="H207" s="9">
        <v>0</v>
      </c>
      <c r="I207" s="9">
        <v>0</v>
      </c>
      <c r="J207" s="9">
        <v>-98</v>
      </c>
    </row>
    <row r="208" spans="1:10">
      <c r="A208" s="8" t="s">
        <v>31</v>
      </c>
      <c r="B208" s="9">
        <v>0</v>
      </c>
      <c r="C208" s="9">
        <v>0</v>
      </c>
      <c r="D208" s="9">
        <v>-1989</v>
      </c>
      <c r="E208" s="9">
        <v>0</v>
      </c>
      <c r="F208" s="9">
        <v>0</v>
      </c>
      <c r="G208" s="10">
        <v>0</v>
      </c>
      <c r="H208" s="9">
        <v>0</v>
      </c>
      <c r="I208" s="9">
        <v>0</v>
      </c>
      <c r="J208" s="9">
        <v>-1989</v>
      </c>
    </row>
    <row r="209" spans="1:10">
      <c r="A209" s="8" t="s">
        <v>32</v>
      </c>
      <c r="B209" s="9">
        <v>26</v>
      </c>
      <c r="C209" s="9">
        <v>0</v>
      </c>
      <c r="D209" s="9">
        <v>-56</v>
      </c>
      <c r="E209" s="9">
        <v>0</v>
      </c>
      <c r="F209" s="9">
        <v>0</v>
      </c>
      <c r="G209" s="10">
        <v>0</v>
      </c>
      <c r="H209" s="9">
        <v>0</v>
      </c>
      <c r="I209" s="9">
        <v>0</v>
      </c>
      <c r="J209" s="9">
        <v>-30</v>
      </c>
    </row>
    <row r="210" spans="1:10">
      <c r="A210" s="12" t="s">
        <v>33</v>
      </c>
      <c r="B210" s="13">
        <v>4602</v>
      </c>
      <c r="C210" s="13">
        <v>0</v>
      </c>
      <c r="D210" s="13">
        <v>7519</v>
      </c>
      <c r="E210" s="13">
        <v>0</v>
      </c>
      <c r="F210" s="13">
        <v>674</v>
      </c>
      <c r="G210" s="14">
        <v>1798</v>
      </c>
      <c r="H210" s="13">
        <v>0</v>
      </c>
      <c r="I210" s="13">
        <v>0</v>
      </c>
      <c r="J210" s="13">
        <v>14593</v>
      </c>
    </row>
    <row r="211" spans="1:10">
      <c r="A211" s="8" t="s">
        <v>34</v>
      </c>
      <c r="B211" s="9">
        <v>0</v>
      </c>
      <c r="C211" s="9">
        <v>0</v>
      </c>
      <c r="D211" s="9">
        <v>3</v>
      </c>
      <c r="E211" s="9">
        <v>0</v>
      </c>
      <c r="F211" s="9">
        <v>0</v>
      </c>
      <c r="G211" s="10">
        <v>0</v>
      </c>
      <c r="H211" s="9">
        <v>16</v>
      </c>
      <c r="I211" s="9">
        <v>0</v>
      </c>
      <c r="J211" s="9">
        <v>19</v>
      </c>
    </row>
    <row r="212" spans="1:10">
      <c r="A212" s="8" t="s">
        <v>35</v>
      </c>
      <c r="B212" s="9">
        <v>4602</v>
      </c>
      <c r="C212" s="9">
        <v>0</v>
      </c>
      <c r="D212" s="9">
        <v>1517</v>
      </c>
      <c r="E212" s="9">
        <v>0</v>
      </c>
      <c r="F212" s="9">
        <v>674</v>
      </c>
      <c r="G212" s="10">
        <v>1244</v>
      </c>
      <c r="H212" s="9">
        <v>-2862</v>
      </c>
      <c r="I212" s="9">
        <v>-456</v>
      </c>
      <c r="J212" s="9">
        <v>4719</v>
      </c>
    </row>
    <row r="213" spans="1:10">
      <c r="A213" s="8" t="s">
        <v>36</v>
      </c>
      <c r="B213" s="9">
        <v>0</v>
      </c>
      <c r="C213" s="9">
        <v>0</v>
      </c>
      <c r="D213" s="9">
        <v>0</v>
      </c>
      <c r="E213" s="9">
        <v>0</v>
      </c>
      <c r="F213" s="9">
        <v>0</v>
      </c>
      <c r="G213" s="10">
        <v>0</v>
      </c>
      <c r="H213" s="9">
        <v>0</v>
      </c>
      <c r="I213" s="9">
        <v>0</v>
      </c>
      <c r="J213" s="9">
        <v>0</v>
      </c>
    </row>
    <row r="214" spans="1:10">
      <c r="A214" s="8" t="s">
        <v>37</v>
      </c>
      <c r="B214" s="9">
        <v>0</v>
      </c>
      <c r="C214" s="9">
        <v>0</v>
      </c>
      <c r="D214" s="9">
        <v>0</v>
      </c>
      <c r="E214" s="9">
        <v>0</v>
      </c>
      <c r="F214" s="9">
        <v>0</v>
      </c>
      <c r="G214" s="10">
        <v>0</v>
      </c>
      <c r="H214" s="9">
        <v>0</v>
      </c>
      <c r="I214" s="9">
        <v>0</v>
      </c>
      <c r="J214" s="9">
        <v>0</v>
      </c>
    </row>
    <row r="215" spans="1:10">
      <c r="A215" s="8" t="s">
        <v>38</v>
      </c>
      <c r="B215" s="9">
        <v>0</v>
      </c>
      <c r="C215" s="9">
        <v>0</v>
      </c>
      <c r="D215" s="9">
        <v>0</v>
      </c>
      <c r="E215" s="9">
        <v>0</v>
      </c>
      <c r="F215" s="9">
        <v>0</v>
      </c>
      <c r="G215" s="10">
        <v>0</v>
      </c>
      <c r="H215" s="9">
        <v>22</v>
      </c>
      <c r="I215" s="9">
        <v>0</v>
      </c>
      <c r="J215" s="9">
        <v>22</v>
      </c>
    </row>
    <row r="216" spans="1:10">
      <c r="A216" s="8" t="s">
        <v>39</v>
      </c>
      <c r="B216" s="9">
        <v>0</v>
      </c>
      <c r="C216" s="9">
        <v>0</v>
      </c>
      <c r="D216" s="9">
        <v>0</v>
      </c>
      <c r="E216" s="9">
        <v>0</v>
      </c>
      <c r="F216" s="9">
        <v>0</v>
      </c>
      <c r="G216" s="10">
        <v>0</v>
      </c>
      <c r="H216" s="9">
        <v>260</v>
      </c>
      <c r="I216" s="9">
        <v>39</v>
      </c>
      <c r="J216" s="9">
        <v>299</v>
      </c>
    </row>
    <row r="217" spans="1:10">
      <c r="A217" s="12" t="s">
        <v>40</v>
      </c>
      <c r="B217" s="13">
        <v>4602</v>
      </c>
      <c r="C217" s="13">
        <v>0</v>
      </c>
      <c r="D217" s="13">
        <v>1520</v>
      </c>
      <c r="E217" s="13">
        <v>0</v>
      </c>
      <c r="F217" s="13">
        <v>674</v>
      </c>
      <c r="G217" s="14">
        <v>1244</v>
      </c>
      <c r="H217" s="13">
        <v>-2565</v>
      </c>
      <c r="I217" s="13">
        <v>-416</v>
      </c>
      <c r="J217" s="13">
        <v>5059</v>
      </c>
    </row>
    <row r="218" spans="1:10">
      <c r="A218" s="8" t="s">
        <v>41</v>
      </c>
      <c r="B218" s="9">
        <v>0</v>
      </c>
      <c r="C218" s="9">
        <v>0</v>
      </c>
      <c r="D218" s="9">
        <v>186</v>
      </c>
      <c r="E218" s="9">
        <v>0</v>
      </c>
      <c r="F218" s="9">
        <v>0</v>
      </c>
      <c r="G218" s="10">
        <v>0</v>
      </c>
      <c r="H218" s="9">
        <v>340</v>
      </c>
      <c r="I218" s="9">
        <v>416</v>
      </c>
      <c r="J218" s="9">
        <v>942</v>
      </c>
    </row>
    <row r="219" spans="1:10">
      <c r="A219" s="8" t="s">
        <v>42</v>
      </c>
      <c r="B219" s="9">
        <v>0</v>
      </c>
      <c r="C219" s="9">
        <v>0</v>
      </c>
      <c r="D219" s="9">
        <v>4987</v>
      </c>
      <c r="E219" s="9">
        <v>0</v>
      </c>
      <c r="F219" s="9">
        <v>0</v>
      </c>
      <c r="G219" s="10">
        <v>0</v>
      </c>
      <c r="H219" s="9">
        <v>0</v>
      </c>
      <c r="I219" s="9">
        <v>0</v>
      </c>
      <c r="J219" s="9">
        <v>4987</v>
      </c>
    </row>
    <row r="220" spans="1:10">
      <c r="A220" s="8" t="s">
        <v>43</v>
      </c>
      <c r="B220" s="9">
        <v>0</v>
      </c>
      <c r="C220" s="9">
        <v>0</v>
      </c>
      <c r="D220" s="9">
        <v>138</v>
      </c>
      <c r="E220" s="9">
        <v>0</v>
      </c>
      <c r="F220" s="9">
        <v>0</v>
      </c>
      <c r="G220" s="10">
        <v>513</v>
      </c>
      <c r="H220" s="9">
        <v>1080</v>
      </c>
      <c r="I220" s="9">
        <v>0</v>
      </c>
      <c r="J220" s="9">
        <v>1731</v>
      </c>
    </row>
    <row r="221" spans="1:10">
      <c r="A221" s="8" t="s">
        <v>44</v>
      </c>
      <c r="B221" s="9">
        <v>0</v>
      </c>
      <c r="C221" s="9">
        <v>0</v>
      </c>
      <c r="D221" s="9">
        <v>336</v>
      </c>
      <c r="E221" s="9">
        <v>0</v>
      </c>
      <c r="F221" s="9">
        <v>0</v>
      </c>
      <c r="G221" s="10">
        <v>0</v>
      </c>
      <c r="H221" s="9">
        <v>1125</v>
      </c>
      <c r="I221" s="9">
        <v>0</v>
      </c>
      <c r="J221" s="9">
        <v>1461</v>
      </c>
    </row>
    <row r="222" spans="1:10">
      <c r="A222" s="8" t="s">
        <v>4</v>
      </c>
      <c r="B222" s="9">
        <v>0</v>
      </c>
      <c r="C222" s="9">
        <v>0</v>
      </c>
      <c r="D222" s="9">
        <v>99</v>
      </c>
      <c r="E222" s="9">
        <v>0</v>
      </c>
      <c r="F222" s="9">
        <v>0</v>
      </c>
      <c r="G222" s="10">
        <v>41</v>
      </c>
      <c r="H222" s="9">
        <v>19</v>
      </c>
      <c r="I222" s="9">
        <v>0</v>
      </c>
      <c r="J222" s="9">
        <v>159</v>
      </c>
    </row>
    <row r="223" spans="1:10">
      <c r="A223" s="16" t="s">
        <v>45</v>
      </c>
      <c r="B223" s="17">
        <v>0</v>
      </c>
      <c r="C223" s="17">
        <v>0</v>
      </c>
      <c r="D223" s="17">
        <v>5745</v>
      </c>
      <c r="E223" s="17">
        <v>0</v>
      </c>
      <c r="F223" s="17">
        <v>0</v>
      </c>
      <c r="G223" s="18">
        <v>554</v>
      </c>
      <c r="H223" s="17">
        <v>2565</v>
      </c>
      <c r="I223" s="17">
        <v>416</v>
      </c>
      <c r="J223" s="17">
        <v>9280</v>
      </c>
    </row>
    <row r="224" spans="1:10">
      <c r="A224" s="16" t="s">
        <v>46</v>
      </c>
      <c r="B224" s="17">
        <v>0</v>
      </c>
      <c r="C224" s="17">
        <v>0</v>
      </c>
      <c r="D224" s="17">
        <v>253</v>
      </c>
      <c r="E224" s="17">
        <v>0</v>
      </c>
      <c r="F224" s="17">
        <v>0</v>
      </c>
      <c r="G224" s="18">
        <v>0</v>
      </c>
      <c r="H224" s="17">
        <v>0</v>
      </c>
      <c r="I224" s="17">
        <v>0</v>
      </c>
      <c r="J224" s="17">
        <v>253</v>
      </c>
    </row>
    <row r="225" spans="1:10">
      <c r="A225" s="12" t="s">
        <v>47</v>
      </c>
      <c r="B225" s="13">
        <v>0</v>
      </c>
      <c r="C225" s="13">
        <v>0</v>
      </c>
      <c r="D225" s="13">
        <v>5999</v>
      </c>
      <c r="E225" s="13">
        <v>0</v>
      </c>
      <c r="F225" s="13">
        <v>0</v>
      </c>
      <c r="G225" s="14">
        <v>554</v>
      </c>
      <c r="H225" s="13">
        <v>2565</v>
      </c>
      <c r="I225" s="13">
        <v>416</v>
      </c>
      <c r="J225" s="13">
        <v>9534</v>
      </c>
    </row>
    <row r="226" spans="1:10">
      <c r="A226" s="8" t="s">
        <v>376</v>
      </c>
      <c r="B226" s="8"/>
      <c r="C226" s="8"/>
      <c r="D226" s="8"/>
      <c r="E226" s="8"/>
      <c r="F226" s="8"/>
      <c r="G226" s="247"/>
      <c r="H226" s="8"/>
      <c r="I226" s="8"/>
      <c r="J226" s="8"/>
    </row>
    <row r="228" spans="1:10">
      <c r="B228" s="22" t="s">
        <v>383</v>
      </c>
    </row>
    <row r="229" spans="1:10">
      <c r="B229" s="22" t="s">
        <v>374</v>
      </c>
    </row>
    <row r="230" spans="1:10">
      <c r="B230" s="22" t="s">
        <v>375</v>
      </c>
    </row>
    <row r="232" spans="1:10">
      <c r="B232" s="22" t="s">
        <v>14</v>
      </c>
      <c r="C232" s="22" t="s">
        <v>15</v>
      </c>
      <c r="D232" s="22" t="s">
        <v>16</v>
      </c>
      <c r="E232" s="22" t="s">
        <v>17</v>
      </c>
      <c r="F232" s="22" t="s">
        <v>18</v>
      </c>
      <c r="G232" s="174" t="s">
        <v>19</v>
      </c>
      <c r="H232" s="22" t="s">
        <v>20</v>
      </c>
      <c r="I232" s="22" t="s">
        <v>21</v>
      </c>
      <c r="J232" t="s">
        <v>23</v>
      </c>
    </row>
    <row r="233" spans="1:10">
      <c r="A233" t="s">
        <v>24</v>
      </c>
      <c r="B233" s="22">
        <v>0</v>
      </c>
      <c r="C233" s="22">
        <v>0</v>
      </c>
      <c r="D233" s="22">
        <v>0</v>
      </c>
      <c r="E233" s="22">
        <v>0</v>
      </c>
      <c r="F233" s="22">
        <v>797</v>
      </c>
      <c r="G233" s="174">
        <v>1763</v>
      </c>
      <c r="H233" s="22">
        <v>0</v>
      </c>
      <c r="I233" s="22">
        <v>0</v>
      </c>
      <c r="J233">
        <v>2560</v>
      </c>
    </row>
    <row r="234" spans="1:10">
      <c r="A234" t="s">
        <v>25</v>
      </c>
      <c r="B234" s="22">
        <v>0</v>
      </c>
      <c r="C234" s="22">
        <v>0</v>
      </c>
      <c r="D234" s="22">
        <v>0</v>
      </c>
      <c r="E234" s="22">
        <v>0</v>
      </c>
      <c r="F234" s="22">
        <v>564</v>
      </c>
      <c r="G234" s="174">
        <v>0</v>
      </c>
      <c r="H234" s="22">
        <v>0</v>
      </c>
      <c r="I234" s="22">
        <v>0</v>
      </c>
      <c r="J234">
        <v>564</v>
      </c>
    </row>
    <row r="235" spans="1:10">
      <c r="A235" t="s">
        <v>26</v>
      </c>
      <c r="B235" s="22">
        <v>0</v>
      </c>
      <c r="C235" s="22">
        <v>0</v>
      </c>
      <c r="D235" s="22">
        <v>0</v>
      </c>
      <c r="E235" s="22">
        <v>0</v>
      </c>
      <c r="F235" s="22">
        <v>15</v>
      </c>
      <c r="G235" s="174">
        <v>0</v>
      </c>
      <c r="H235" s="22">
        <v>0</v>
      </c>
      <c r="I235" s="22">
        <v>0</v>
      </c>
      <c r="J235">
        <v>15</v>
      </c>
    </row>
    <row r="236" spans="1:10">
      <c r="A236" t="s">
        <v>27</v>
      </c>
      <c r="B236" s="22">
        <v>0</v>
      </c>
      <c r="C236" s="22">
        <v>0</v>
      </c>
      <c r="D236" s="22">
        <v>0</v>
      </c>
      <c r="E236" s="22">
        <v>0</v>
      </c>
      <c r="F236" s="22">
        <v>218</v>
      </c>
      <c r="G236" s="174">
        <v>0</v>
      </c>
      <c r="H236" s="22">
        <v>0</v>
      </c>
      <c r="I236" s="22">
        <v>0</v>
      </c>
      <c r="J236">
        <v>218</v>
      </c>
    </row>
    <row r="237" spans="1:10">
      <c r="A237" t="s">
        <v>28</v>
      </c>
      <c r="B237" s="22">
        <v>4881</v>
      </c>
      <c r="C237" s="22">
        <v>0</v>
      </c>
      <c r="D237" s="22">
        <v>8525</v>
      </c>
      <c r="E237" s="22">
        <v>0</v>
      </c>
      <c r="F237" s="22">
        <v>0</v>
      </c>
      <c r="G237" s="174">
        <v>0</v>
      </c>
      <c r="H237" s="22">
        <v>0</v>
      </c>
      <c r="I237" s="22">
        <v>0</v>
      </c>
      <c r="J237">
        <v>13405</v>
      </c>
    </row>
    <row r="238" spans="1:10">
      <c r="A238" t="s">
        <v>29</v>
      </c>
      <c r="B238" s="22">
        <v>0</v>
      </c>
      <c r="C238" s="22">
        <v>0</v>
      </c>
      <c r="D238" s="22">
        <v>0</v>
      </c>
      <c r="E238" s="22">
        <v>0</v>
      </c>
      <c r="F238" s="22">
        <v>0</v>
      </c>
      <c r="G238" s="174">
        <v>0</v>
      </c>
      <c r="H238" s="22">
        <v>0</v>
      </c>
      <c r="I238" s="22">
        <v>0</v>
      </c>
      <c r="J238">
        <v>0</v>
      </c>
    </row>
    <row r="239" spans="1:10">
      <c r="A239" t="s">
        <v>30</v>
      </c>
      <c r="B239" s="22">
        <v>0</v>
      </c>
      <c r="C239" s="22">
        <v>0</v>
      </c>
      <c r="D239" s="22">
        <v>-87</v>
      </c>
      <c r="E239" s="22">
        <v>0</v>
      </c>
      <c r="F239" s="22">
        <v>0</v>
      </c>
      <c r="G239" s="174">
        <v>0</v>
      </c>
      <c r="H239" s="22">
        <v>0</v>
      </c>
      <c r="I239" s="22">
        <v>0</v>
      </c>
      <c r="J239">
        <v>-87</v>
      </c>
    </row>
    <row r="240" spans="1:10">
      <c r="A240" t="s">
        <v>31</v>
      </c>
      <c r="B240" s="22">
        <v>0</v>
      </c>
      <c r="C240" s="22">
        <v>0</v>
      </c>
      <c r="D240" s="22">
        <v>-1775</v>
      </c>
      <c r="E240" s="22">
        <v>0</v>
      </c>
      <c r="F240" s="22">
        <v>0</v>
      </c>
      <c r="G240" s="174">
        <v>0</v>
      </c>
      <c r="H240" s="22">
        <v>0</v>
      </c>
      <c r="I240" s="22">
        <v>0</v>
      </c>
      <c r="J240">
        <v>-1775</v>
      </c>
    </row>
    <row r="241" spans="1:10">
      <c r="A241" t="s">
        <v>32</v>
      </c>
      <c r="B241" s="22">
        <v>10</v>
      </c>
      <c r="C241" s="22">
        <v>0</v>
      </c>
      <c r="D241" s="22">
        <v>-47</v>
      </c>
      <c r="E241" s="22">
        <v>0</v>
      </c>
      <c r="F241" s="22">
        <v>0</v>
      </c>
      <c r="G241" s="174">
        <v>0</v>
      </c>
      <c r="H241" s="22">
        <v>0</v>
      </c>
      <c r="I241" s="22">
        <v>0</v>
      </c>
      <c r="J241">
        <v>-37</v>
      </c>
    </row>
    <row r="242" spans="1:10">
      <c r="A242" t="s">
        <v>33</v>
      </c>
      <c r="B242" s="22">
        <v>4890</v>
      </c>
      <c r="C242" s="22">
        <v>0</v>
      </c>
      <c r="D242" s="22">
        <v>6615</v>
      </c>
      <c r="E242" s="22">
        <v>0</v>
      </c>
      <c r="F242" s="22">
        <v>797</v>
      </c>
      <c r="G242" s="174">
        <v>1763</v>
      </c>
      <c r="H242" s="22">
        <v>0</v>
      </c>
      <c r="I242" s="22">
        <v>0</v>
      </c>
      <c r="J242">
        <v>14066</v>
      </c>
    </row>
    <row r="243" spans="1:10">
      <c r="A243" t="s">
        <v>34</v>
      </c>
      <c r="B243" s="22">
        <v>0</v>
      </c>
      <c r="C243" s="22">
        <v>0</v>
      </c>
      <c r="D243" s="22">
        <v>-217</v>
      </c>
      <c r="E243" s="22">
        <v>0</v>
      </c>
      <c r="F243" s="22">
        <v>0</v>
      </c>
      <c r="G243" s="174">
        <v>0</v>
      </c>
      <c r="H243" s="22">
        <v>-400</v>
      </c>
      <c r="I243" s="22">
        <v>0</v>
      </c>
      <c r="J243">
        <v>-617</v>
      </c>
    </row>
    <row r="244" spans="1:10">
      <c r="A244" t="s">
        <v>35</v>
      </c>
      <c r="B244" s="22">
        <v>4890</v>
      </c>
      <c r="C244" s="22">
        <v>0</v>
      </c>
      <c r="D244" s="22">
        <v>599</v>
      </c>
      <c r="E244" s="22">
        <v>0</v>
      </c>
      <c r="F244" s="22">
        <v>797</v>
      </c>
      <c r="G244" s="174">
        <v>1220</v>
      </c>
      <c r="H244" s="22">
        <v>-2416</v>
      </c>
      <c r="I244" s="22">
        <v>-466</v>
      </c>
      <c r="J244">
        <v>4625</v>
      </c>
    </row>
    <row r="245" spans="1:10">
      <c r="A245" t="s">
        <v>36</v>
      </c>
      <c r="B245" s="22">
        <v>0</v>
      </c>
      <c r="C245" s="22">
        <v>0</v>
      </c>
      <c r="D245" s="22">
        <v>0</v>
      </c>
      <c r="E245" s="22">
        <v>0</v>
      </c>
      <c r="F245" s="22">
        <v>0</v>
      </c>
      <c r="G245" s="174">
        <v>0</v>
      </c>
      <c r="H245" s="22">
        <v>0</v>
      </c>
      <c r="I245" s="22">
        <v>0</v>
      </c>
      <c r="J245">
        <v>0</v>
      </c>
    </row>
    <row r="246" spans="1:10">
      <c r="A246" t="s">
        <v>37</v>
      </c>
      <c r="B246" s="22">
        <v>0</v>
      </c>
      <c r="C246" s="22">
        <v>0</v>
      </c>
      <c r="D246" s="22">
        <v>0</v>
      </c>
      <c r="E246" s="22">
        <v>0</v>
      </c>
      <c r="F246" s="22">
        <v>0</v>
      </c>
      <c r="G246" s="174">
        <v>0</v>
      </c>
      <c r="H246" s="22">
        <v>0</v>
      </c>
      <c r="I246" s="22">
        <v>0</v>
      </c>
      <c r="J246">
        <v>0</v>
      </c>
    </row>
    <row r="247" spans="1:10">
      <c r="A247" t="s">
        <v>38</v>
      </c>
      <c r="B247" s="22">
        <v>0</v>
      </c>
      <c r="C247" s="22">
        <v>0</v>
      </c>
      <c r="D247" s="22">
        <v>0</v>
      </c>
      <c r="E247" s="22">
        <v>0</v>
      </c>
      <c r="F247" s="22">
        <v>0</v>
      </c>
      <c r="G247" s="174">
        <v>0</v>
      </c>
      <c r="H247" s="22">
        <v>24</v>
      </c>
      <c r="I247" s="22">
        <v>0</v>
      </c>
      <c r="J247">
        <v>24</v>
      </c>
    </row>
    <row r="248" spans="1:10">
      <c r="A248" t="s">
        <v>39</v>
      </c>
      <c r="B248" s="22">
        <v>0</v>
      </c>
      <c r="C248" s="22">
        <v>0</v>
      </c>
      <c r="D248" s="22">
        <v>0</v>
      </c>
      <c r="E248" s="22">
        <v>0</v>
      </c>
      <c r="F248" s="22">
        <v>0</v>
      </c>
      <c r="G248" s="174">
        <v>0</v>
      </c>
      <c r="H248" s="22">
        <v>284</v>
      </c>
      <c r="I248" s="22">
        <v>39</v>
      </c>
      <c r="J248">
        <v>323</v>
      </c>
    </row>
    <row r="249" spans="1:10">
      <c r="A249" t="s">
        <v>40</v>
      </c>
      <c r="B249" s="22">
        <v>4890</v>
      </c>
      <c r="C249" s="22">
        <v>0</v>
      </c>
      <c r="D249" s="22">
        <v>382</v>
      </c>
      <c r="E249" s="22">
        <v>0</v>
      </c>
      <c r="F249" s="22">
        <v>797</v>
      </c>
      <c r="G249" s="174">
        <v>1220</v>
      </c>
      <c r="H249" s="22">
        <v>-2507</v>
      </c>
      <c r="I249" s="22">
        <v>-427</v>
      </c>
      <c r="J249">
        <v>4356</v>
      </c>
    </row>
    <row r="250" spans="1:10">
      <c r="A250" t="s">
        <v>41</v>
      </c>
      <c r="B250" s="22">
        <v>0</v>
      </c>
      <c r="C250" s="22">
        <v>0</v>
      </c>
      <c r="D250" s="22">
        <v>193</v>
      </c>
      <c r="E250" s="22">
        <v>0</v>
      </c>
      <c r="F250" s="22">
        <v>0</v>
      </c>
      <c r="G250" s="174">
        <v>9</v>
      </c>
      <c r="H250" s="22">
        <v>359</v>
      </c>
      <c r="I250" s="22">
        <v>427</v>
      </c>
      <c r="J250">
        <v>987</v>
      </c>
    </row>
    <row r="251" spans="1:10">
      <c r="A251" t="s">
        <v>42</v>
      </c>
      <c r="B251" s="22">
        <v>0</v>
      </c>
      <c r="C251" s="22">
        <v>0</v>
      </c>
      <c r="D251" s="22">
        <v>5191</v>
      </c>
      <c r="E251" s="22">
        <v>0</v>
      </c>
      <c r="F251" s="22">
        <v>0</v>
      </c>
      <c r="G251" s="174">
        <v>0</v>
      </c>
      <c r="H251" s="22">
        <v>0</v>
      </c>
      <c r="I251" s="22">
        <v>0</v>
      </c>
      <c r="J251">
        <v>5191</v>
      </c>
    </row>
    <row r="252" spans="1:10">
      <c r="A252" t="s">
        <v>43</v>
      </c>
      <c r="B252" s="22">
        <v>0</v>
      </c>
      <c r="C252" s="22">
        <v>0</v>
      </c>
      <c r="D252" s="22">
        <v>143</v>
      </c>
      <c r="E252" s="22">
        <v>0</v>
      </c>
      <c r="F252" s="22">
        <v>0</v>
      </c>
      <c r="G252" s="174">
        <v>493</v>
      </c>
      <c r="H252" s="22">
        <v>1042</v>
      </c>
      <c r="I252" s="22">
        <v>0</v>
      </c>
      <c r="J252">
        <v>1678</v>
      </c>
    </row>
    <row r="253" spans="1:10">
      <c r="A253" t="s">
        <v>44</v>
      </c>
      <c r="B253" s="22">
        <v>0</v>
      </c>
      <c r="C253" s="22">
        <v>0</v>
      </c>
      <c r="D253" s="22">
        <v>350</v>
      </c>
      <c r="E253" s="22">
        <v>0</v>
      </c>
      <c r="F253" s="22">
        <v>0</v>
      </c>
      <c r="G253" s="174">
        <v>0</v>
      </c>
      <c r="H253" s="22">
        <v>1086</v>
      </c>
      <c r="I253" s="22">
        <v>0</v>
      </c>
      <c r="J253">
        <v>1436</v>
      </c>
    </row>
    <row r="254" spans="1:10">
      <c r="A254" t="s">
        <v>4</v>
      </c>
      <c r="B254" s="22">
        <v>0</v>
      </c>
      <c r="C254" s="22">
        <v>0</v>
      </c>
      <c r="D254" s="22">
        <v>103</v>
      </c>
      <c r="E254" s="22">
        <v>0</v>
      </c>
      <c r="F254" s="22">
        <v>0</v>
      </c>
      <c r="G254" s="174">
        <v>41</v>
      </c>
      <c r="H254" s="22">
        <v>21</v>
      </c>
      <c r="I254" s="22">
        <v>0</v>
      </c>
      <c r="J254">
        <v>165</v>
      </c>
    </row>
    <row r="255" spans="1:10">
      <c r="A255" t="s">
        <v>45</v>
      </c>
      <c r="B255" s="22">
        <v>0</v>
      </c>
      <c r="C255" s="22">
        <v>0</v>
      </c>
      <c r="D255" s="22">
        <v>5980</v>
      </c>
      <c r="E255" s="22">
        <v>0</v>
      </c>
      <c r="F255" s="22">
        <v>0</v>
      </c>
      <c r="G255" s="174">
        <v>543</v>
      </c>
      <c r="H255" s="22">
        <v>2507</v>
      </c>
      <c r="I255" s="22">
        <v>427</v>
      </c>
      <c r="J255">
        <v>9457</v>
      </c>
    </row>
    <row r="256" spans="1:10">
      <c r="A256" t="s">
        <v>46</v>
      </c>
      <c r="B256" s="22">
        <v>0</v>
      </c>
      <c r="C256" s="22">
        <v>0</v>
      </c>
      <c r="D256" s="22">
        <v>253</v>
      </c>
      <c r="E256" s="22">
        <v>0</v>
      </c>
      <c r="F256" s="22">
        <v>0</v>
      </c>
      <c r="G256" s="174">
        <v>0</v>
      </c>
      <c r="H256" s="22">
        <v>0</v>
      </c>
      <c r="I256" s="22">
        <v>0</v>
      </c>
      <c r="J256">
        <v>253</v>
      </c>
    </row>
    <row r="257" spans="1:10">
      <c r="A257" t="s">
        <v>47</v>
      </c>
      <c r="B257" s="22">
        <v>0</v>
      </c>
      <c r="C257" s="22">
        <v>0</v>
      </c>
      <c r="D257" s="22">
        <v>6234</v>
      </c>
      <c r="E257" s="22">
        <v>0</v>
      </c>
      <c r="F257" s="22">
        <v>0</v>
      </c>
      <c r="G257" s="174">
        <v>543</v>
      </c>
      <c r="H257" s="22">
        <v>2507</v>
      </c>
      <c r="I257" s="22">
        <v>427</v>
      </c>
      <c r="J257">
        <v>9710</v>
      </c>
    </row>
    <row r="258" spans="1:10">
      <c r="A258" t="s">
        <v>376</v>
      </c>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4:S5"/>
  <sheetViews>
    <sheetView topLeftCell="H1" workbookViewId="0">
      <selection activeCell="S14" sqref="S14"/>
    </sheetView>
  </sheetViews>
  <sheetFormatPr baseColWidth="10" defaultRowHeight="14.4"/>
  <sheetData>
    <row r="4" spans="2:19">
      <c r="B4" s="30">
        <v>2010</v>
      </c>
      <c r="C4" s="30">
        <v>2011</v>
      </c>
      <c r="D4" s="30">
        <v>2012</v>
      </c>
      <c r="E4" s="30">
        <v>2013</v>
      </c>
      <c r="F4" s="30">
        <v>2014</v>
      </c>
      <c r="G4" s="30">
        <v>2015</v>
      </c>
      <c r="H4" s="30">
        <v>2016</v>
      </c>
      <c r="I4" s="30">
        <v>2017</v>
      </c>
      <c r="J4" s="30">
        <v>2018</v>
      </c>
      <c r="K4" s="30">
        <v>2019</v>
      </c>
      <c r="L4" s="30">
        <v>2020</v>
      </c>
      <c r="M4" s="30">
        <v>2021</v>
      </c>
      <c r="N4" s="271">
        <v>2025</v>
      </c>
      <c r="O4" s="271">
        <v>2030</v>
      </c>
      <c r="P4" s="271">
        <v>2035</v>
      </c>
      <c r="Q4" s="271">
        <v>2040</v>
      </c>
      <c r="R4" s="271">
        <v>2045</v>
      </c>
      <c r="S4" s="271">
        <v>2050</v>
      </c>
    </row>
    <row r="5" spans="2:19">
      <c r="B5" s="32">
        <v>821136</v>
      </c>
      <c r="C5" s="32">
        <v>828581</v>
      </c>
      <c r="D5" s="32">
        <v>833944</v>
      </c>
      <c r="E5" s="32">
        <v>835103</v>
      </c>
      <c r="F5" s="32">
        <v>842767</v>
      </c>
      <c r="G5" s="32">
        <v>850727</v>
      </c>
      <c r="H5" s="32">
        <v>852924</v>
      </c>
      <c r="I5" s="32">
        <v>853659</v>
      </c>
      <c r="J5" s="32">
        <v>855961</v>
      </c>
      <c r="K5" s="32">
        <v>861210</v>
      </c>
      <c r="L5" s="32">
        <v>863197</v>
      </c>
      <c r="M5" s="347">
        <v>866000</v>
      </c>
      <c r="N5" s="271">
        <f>0.879*1000000</f>
        <v>879000</v>
      </c>
      <c r="O5" s="271">
        <f>0.893*1000000</f>
        <v>893000</v>
      </c>
      <c r="P5" s="271">
        <f>0.904*1000000</f>
        <v>904000</v>
      </c>
      <c r="Q5" s="271">
        <f>0.913*1000000</f>
        <v>913000</v>
      </c>
      <c r="R5" s="271">
        <f>0.917*1000000</f>
        <v>917000</v>
      </c>
      <c r="S5" s="271">
        <f>0.918*1000000</f>
        <v>918000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11"/>
  <sheetViews>
    <sheetView showGridLines="0" workbookViewId="0">
      <selection activeCell="C30" sqref="C30"/>
    </sheetView>
  </sheetViews>
  <sheetFormatPr baseColWidth="10" defaultRowHeight="14.4"/>
  <sheetData>
    <row r="1" spans="1:7">
      <c r="A1" s="396"/>
      <c r="B1" s="396"/>
      <c r="C1" s="396"/>
      <c r="D1" s="396"/>
      <c r="E1" s="396"/>
      <c r="F1" s="396"/>
      <c r="G1" s="396"/>
    </row>
    <row r="2" spans="1:7" ht="18">
      <c r="A2" s="397" t="s">
        <v>494</v>
      </c>
      <c r="B2" s="397"/>
      <c r="C2" s="397"/>
      <c r="D2" s="397"/>
      <c r="E2" s="397"/>
      <c r="F2" s="397"/>
      <c r="G2" s="397"/>
    </row>
    <row r="4" spans="1:7">
      <c r="A4" s="396" t="s">
        <v>495</v>
      </c>
      <c r="B4" s="396"/>
      <c r="C4" s="396"/>
      <c r="D4" s="396"/>
      <c r="E4" s="396"/>
      <c r="F4" s="396"/>
      <c r="G4" s="396"/>
    </row>
    <row r="5" spans="1:7">
      <c r="A5" s="396" t="s">
        <v>500</v>
      </c>
      <c r="B5" s="396"/>
      <c r="C5" s="396"/>
      <c r="D5" s="396"/>
      <c r="E5" s="396"/>
      <c r="F5" s="396"/>
      <c r="G5" s="396"/>
    </row>
    <row r="7" spans="1:7">
      <c r="A7" t="s">
        <v>492</v>
      </c>
    </row>
    <row r="8" spans="1:7">
      <c r="A8" s="354"/>
      <c r="B8" t="s">
        <v>498</v>
      </c>
    </row>
    <row r="9" spans="1:7">
      <c r="A9" s="353"/>
      <c r="B9" t="s">
        <v>499</v>
      </c>
    </row>
    <row r="10" spans="1:7">
      <c r="A10" s="355"/>
      <c r="B10" t="s">
        <v>467</v>
      </c>
    </row>
    <row r="11" spans="1:7">
      <c r="A11" s="374"/>
      <c r="B11" t="s">
        <v>493</v>
      </c>
    </row>
  </sheetData>
  <mergeCells count="4">
    <mergeCell ref="A1:G1"/>
    <mergeCell ref="A2:G2"/>
    <mergeCell ref="A4:G4"/>
    <mergeCell ref="A5:G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3:I24"/>
  <sheetViews>
    <sheetView showGridLines="0" topLeftCell="A55" zoomScale="70" zoomScaleNormal="70" workbookViewId="0">
      <selection activeCell="L23" sqref="L23"/>
    </sheetView>
  </sheetViews>
  <sheetFormatPr baseColWidth="10" defaultRowHeight="14.4"/>
  <sheetData>
    <row r="3" spans="2:9" ht="25.8">
      <c r="B3" s="398" t="s">
        <v>479</v>
      </c>
      <c r="C3" s="398"/>
      <c r="D3" s="398"/>
      <c r="E3" s="398"/>
      <c r="F3" s="398"/>
      <c r="G3" s="398"/>
      <c r="H3" s="398"/>
      <c r="I3" s="398"/>
    </row>
    <row r="24" spans="2:9" ht="25.8">
      <c r="B24" s="398" t="s">
        <v>480</v>
      </c>
      <c r="C24" s="398"/>
      <c r="D24" s="398"/>
      <c r="E24" s="398"/>
      <c r="F24" s="398"/>
      <c r="G24" s="398"/>
      <c r="H24" s="398"/>
      <c r="I24" s="398"/>
    </row>
  </sheetData>
  <mergeCells count="2">
    <mergeCell ref="B3:I3"/>
    <mergeCell ref="B24:I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2:AM312"/>
  <sheetViews>
    <sheetView topLeftCell="H1" zoomScale="55" zoomScaleNormal="55" workbookViewId="0">
      <selection activeCell="W6" sqref="W6"/>
    </sheetView>
  </sheetViews>
  <sheetFormatPr baseColWidth="10" defaultRowHeight="14.4"/>
  <cols>
    <col min="2" max="2" width="37.21875" customWidth="1"/>
    <col min="7" max="8" width="13.5546875" bestFit="1" customWidth="1"/>
    <col min="14" max="14" width="12.21875" customWidth="1"/>
    <col min="34" max="34" width="12" customWidth="1"/>
  </cols>
  <sheetData>
    <row r="2" spans="2:30" ht="18">
      <c r="B2" s="409" t="s">
        <v>0</v>
      </c>
      <c r="C2" s="409"/>
      <c r="D2" s="409"/>
      <c r="E2" s="263"/>
      <c r="I2" s="263"/>
      <c r="Q2" s="263"/>
      <c r="U2" s="263"/>
    </row>
    <row r="3" spans="2:30" ht="18">
      <c r="B3" s="294"/>
      <c r="C3" s="294"/>
      <c r="D3" s="294"/>
      <c r="E3" s="263"/>
      <c r="I3" s="263"/>
      <c r="Q3" s="263"/>
      <c r="U3" s="263"/>
    </row>
    <row r="4" spans="2:30">
      <c r="B4" t="s">
        <v>1</v>
      </c>
      <c r="E4" s="263"/>
      <c r="I4" s="263"/>
      <c r="Q4" s="263"/>
      <c r="Y4" s="263"/>
      <c r="Z4" t="s">
        <v>2</v>
      </c>
      <c r="AB4" s="263"/>
    </row>
    <row r="5" spans="2:30">
      <c r="B5" t="s">
        <v>3</v>
      </c>
      <c r="C5" s="30">
        <v>2019</v>
      </c>
      <c r="D5" s="30">
        <v>2020</v>
      </c>
      <c r="E5" s="30">
        <v>2025</v>
      </c>
      <c r="F5" s="30">
        <v>2030</v>
      </c>
      <c r="G5" s="30">
        <v>2035</v>
      </c>
      <c r="H5" s="30">
        <v>2040</v>
      </c>
      <c r="I5" s="30">
        <v>2045</v>
      </c>
      <c r="J5" s="30">
        <v>2050</v>
      </c>
      <c r="M5" s="411" t="s">
        <v>509</v>
      </c>
      <c r="N5" s="411"/>
      <c r="O5" s="411"/>
      <c r="P5" s="411"/>
      <c r="Q5" s="411"/>
      <c r="R5" s="411"/>
      <c r="S5" s="411"/>
      <c r="V5" t="s">
        <v>3</v>
      </c>
      <c r="W5" s="30">
        <v>2019</v>
      </c>
      <c r="X5" s="30">
        <v>2020</v>
      </c>
      <c r="Y5" s="30">
        <v>2025</v>
      </c>
      <c r="Z5" s="30">
        <v>2030</v>
      </c>
      <c r="AA5" s="30">
        <v>2035</v>
      </c>
      <c r="AB5" s="30">
        <v>2040</v>
      </c>
      <c r="AC5" s="30">
        <v>2045</v>
      </c>
      <c r="AD5" s="30">
        <v>2050</v>
      </c>
    </row>
    <row r="6" spans="2:30">
      <c r="B6" s="2" t="s">
        <v>4</v>
      </c>
      <c r="C6" s="2">
        <f t="shared" ref="C6:G6" si="0">C7+C8</f>
        <v>150.29300000000001</v>
      </c>
      <c r="D6" s="2">
        <f t="shared" si="0"/>
        <v>150.91590248699271</v>
      </c>
      <c r="E6" s="2">
        <f t="shared" si="0"/>
        <v>154.01534437044745</v>
      </c>
      <c r="F6" s="2">
        <f t="shared" si="0"/>
        <v>157.08966866805412</v>
      </c>
      <c r="G6" s="2">
        <f t="shared" si="0"/>
        <v>160.1388753798127</v>
      </c>
      <c r="H6" s="2">
        <f>H7+H8</f>
        <v>163.16296450572318</v>
      </c>
      <c r="I6" s="2">
        <f>I7+I8</f>
        <v>166.16193604578561</v>
      </c>
      <c r="J6" s="2">
        <f>J7+J8</f>
        <v>169.13578999999999</v>
      </c>
      <c r="M6" s="411"/>
      <c r="N6" s="411"/>
      <c r="O6" s="411"/>
      <c r="P6" s="411"/>
      <c r="Q6" s="411"/>
      <c r="R6" s="411"/>
      <c r="S6" s="411"/>
      <c r="V6" s="2" t="s">
        <v>4</v>
      </c>
      <c r="W6" s="2">
        <f t="shared" ref="W6:AD6" si="1">W7+W8</f>
        <v>150.29300000000001</v>
      </c>
      <c r="X6" s="2">
        <f t="shared" si="1"/>
        <v>150.08811992351718</v>
      </c>
      <c r="Y6" s="2">
        <f t="shared" si="1"/>
        <v>148.92906563371488</v>
      </c>
      <c r="Z6" s="2">
        <f t="shared" si="1"/>
        <v>147.54558816493238</v>
      </c>
      <c r="AA6" s="2">
        <f t="shared" si="1"/>
        <v>145.93768751716959</v>
      </c>
      <c r="AB6" s="2">
        <f t="shared" si="1"/>
        <v>144.1053636904266</v>
      </c>
      <c r="AC6" s="2">
        <f t="shared" si="1"/>
        <v>142.0486166847034</v>
      </c>
      <c r="AD6" s="2">
        <f t="shared" si="1"/>
        <v>139.76744649999998</v>
      </c>
    </row>
    <row r="7" spans="2:30">
      <c r="B7" s="2" t="s">
        <v>5</v>
      </c>
      <c r="C7" s="2">
        <f>Agriculture!D19</f>
        <v>64.367999999999995</v>
      </c>
      <c r="D7" s="2">
        <f>Agriculture!G19</f>
        <v>64.57513635796046</v>
      </c>
      <c r="E7" s="2">
        <f>Agriculture!J19</f>
        <v>65.595747596253901</v>
      </c>
      <c r="F7" s="2">
        <f>Agriculture!M19</f>
        <v>66.591241248699262</v>
      </c>
      <c r="G7" s="2">
        <f>Agriculture!P19</f>
        <v>67.561617315296559</v>
      </c>
      <c r="H7" s="2">
        <f>Agriculture!S19</f>
        <v>68.506875796045776</v>
      </c>
      <c r="I7" s="2">
        <f>Agriculture!V19</f>
        <v>69.427016690946914</v>
      </c>
      <c r="J7" s="2">
        <f>Agriculture!Y19</f>
        <v>70.322039999999987</v>
      </c>
      <c r="M7" s="411"/>
      <c r="N7" s="411"/>
      <c r="O7" s="411"/>
      <c r="P7" s="411"/>
      <c r="Q7" s="411"/>
      <c r="R7" s="411"/>
      <c r="S7" s="411"/>
      <c r="V7" s="2" t="s">
        <v>5</v>
      </c>
      <c r="W7" s="2">
        <f>Agriculture!D35</f>
        <v>64.367999999999995</v>
      </c>
      <c r="X7" s="2">
        <f>Agriculture!G35</f>
        <v>63.886613094693026</v>
      </c>
      <c r="Y7" s="2">
        <f>Agriculture!J35</f>
        <v>61.36514237669094</v>
      </c>
      <c r="Z7" s="2">
        <f>Agriculture!M35</f>
        <v>58.652778006243494</v>
      </c>
      <c r="AA7" s="2">
        <f>Agriculture!P35</f>
        <v>55.749519983350673</v>
      </c>
      <c r="AB7" s="2">
        <f>Agriculture!S35</f>
        <v>52.655368308012484</v>
      </c>
      <c r="AC7" s="2">
        <f>Agriculture!V35</f>
        <v>49.37032298022892</v>
      </c>
      <c r="AD7" s="2">
        <f>Agriculture!Y35</f>
        <v>45.894383999999995</v>
      </c>
    </row>
    <row r="8" spans="2:30">
      <c r="B8" s="2" t="s">
        <v>6</v>
      </c>
      <c r="C8" s="2">
        <f>Agriculture!D20</f>
        <v>85.924999999999997</v>
      </c>
      <c r="D8" s="2">
        <f>Agriculture!G20</f>
        <v>86.340766129032261</v>
      </c>
      <c r="E8" s="2">
        <f>Agriculture!J20</f>
        <v>88.41959677419355</v>
      </c>
      <c r="F8" s="2">
        <f>Agriculture!M20</f>
        <v>90.49842741935484</v>
      </c>
      <c r="G8" s="2">
        <f>Agriculture!P20</f>
        <v>92.57725806451613</v>
      </c>
      <c r="H8" s="2">
        <f>Agriculture!S20</f>
        <v>94.656088709677405</v>
      </c>
      <c r="I8" s="2">
        <f>Agriculture!V20</f>
        <v>96.734919354838695</v>
      </c>
      <c r="J8" s="2">
        <f>Agriculture!Y20</f>
        <v>98.813749999999985</v>
      </c>
      <c r="M8" s="411"/>
      <c r="N8" s="411"/>
      <c r="O8" s="411"/>
      <c r="P8" s="411"/>
      <c r="Q8" s="411"/>
      <c r="R8" s="411"/>
      <c r="S8" s="411"/>
      <c r="V8" s="2" t="s">
        <v>6</v>
      </c>
      <c r="W8" s="2">
        <f>Agriculture!D36</f>
        <v>85.924999999999997</v>
      </c>
      <c r="X8" s="2">
        <f>Agriculture!G36</f>
        <v>86.201506828824151</v>
      </c>
      <c r="Y8" s="2">
        <f>Agriculture!J36</f>
        <v>87.563923257023944</v>
      </c>
      <c r="Z8" s="2">
        <f>Agriculture!M36</f>
        <v>88.892810158688874</v>
      </c>
      <c r="AA8" s="2">
        <f>Agriculture!P36</f>
        <v>90.188167533818927</v>
      </c>
      <c r="AB8" s="2">
        <f>Agriculture!S36</f>
        <v>91.44999538241413</v>
      </c>
      <c r="AC8" s="2">
        <f>Agriculture!V36</f>
        <v>92.678293704474484</v>
      </c>
      <c r="AD8" s="2">
        <f>Agriculture!Y36</f>
        <v>93.873062499999975</v>
      </c>
    </row>
    <row r="9" spans="2:30">
      <c r="B9" s="2" t="s">
        <v>7</v>
      </c>
      <c r="C9" s="2">
        <f>Déchets!B21</f>
        <v>117.96690475680499</v>
      </c>
      <c r="D9" s="2">
        <f>Déchets!C21</f>
        <v>120.90787854697898</v>
      </c>
      <c r="E9" s="2">
        <f>Déchets!D21</f>
        <v>120.40533749829669</v>
      </c>
      <c r="F9" s="2">
        <f>Déchets!E21</f>
        <v>119.27513950194393</v>
      </c>
      <c r="G9" s="2">
        <f>Déchets!F21</f>
        <v>117.65891313429874</v>
      </c>
      <c r="H9" s="2">
        <f>Déchets!G21</f>
        <v>115.71411702501202</v>
      </c>
      <c r="I9" s="2">
        <f>Déchets!H21</f>
        <v>113.09124762618808</v>
      </c>
      <c r="J9" s="2">
        <f>Déchets!I21</f>
        <v>110.08133035303436</v>
      </c>
      <c r="V9" s="2" t="s">
        <v>7</v>
      </c>
      <c r="W9" s="2">
        <f>Déchets!B34</f>
        <v>117.96690475680499</v>
      </c>
      <c r="X9" s="2">
        <f>Déchets!C34</f>
        <v>117.60814975513901</v>
      </c>
      <c r="Y9" s="2">
        <f>Déchets!D34</f>
        <v>101.16577494230481</v>
      </c>
      <c r="Z9" s="2">
        <f>Déchets!E34</f>
        <v>85.243347212330633</v>
      </c>
      <c r="AA9" s="2">
        <f>Déchets!F34</f>
        <v>70.20253219946315</v>
      </c>
      <c r="AB9" s="2">
        <f>Déchets!G34</f>
        <v>56.325774807159675</v>
      </c>
      <c r="AC9" s="2">
        <f>Déchets!H34</f>
        <v>43.615717451356893</v>
      </c>
      <c r="AD9" s="2">
        <f>Déchets!I34</f>
        <v>32.376861868539521</v>
      </c>
    </row>
    <row r="10" spans="2:30">
      <c r="B10" s="2" t="s">
        <v>8</v>
      </c>
      <c r="C10" s="2">
        <f>UTCATF!B10</f>
        <v>94.935672080342201</v>
      </c>
      <c r="D10" s="2">
        <f>UTCATF!C10</f>
        <v>92.626618142266651</v>
      </c>
      <c r="E10" s="2">
        <f>UTCATF!D10</f>
        <v>81.081348451888871</v>
      </c>
      <c r="F10" s="2">
        <f>UTCATF!E10</f>
        <v>69.536078761511106</v>
      </c>
      <c r="G10" s="2">
        <f>UTCATF!F10</f>
        <v>57.990809071133327</v>
      </c>
      <c r="H10" s="2">
        <f>UTCATF!G10</f>
        <v>46.445539380755555</v>
      </c>
      <c r="I10" s="2">
        <f>UTCATF!H10</f>
        <v>34.900269690377776</v>
      </c>
      <c r="J10" s="2">
        <f>UTCATF!I10</f>
        <v>23.355</v>
      </c>
      <c r="V10" s="2" t="s">
        <v>8</v>
      </c>
      <c r="W10" s="2">
        <f>UTCATF!B16</f>
        <v>94.935672080342201</v>
      </c>
      <c r="X10" s="2">
        <f>UTCATF!C16</f>
        <v>91.873231045492446</v>
      </c>
      <c r="Y10" s="2">
        <f>UTCATF!D16</f>
        <v>76.561025871243714</v>
      </c>
      <c r="Z10" s="2">
        <f>UTCATF!E16</f>
        <v>61.248820696994969</v>
      </c>
      <c r="AA10" s="2">
        <f>UTCATF!F16</f>
        <v>45.936615522746223</v>
      </c>
      <c r="AB10" s="2">
        <f>UTCATF!G16</f>
        <v>30.624410348497491</v>
      </c>
      <c r="AC10" s="2">
        <f>UTCATF!H16</f>
        <v>15.312205174248732</v>
      </c>
      <c r="AD10" s="2">
        <f>UTCATF!I16</f>
        <v>0</v>
      </c>
    </row>
    <row r="12" spans="2:30">
      <c r="I12" s="271"/>
      <c r="J12" s="271" t="s">
        <v>14</v>
      </c>
      <c r="K12" s="271" t="s">
        <v>148</v>
      </c>
      <c r="L12" s="271" t="s">
        <v>510</v>
      </c>
      <c r="M12" s="271" t="s">
        <v>414</v>
      </c>
      <c r="N12" s="271" t="s">
        <v>7</v>
      </c>
      <c r="O12" s="271" t="s">
        <v>511</v>
      </c>
      <c r="P12" s="271" t="s">
        <v>512</v>
      </c>
      <c r="Q12" s="271" t="s">
        <v>149</v>
      </c>
    </row>
    <row r="13" spans="2:30">
      <c r="I13" s="271" t="s">
        <v>513</v>
      </c>
      <c r="J13" s="376">
        <v>0.32</v>
      </c>
      <c r="K13" s="376">
        <v>0.44</v>
      </c>
      <c r="L13" s="376">
        <v>1</v>
      </c>
      <c r="M13" s="376">
        <v>0.4</v>
      </c>
      <c r="N13" s="376">
        <v>0.4</v>
      </c>
      <c r="O13" s="376">
        <v>0.4</v>
      </c>
      <c r="P13" s="376">
        <v>0.6</v>
      </c>
      <c r="Q13" s="376">
        <v>0.1</v>
      </c>
    </row>
    <row r="14" spans="2:30" ht="18">
      <c r="B14" s="409" t="s">
        <v>388</v>
      </c>
      <c r="C14" s="409"/>
      <c r="D14" s="409"/>
    </row>
    <row r="16" spans="2:30" ht="43.2">
      <c r="B16" s="264"/>
      <c r="C16" s="265" t="s">
        <v>51</v>
      </c>
      <c r="D16" s="265">
        <v>2019</v>
      </c>
      <c r="E16" s="265">
        <v>2020</v>
      </c>
      <c r="F16" s="265" t="s">
        <v>389</v>
      </c>
      <c r="I16" s="266" t="s">
        <v>390</v>
      </c>
      <c r="J16" s="265">
        <v>2019</v>
      </c>
      <c r="K16" s="265">
        <v>2020</v>
      </c>
      <c r="L16" s="265" t="s">
        <v>389</v>
      </c>
      <c r="O16" s="265" t="s">
        <v>50</v>
      </c>
      <c r="P16" s="265">
        <v>2019</v>
      </c>
      <c r="Q16" s="265">
        <v>2020</v>
      </c>
      <c r="R16" s="265" t="s">
        <v>389</v>
      </c>
      <c r="U16" s="299" t="s">
        <v>416</v>
      </c>
      <c r="V16" s="300" t="s">
        <v>414</v>
      </c>
      <c r="W16" s="300" t="s">
        <v>7</v>
      </c>
      <c r="X16" s="300" t="s">
        <v>415</v>
      </c>
      <c r="Y16" s="300" t="s">
        <v>411</v>
      </c>
      <c r="Z16" s="300" t="s">
        <v>399</v>
      </c>
      <c r="AA16" s="300" t="s">
        <v>400</v>
      </c>
      <c r="AB16" s="300"/>
    </row>
    <row r="17" spans="1:38">
      <c r="B17" s="267"/>
      <c r="C17" s="268" t="s">
        <v>391</v>
      </c>
      <c r="D17" s="269">
        <f>O45/O36</f>
        <v>-1.0895644799573842E-2</v>
      </c>
      <c r="E17" s="269">
        <v>-1.2872841444270016E-2</v>
      </c>
      <c r="F17" s="269">
        <f>AVERAGE(D17:E17)</f>
        <v>-1.188424312192193E-2</v>
      </c>
      <c r="I17" s="270" t="s">
        <v>392</v>
      </c>
      <c r="J17" s="271">
        <f>SUM(C36:N36)/O36</f>
        <v>-2.4524505875859126</v>
      </c>
      <c r="K17" s="271"/>
      <c r="L17" s="271">
        <f>AVERAGE(J17:K17)</f>
        <v>-2.4524505875859126</v>
      </c>
      <c r="O17" s="268" t="s">
        <v>391</v>
      </c>
      <c r="P17" s="269">
        <f>P45/P37</f>
        <v>0</v>
      </c>
      <c r="Q17" s="269">
        <v>0</v>
      </c>
      <c r="R17" s="269">
        <f>AVERAGE(P17:Q17)</f>
        <v>0</v>
      </c>
      <c r="V17">
        <f>I37/SUM($I$37:$N$37)</f>
        <v>0.9789613647140758</v>
      </c>
      <c r="W17">
        <f t="shared" ref="W17:AA17" si="2">J37/SUM($I$37:$N$37)</f>
        <v>0</v>
      </c>
      <c r="X17">
        <f t="shared" si="2"/>
        <v>0</v>
      </c>
      <c r="Y17">
        <f t="shared" si="2"/>
        <v>2.1038635285924208E-2</v>
      </c>
      <c r="Z17">
        <f t="shared" si="2"/>
        <v>0</v>
      </c>
      <c r="AA17">
        <f t="shared" si="2"/>
        <v>0</v>
      </c>
    </row>
    <row r="18" spans="1:38">
      <c r="B18" s="267"/>
      <c r="C18" s="268" t="s">
        <v>393</v>
      </c>
      <c r="D18" s="301">
        <f>O46/O36</f>
        <v>-6.4228560021488412E-2</v>
      </c>
      <c r="E18" s="269">
        <v>-6.3736263736263732E-2</v>
      </c>
      <c r="F18" s="301">
        <f>AVERAGE(D18:E18)</f>
        <v>-6.3982411878876072E-2</v>
      </c>
      <c r="I18" s="270" t="s">
        <v>50</v>
      </c>
      <c r="J18" s="271">
        <f>SUM(C37:N37)/P37</f>
        <v>-1.1697817034234352</v>
      </c>
      <c r="K18" s="271"/>
      <c r="L18" s="271">
        <f t="shared" ref="L18:L19" si="3">AVERAGE(J18:K18)</f>
        <v>-1.1697817034234352</v>
      </c>
      <c r="O18" s="268" t="s">
        <v>393</v>
      </c>
      <c r="P18" s="269">
        <f>P46/P37</f>
        <v>-7.7664401192794622E-2</v>
      </c>
      <c r="Q18" s="269">
        <v>-9.0909090909090912E-2</v>
      </c>
      <c r="R18" s="269">
        <f>AVERAGE(P18:Q18)</f>
        <v>-8.4286746050942774E-2</v>
      </c>
    </row>
    <row r="19" spans="1:38">
      <c r="B19" s="267"/>
      <c r="C19" s="272"/>
      <c r="D19" s="273"/>
      <c r="E19" s="273"/>
      <c r="F19" s="273"/>
      <c r="I19" s="270" t="s">
        <v>394</v>
      </c>
      <c r="J19" s="271">
        <f>(SUM(C36:N36)+SUM(C37:N37))/(O36+P37)</f>
        <v>-2.2864344769647169</v>
      </c>
      <c r="K19" s="271">
        <v>-2.3666206896551722</v>
      </c>
      <c r="L19" s="271">
        <f t="shared" si="3"/>
        <v>-2.3265275833099448</v>
      </c>
    </row>
    <row r="21" spans="1:38" ht="23.4">
      <c r="B21" s="410" t="s">
        <v>10</v>
      </c>
      <c r="C21" s="410"/>
      <c r="D21" s="410"/>
      <c r="E21" s="410"/>
      <c r="F21" s="410"/>
      <c r="G21" s="410"/>
      <c r="H21" s="410"/>
      <c r="I21" s="410"/>
      <c r="J21" s="410"/>
      <c r="K21" s="410"/>
      <c r="L21" s="410"/>
      <c r="M21" s="410"/>
      <c r="N21" s="410"/>
      <c r="O21" s="410"/>
      <c r="P21" s="410"/>
      <c r="Q21" s="410"/>
      <c r="R21" s="410"/>
      <c r="V21" s="410" t="s">
        <v>11</v>
      </c>
      <c r="W21" s="410"/>
      <c r="X21" s="410"/>
      <c r="Y21" s="410"/>
      <c r="Z21" s="410"/>
      <c r="AA21" s="410"/>
      <c r="AB21" s="410"/>
      <c r="AC21" s="410"/>
      <c r="AD21" s="410"/>
      <c r="AE21" s="410"/>
      <c r="AF21" s="410"/>
      <c r="AG21" s="410"/>
      <c r="AH21" s="410"/>
      <c r="AI21" s="410"/>
      <c r="AJ21" s="410"/>
      <c r="AK21" s="410"/>
      <c r="AL21" s="410"/>
    </row>
    <row r="22" spans="1:38">
      <c r="B22" t="s">
        <v>12</v>
      </c>
    </row>
    <row r="23" spans="1:38">
      <c r="B23" t="s">
        <v>13</v>
      </c>
    </row>
    <row r="25" spans="1:38">
      <c r="A25" s="404">
        <v>2019</v>
      </c>
      <c r="B25" s="408" t="s">
        <v>12</v>
      </c>
      <c r="C25" s="407" t="s">
        <v>14</v>
      </c>
      <c r="D25" s="407" t="s">
        <v>15</v>
      </c>
      <c r="E25" s="407" t="s">
        <v>16</v>
      </c>
      <c r="F25" s="407" t="s">
        <v>17</v>
      </c>
      <c r="G25" s="407" t="s">
        <v>395</v>
      </c>
      <c r="H25" s="407" t="s">
        <v>18</v>
      </c>
      <c r="I25" s="407" t="s">
        <v>19</v>
      </c>
      <c r="J25" s="407"/>
      <c r="K25" s="407"/>
      <c r="L25" s="407"/>
      <c r="M25" s="407"/>
      <c r="N25" s="407"/>
      <c r="O25" s="399" t="s">
        <v>396</v>
      </c>
      <c r="P25" s="399" t="s">
        <v>21</v>
      </c>
      <c r="Q25" s="399" t="s">
        <v>397</v>
      </c>
      <c r="R25" s="399" t="s">
        <v>23</v>
      </c>
      <c r="U25" s="404">
        <v>2019</v>
      </c>
      <c r="V25" s="408" t="s">
        <v>12</v>
      </c>
      <c r="W25" s="407" t="s">
        <v>14</v>
      </c>
      <c r="X25" s="407" t="s">
        <v>15</v>
      </c>
      <c r="Y25" s="407" t="s">
        <v>16</v>
      </c>
      <c r="Z25" s="407" t="s">
        <v>17</v>
      </c>
      <c r="AA25" s="407" t="s">
        <v>395</v>
      </c>
      <c r="AB25" s="407" t="s">
        <v>18</v>
      </c>
      <c r="AC25" s="407" t="s">
        <v>19</v>
      </c>
      <c r="AD25" s="407"/>
      <c r="AE25" s="407"/>
      <c r="AF25" s="407"/>
      <c r="AG25" s="407"/>
      <c r="AH25" s="407"/>
      <c r="AI25" s="399" t="s">
        <v>396</v>
      </c>
      <c r="AJ25" s="399" t="s">
        <v>21</v>
      </c>
      <c r="AK25" s="399" t="s">
        <v>397</v>
      </c>
      <c r="AL25" s="399" t="s">
        <v>23</v>
      </c>
    </row>
    <row r="26" spans="1:38" ht="45.6">
      <c r="A26" s="404"/>
      <c r="B26" s="408"/>
      <c r="C26" s="407"/>
      <c r="D26" s="407"/>
      <c r="E26" s="407"/>
      <c r="F26" s="407"/>
      <c r="G26" s="407"/>
      <c r="H26" s="407"/>
      <c r="I26" s="274" t="s">
        <v>384</v>
      </c>
      <c r="J26" s="274" t="s">
        <v>7</v>
      </c>
      <c r="K26" s="274" t="s">
        <v>385</v>
      </c>
      <c r="L26" s="274" t="s">
        <v>398</v>
      </c>
      <c r="M26" s="275" t="s">
        <v>399</v>
      </c>
      <c r="N26" s="274" t="s">
        <v>400</v>
      </c>
      <c r="O26" s="399"/>
      <c r="P26" s="399"/>
      <c r="Q26" s="399"/>
      <c r="R26" s="399"/>
      <c r="U26" s="404"/>
      <c r="V26" s="408"/>
      <c r="W26" s="407"/>
      <c r="X26" s="407"/>
      <c r="Y26" s="407"/>
      <c r="Z26" s="407"/>
      <c r="AA26" s="407"/>
      <c r="AB26" s="407"/>
      <c r="AC26" s="274" t="s">
        <v>384</v>
      </c>
      <c r="AD26" s="274" t="s">
        <v>7</v>
      </c>
      <c r="AE26" s="274" t="s">
        <v>385</v>
      </c>
      <c r="AF26" s="274" t="s">
        <v>398</v>
      </c>
      <c r="AG26" s="275" t="s">
        <v>399</v>
      </c>
      <c r="AH26" s="274" t="s">
        <v>400</v>
      </c>
      <c r="AI26" s="399"/>
      <c r="AJ26" s="399"/>
      <c r="AK26" s="399"/>
      <c r="AL26" s="399"/>
    </row>
    <row r="27" spans="1:38">
      <c r="A27" s="404"/>
      <c r="B27" s="276" t="s">
        <v>24</v>
      </c>
      <c r="C27" s="277">
        <v>0</v>
      </c>
      <c r="D27" s="278">
        <v>0</v>
      </c>
      <c r="E27" s="278">
        <v>0</v>
      </c>
      <c r="F27" s="277">
        <v>0</v>
      </c>
      <c r="G27" s="278">
        <v>0</v>
      </c>
      <c r="H27" s="278">
        <v>678.41346917349995</v>
      </c>
      <c r="I27" s="278">
        <v>1181.9392943361693</v>
      </c>
      <c r="J27" s="278">
        <v>0</v>
      </c>
      <c r="K27" s="278">
        <v>0</v>
      </c>
      <c r="L27" s="278">
        <v>93.31740854682198</v>
      </c>
      <c r="M27" s="278">
        <v>0</v>
      </c>
      <c r="N27" s="278">
        <v>634.28654437111891</v>
      </c>
      <c r="O27" s="279">
        <v>0</v>
      </c>
      <c r="P27" s="278">
        <v>0</v>
      </c>
      <c r="Q27" s="278">
        <v>0</v>
      </c>
      <c r="R27" s="280">
        <v>2587.9567164276104</v>
      </c>
      <c r="U27" s="404"/>
      <c r="V27" s="276" t="s">
        <v>24</v>
      </c>
      <c r="W27" s="277">
        <v>0</v>
      </c>
      <c r="X27" s="278">
        <v>0</v>
      </c>
      <c r="Y27" s="278">
        <v>0</v>
      </c>
      <c r="Z27" s="277">
        <v>0</v>
      </c>
      <c r="AA27" s="278">
        <v>0</v>
      </c>
      <c r="AB27" s="278">
        <v>678.41346917349995</v>
      </c>
      <c r="AC27" s="278">
        <v>1181.9392943361693</v>
      </c>
      <c r="AD27" s="278">
        <v>0</v>
      </c>
      <c r="AE27" s="278">
        <v>0</v>
      </c>
      <c r="AF27" s="278">
        <v>93.31740854682198</v>
      </c>
      <c r="AG27" s="278">
        <v>0</v>
      </c>
      <c r="AH27" s="278">
        <v>634.28654437111891</v>
      </c>
      <c r="AI27" s="279">
        <v>0</v>
      </c>
      <c r="AJ27" s="278">
        <v>0</v>
      </c>
      <c r="AK27" s="278">
        <v>0</v>
      </c>
      <c r="AL27" s="280">
        <v>2587.9567164276104</v>
      </c>
    </row>
    <row r="28" spans="1:38">
      <c r="A28" s="404"/>
      <c r="B28" s="276" t="s">
        <v>28</v>
      </c>
      <c r="C28" s="277">
        <v>3906.51387153</v>
      </c>
      <c r="D28" s="278">
        <v>0</v>
      </c>
      <c r="E28" s="278">
        <v>11016.7516611705</v>
      </c>
      <c r="F28" s="277">
        <v>0</v>
      </c>
      <c r="G28" s="278">
        <v>0</v>
      </c>
      <c r="H28" s="278">
        <v>0</v>
      </c>
      <c r="I28" s="278">
        <v>0</v>
      </c>
      <c r="J28" s="278">
        <v>0</v>
      </c>
      <c r="K28" s="278">
        <v>0</v>
      </c>
      <c r="L28" s="278">
        <v>0</v>
      </c>
      <c r="M28" s="278">
        <v>0</v>
      </c>
      <c r="N28" s="278">
        <v>0</v>
      </c>
      <c r="O28" s="279">
        <v>0</v>
      </c>
      <c r="P28" s="278">
        <v>0</v>
      </c>
      <c r="Q28" s="278">
        <v>0</v>
      </c>
      <c r="R28" s="280">
        <v>14923.2655327005</v>
      </c>
      <c r="U28" s="404"/>
      <c r="V28" s="276" t="s">
        <v>28</v>
      </c>
      <c r="W28" s="277">
        <v>3906.51387153</v>
      </c>
      <c r="X28" s="278">
        <v>0</v>
      </c>
      <c r="Y28" s="278">
        <v>11016.7516611705</v>
      </c>
      <c r="Z28" s="277">
        <v>0</v>
      </c>
      <c r="AA28" s="278">
        <v>0</v>
      </c>
      <c r="AB28" s="278">
        <v>0</v>
      </c>
      <c r="AC28" s="278">
        <v>0</v>
      </c>
      <c r="AD28" s="278">
        <v>0</v>
      </c>
      <c r="AE28" s="278">
        <v>0</v>
      </c>
      <c r="AF28" s="278">
        <v>0</v>
      </c>
      <c r="AG28" s="278">
        <v>0</v>
      </c>
      <c r="AH28" s="278">
        <v>0</v>
      </c>
      <c r="AI28" s="279">
        <v>0</v>
      </c>
      <c r="AJ28" s="278">
        <v>0</v>
      </c>
      <c r="AK28" s="278">
        <v>0</v>
      </c>
      <c r="AL28" s="280">
        <v>14923.2655327005</v>
      </c>
    </row>
    <row r="29" spans="1:38">
      <c r="A29" s="404"/>
      <c r="B29" s="276" t="s">
        <v>29</v>
      </c>
      <c r="C29" s="277">
        <v>0</v>
      </c>
      <c r="D29" s="278">
        <v>0</v>
      </c>
      <c r="E29" s="278">
        <v>-23.26</v>
      </c>
      <c r="F29" s="277">
        <v>0</v>
      </c>
      <c r="G29" s="278">
        <v>0</v>
      </c>
      <c r="H29" s="278">
        <v>0</v>
      </c>
      <c r="I29" s="278">
        <v>0</v>
      </c>
      <c r="J29" s="278">
        <v>0</v>
      </c>
      <c r="K29" s="278">
        <v>0</v>
      </c>
      <c r="L29" s="278">
        <v>0</v>
      </c>
      <c r="M29" s="278">
        <v>0</v>
      </c>
      <c r="N29" s="278">
        <v>0</v>
      </c>
      <c r="O29" s="279">
        <v>0</v>
      </c>
      <c r="P29" s="278">
        <v>0</v>
      </c>
      <c r="Q29" s="278">
        <v>0</v>
      </c>
      <c r="R29" s="280">
        <v>-23.26</v>
      </c>
      <c r="U29" s="404"/>
      <c r="V29" s="276" t="s">
        <v>29</v>
      </c>
      <c r="W29" s="277">
        <v>0</v>
      </c>
      <c r="X29" s="278">
        <v>0</v>
      </c>
      <c r="Y29" s="278">
        <v>-23.26</v>
      </c>
      <c r="Z29" s="277">
        <v>0</v>
      </c>
      <c r="AA29" s="278">
        <v>0</v>
      </c>
      <c r="AB29" s="278">
        <v>0</v>
      </c>
      <c r="AC29" s="278">
        <v>0</v>
      </c>
      <c r="AD29" s="278">
        <v>0</v>
      </c>
      <c r="AE29" s="278">
        <v>0</v>
      </c>
      <c r="AF29" s="278">
        <v>0</v>
      </c>
      <c r="AG29" s="278">
        <v>0</v>
      </c>
      <c r="AH29" s="278">
        <v>0</v>
      </c>
      <c r="AI29" s="279">
        <v>0</v>
      </c>
      <c r="AJ29" s="278">
        <v>0</v>
      </c>
      <c r="AK29" s="278">
        <v>0</v>
      </c>
      <c r="AL29" s="280">
        <v>-23.26</v>
      </c>
    </row>
    <row r="30" spans="1:38">
      <c r="A30" s="404"/>
      <c r="B30" s="276" t="s">
        <v>30</v>
      </c>
      <c r="C30" s="277">
        <v>0</v>
      </c>
      <c r="D30" s="278">
        <v>0</v>
      </c>
      <c r="E30" s="278">
        <v>0</v>
      </c>
      <c r="F30" s="277">
        <v>0</v>
      </c>
      <c r="G30" s="278">
        <v>0</v>
      </c>
      <c r="H30" s="278">
        <v>0</v>
      </c>
      <c r="I30" s="278">
        <v>0</v>
      </c>
      <c r="J30" s="278">
        <v>0</v>
      </c>
      <c r="K30" s="278">
        <v>0</v>
      </c>
      <c r="L30" s="278">
        <v>0</v>
      </c>
      <c r="M30" s="278">
        <v>0</v>
      </c>
      <c r="N30" s="278">
        <v>0</v>
      </c>
      <c r="O30" s="279">
        <v>0</v>
      </c>
      <c r="P30" s="278">
        <v>0</v>
      </c>
      <c r="Q30" s="278">
        <v>0</v>
      </c>
      <c r="R30" s="280">
        <v>0</v>
      </c>
      <c r="U30" s="404"/>
      <c r="V30" s="276" t="s">
        <v>30</v>
      </c>
      <c r="W30" s="277">
        <v>0</v>
      </c>
      <c r="X30" s="278">
        <v>0</v>
      </c>
      <c r="Y30" s="278">
        <v>0</v>
      </c>
      <c r="Z30" s="277">
        <v>0</v>
      </c>
      <c r="AA30" s="278">
        <v>0</v>
      </c>
      <c r="AB30" s="278">
        <v>0</v>
      </c>
      <c r="AC30" s="278">
        <v>0</v>
      </c>
      <c r="AD30" s="278">
        <v>0</v>
      </c>
      <c r="AE30" s="278">
        <v>0</v>
      </c>
      <c r="AF30" s="278">
        <v>0</v>
      </c>
      <c r="AG30" s="278">
        <v>0</v>
      </c>
      <c r="AH30" s="278">
        <v>0</v>
      </c>
      <c r="AI30" s="279">
        <v>0</v>
      </c>
      <c r="AJ30" s="278">
        <v>0</v>
      </c>
      <c r="AK30" s="278">
        <v>0</v>
      </c>
      <c r="AL30" s="280">
        <v>0</v>
      </c>
    </row>
    <row r="31" spans="1:38">
      <c r="A31" s="404"/>
      <c r="B31" s="276" t="s">
        <v>31</v>
      </c>
      <c r="C31" s="277">
        <v>0</v>
      </c>
      <c r="D31" s="278">
        <v>0</v>
      </c>
      <c r="E31" s="278">
        <v>-2458.7304444444399</v>
      </c>
      <c r="F31" s="277">
        <v>0</v>
      </c>
      <c r="G31" s="278">
        <v>0</v>
      </c>
      <c r="H31" s="278">
        <v>0</v>
      </c>
      <c r="I31" s="278">
        <v>0</v>
      </c>
      <c r="J31" s="278">
        <v>0</v>
      </c>
      <c r="K31" s="278">
        <v>0</v>
      </c>
      <c r="L31" s="278">
        <v>0</v>
      </c>
      <c r="M31" s="278">
        <v>0</v>
      </c>
      <c r="N31" s="278">
        <v>0</v>
      </c>
      <c r="O31" s="279">
        <v>0</v>
      </c>
      <c r="P31" s="278">
        <v>0</v>
      </c>
      <c r="Q31" s="278">
        <v>0</v>
      </c>
      <c r="R31" s="280">
        <v>-2458.7304444444399</v>
      </c>
      <c r="U31" s="404"/>
      <c r="V31" s="276" t="s">
        <v>31</v>
      </c>
      <c r="W31" s="277">
        <v>0</v>
      </c>
      <c r="X31" s="278">
        <v>0</v>
      </c>
      <c r="Y31" s="278">
        <v>-2458.7304444444399</v>
      </c>
      <c r="Z31" s="277">
        <v>0</v>
      </c>
      <c r="AA31" s="278">
        <v>0</v>
      </c>
      <c r="AB31" s="278">
        <v>0</v>
      </c>
      <c r="AC31" s="278">
        <v>0</v>
      </c>
      <c r="AD31" s="278">
        <v>0</v>
      </c>
      <c r="AE31" s="278">
        <v>0</v>
      </c>
      <c r="AF31" s="278">
        <v>0</v>
      </c>
      <c r="AG31" s="278">
        <v>0</v>
      </c>
      <c r="AH31" s="278">
        <v>0</v>
      </c>
      <c r="AI31" s="279">
        <v>0</v>
      </c>
      <c r="AJ31" s="278">
        <v>0</v>
      </c>
      <c r="AK31" s="278">
        <v>0</v>
      </c>
      <c r="AL31" s="280">
        <v>-2458.7304444444399</v>
      </c>
    </row>
    <row r="32" spans="1:38">
      <c r="A32" s="404"/>
      <c r="B32" s="276" t="s">
        <v>32</v>
      </c>
      <c r="C32" s="277">
        <v>270.98212847000099</v>
      </c>
      <c r="D32" s="278">
        <v>0</v>
      </c>
      <c r="E32" s="278">
        <v>0</v>
      </c>
      <c r="F32" s="277">
        <v>0</v>
      </c>
      <c r="G32" s="278">
        <v>0</v>
      </c>
      <c r="H32" s="278">
        <v>0</v>
      </c>
      <c r="I32" s="278">
        <v>0</v>
      </c>
      <c r="J32" s="278">
        <v>0</v>
      </c>
      <c r="K32" s="278">
        <v>0</v>
      </c>
      <c r="L32" s="278">
        <v>0</v>
      </c>
      <c r="M32" s="278">
        <v>0</v>
      </c>
      <c r="N32" s="278">
        <v>0</v>
      </c>
      <c r="O32" s="279">
        <v>0</v>
      </c>
      <c r="P32" s="278">
        <v>0</v>
      </c>
      <c r="Q32" s="278">
        <v>0</v>
      </c>
      <c r="R32" s="280">
        <v>270.98212847000099</v>
      </c>
      <c r="U32" s="404"/>
      <c r="V32" s="276" t="s">
        <v>32</v>
      </c>
      <c r="W32" s="277">
        <v>270.98212847000099</v>
      </c>
      <c r="X32" s="278">
        <v>0</v>
      </c>
      <c r="Y32" s="278">
        <v>0</v>
      </c>
      <c r="Z32" s="277">
        <v>0</v>
      </c>
      <c r="AA32" s="278">
        <v>0</v>
      </c>
      <c r="AB32" s="278">
        <v>0</v>
      </c>
      <c r="AC32" s="278">
        <v>0</v>
      </c>
      <c r="AD32" s="278">
        <v>0</v>
      </c>
      <c r="AE32" s="278">
        <v>0</v>
      </c>
      <c r="AF32" s="278">
        <v>0</v>
      </c>
      <c r="AG32" s="278">
        <v>0</v>
      </c>
      <c r="AH32" s="278">
        <v>0</v>
      </c>
      <c r="AI32" s="279">
        <v>0</v>
      </c>
      <c r="AJ32" s="278">
        <v>0</v>
      </c>
      <c r="AK32" s="278">
        <v>0</v>
      </c>
      <c r="AL32" s="280">
        <v>270.98212847000099</v>
      </c>
    </row>
    <row r="33" spans="1:38">
      <c r="A33" s="404"/>
      <c r="B33" s="281" t="s">
        <v>401</v>
      </c>
      <c r="C33" s="282">
        <v>4177.496000000001</v>
      </c>
      <c r="D33" s="282">
        <v>0</v>
      </c>
      <c r="E33" s="282">
        <v>8534.7612167260595</v>
      </c>
      <c r="F33" s="282">
        <v>0</v>
      </c>
      <c r="G33" s="282">
        <v>0</v>
      </c>
      <c r="H33" s="282">
        <v>678.41346917349995</v>
      </c>
      <c r="I33" s="282">
        <v>1181.9392943361693</v>
      </c>
      <c r="J33" s="282">
        <v>0</v>
      </c>
      <c r="K33" s="282">
        <v>0</v>
      </c>
      <c r="L33" s="282">
        <v>93.31740854682198</v>
      </c>
      <c r="M33" s="282">
        <v>0</v>
      </c>
      <c r="N33" s="282">
        <v>634.28654437111891</v>
      </c>
      <c r="O33" s="282">
        <v>0</v>
      </c>
      <c r="P33" s="282">
        <v>0</v>
      </c>
      <c r="Q33" s="282">
        <v>0</v>
      </c>
      <c r="R33" s="282">
        <v>15300.213933153671</v>
      </c>
      <c r="U33" s="404"/>
      <c r="V33" s="281" t="s">
        <v>401</v>
      </c>
      <c r="W33" s="282">
        <v>4177.496000000001</v>
      </c>
      <c r="X33" s="282">
        <v>0</v>
      </c>
      <c r="Y33" s="282">
        <v>8534.7612167260595</v>
      </c>
      <c r="Z33" s="282">
        <v>0</v>
      </c>
      <c r="AA33" s="282">
        <v>0</v>
      </c>
      <c r="AB33" s="282">
        <v>678.41346917349995</v>
      </c>
      <c r="AC33" s="282">
        <v>1181.9392943361693</v>
      </c>
      <c r="AD33" s="282">
        <v>0</v>
      </c>
      <c r="AE33" s="282">
        <v>0</v>
      </c>
      <c r="AF33" s="282">
        <v>93.31740854682198</v>
      </c>
      <c r="AG33" s="282">
        <v>0</v>
      </c>
      <c r="AH33" s="282">
        <v>634.28654437111891</v>
      </c>
      <c r="AI33" s="282">
        <v>0</v>
      </c>
      <c r="AJ33" s="282">
        <v>0</v>
      </c>
      <c r="AK33" s="282">
        <v>0</v>
      </c>
      <c r="AL33" s="282">
        <v>15300.213933153671</v>
      </c>
    </row>
    <row r="34" spans="1:38">
      <c r="A34" s="404"/>
      <c r="B34" s="283"/>
      <c r="C34" s="284"/>
      <c r="D34" s="252"/>
      <c r="E34" s="285"/>
      <c r="F34" s="284"/>
      <c r="G34" s="284"/>
      <c r="H34" s="284"/>
      <c r="I34" s="284"/>
      <c r="J34" s="284"/>
      <c r="K34" s="284"/>
      <c r="L34" s="284"/>
      <c r="M34" s="284"/>
      <c r="N34" s="284"/>
      <c r="O34" s="284"/>
      <c r="P34" s="284"/>
      <c r="Q34" s="284"/>
      <c r="R34" s="284"/>
      <c r="U34" s="404"/>
      <c r="V34" s="283"/>
      <c r="W34" s="284"/>
      <c r="X34" s="252"/>
      <c r="Y34" s="285"/>
      <c r="Z34" s="284"/>
      <c r="AA34" s="284"/>
      <c r="AB34" s="284"/>
      <c r="AC34" s="284"/>
      <c r="AD34" s="284"/>
      <c r="AE34" s="284"/>
      <c r="AF34" s="284"/>
      <c r="AG34" s="284"/>
      <c r="AH34" s="284"/>
      <c r="AI34" s="293"/>
      <c r="AJ34" s="284"/>
      <c r="AK34" s="284"/>
      <c r="AL34" s="284"/>
    </row>
    <row r="35" spans="1:38">
      <c r="A35" s="404"/>
      <c r="B35" s="286" t="s">
        <v>402</v>
      </c>
      <c r="C35" s="277">
        <v>0</v>
      </c>
      <c r="D35" s="287">
        <v>3.2179259504107556E-2</v>
      </c>
      <c r="E35" s="287">
        <v>-459.17389464745298</v>
      </c>
      <c r="F35" s="277">
        <v>0</v>
      </c>
      <c r="G35" s="277">
        <v>0</v>
      </c>
      <c r="H35" s="277">
        <v>0</v>
      </c>
      <c r="I35" s="277">
        <v>0</v>
      </c>
      <c r="J35" s="277">
        <v>0</v>
      </c>
      <c r="K35" s="277">
        <v>0</v>
      </c>
      <c r="L35" s="277">
        <v>0</v>
      </c>
      <c r="M35" s="277">
        <v>0</v>
      </c>
      <c r="N35" s="277">
        <v>0</v>
      </c>
      <c r="O35" s="277">
        <v>194.98025186886599</v>
      </c>
      <c r="P35" s="277">
        <v>0</v>
      </c>
      <c r="Q35" s="277">
        <v>0</v>
      </c>
      <c r="R35" s="288">
        <v>-264.16146351908287</v>
      </c>
      <c r="U35" s="404"/>
      <c r="V35" s="286" t="s">
        <v>402</v>
      </c>
      <c r="W35" s="277">
        <v>0</v>
      </c>
      <c r="X35" s="287">
        <v>3.2179259504107556E-2</v>
      </c>
      <c r="Y35" s="287">
        <v>-459.17389464745298</v>
      </c>
      <c r="Z35" s="277">
        <v>0</v>
      </c>
      <c r="AA35" s="277">
        <v>0</v>
      </c>
      <c r="AB35" s="277">
        <v>0</v>
      </c>
      <c r="AC35" s="277">
        <v>0</v>
      </c>
      <c r="AD35" s="277">
        <v>0</v>
      </c>
      <c r="AE35" s="277">
        <v>0</v>
      </c>
      <c r="AF35" s="277">
        <v>0</v>
      </c>
      <c r="AG35" s="277">
        <v>0</v>
      </c>
      <c r="AH35" s="277">
        <v>0</v>
      </c>
      <c r="AI35" s="277">
        <v>194.98025186886599</v>
      </c>
      <c r="AJ35" s="277">
        <v>0</v>
      </c>
      <c r="AK35" s="277">
        <v>0</v>
      </c>
      <c r="AL35" s="288">
        <v>-264.16146351908287</v>
      </c>
    </row>
    <row r="36" spans="1:38">
      <c r="A36" s="404"/>
      <c r="B36" s="286" t="s">
        <v>403</v>
      </c>
      <c r="C36" s="277">
        <v>4177.4960000000001</v>
      </c>
      <c r="D36" s="277">
        <v>0</v>
      </c>
      <c r="E36" s="277">
        <v>2289.374322315</v>
      </c>
      <c r="F36" s="277">
        <v>0</v>
      </c>
      <c r="G36" s="277">
        <v>0</v>
      </c>
      <c r="H36" s="277">
        <v>678.41346917349995</v>
      </c>
      <c r="I36" s="289">
        <v>572.19046540256113</v>
      </c>
      <c r="J36" s="289">
        <v>0</v>
      </c>
      <c r="K36" s="289">
        <v>0</v>
      </c>
      <c r="L36" s="289">
        <v>77.694205229088965</v>
      </c>
      <c r="M36" s="289">
        <v>0</v>
      </c>
      <c r="N36" s="289">
        <v>0</v>
      </c>
      <c r="O36" s="277">
        <v>-3178.5221286735</v>
      </c>
      <c r="P36" s="277">
        <v>0</v>
      </c>
      <c r="Q36" s="277">
        <v>0</v>
      </c>
      <c r="R36" s="288">
        <v>4616.6463334466498</v>
      </c>
      <c r="U36" s="404"/>
      <c r="V36" s="286" t="s">
        <v>403</v>
      </c>
      <c r="W36" s="277">
        <v>4177.4960000000001</v>
      </c>
      <c r="X36" s="277">
        <v>0</v>
      </c>
      <c r="Y36" s="277">
        <v>2289.374322315</v>
      </c>
      <c r="Z36" s="277">
        <v>0</v>
      </c>
      <c r="AA36" s="277">
        <v>0</v>
      </c>
      <c r="AB36" s="277">
        <v>678.41346917349995</v>
      </c>
      <c r="AC36" s="289">
        <v>572.19046540256113</v>
      </c>
      <c r="AD36" s="289">
        <v>0</v>
      </c>
      <c r="AE36" s="289">
        <v>0</v>
      </c>
      <c r="AF36" s="289">
        <v>77.694205229088965</v>
      </c>
      <c r="AG36" s="289">
        <v>0</v>
      </c>
      <c r="AH36" s="289">
        <v>0</v>
      </c>
      <c r="AI36" s="277">
        <v>-3178.5221286735</v>
      </c>
      <c r="AJ36" s="277">
        <v>0</v>
      </c>
      <c r="AK36" s="277">
        <v>0</v>
      </c>
      <c r="AL36" s="288">
        <v>4616.6463334466498</v>
      </c>
    </row>
    <row r="37" spans="1:38">
      <c r="A37" s="404"/>
      <c r="B37" s="286" t="s">
        <v>404</v>
      </c>
      <c r="C37" s="277">
        <v>0</v>
      </c>
      <c r="D37" s="277">
        <v>0</v>
      </c>
      <c r="E37" s="277">
        <v>0</v>
      </c>
      <c r="F37" s="277">
        <v>0</v>
      </c>
      <c r="G37" s="277">
        <v>0</v>
      </c>
      <c r="H37" s="277">
        <v>0</v>
      </c>
      <c r="I37" s="289">
        <v>541.16250968245993</v>
      </c>
      <c r="J37" s="289">
        <v>0</v>
      </c>
      <c r="K37" s="289">
        <v>0</v>
      </c>
      <c r="L37" s="289">
        <v>11.63</v>
      </c>
      <c r="M37" s="289">
        <v>0</v>
      </c>
      <c r="N37" s="289">
        <v>0</v>
      </c>
      <c r="O37" s="277">
        <v>0</v>
      </c>
      <c r="P37" s="277">
        <v>-472.56040000000002</v>
      </c>
      <c r="Q37" s="277">
        <v>0</v>
      </c>
      <c r="R37" s="288">
        <v>80.232109682459907</v>
      </c>
      <c r="U37" s="404"/>
      <c r="V37" s="286" t="s">
        <v>404</v>
      </c>
      <c r="W37" s="277">
        <v>0</v>
      </c>
      <c r="X37" s="277">
        <v>0</v>
      </c>
      <c r="Y37" s="277">
        <v>0</v>
      </c>
      <c r="Z37" s="277">
        <v>0</v>
      </c>
      <c r="AA37" s="277">
        <v>0</v>
      </c>
      <c r="AB37" s="277">
        <v>0</v>
      </c>
      <c r="AC37" s="289">
        <v>541.16250968245993</v>
      </c>
      <c r="AD37" s="289">
        <v>0</v>
      </c>
      <c r="AE37" s="289">
        <v>0</v>
      </c>
      <c r="AF37" s="289">
        <v>11.63</v>
      </c>
      <c r="AG37" s="289">
        <v>0</v>
      </c>
      <c r="AH37" s="289">
        <v>0</v>
      </c>
      <c r="AI37" s="277">
        <v>0</v>
      </c>
      <c r="AJ37" s="277">
        <v>-472.56040000000002</v>
      </c>
      <c r="AK37" s="277">
        <v>0</v>
      </c>
      <c r="AL37" s="288">
        <v>80.232109682459907</v>
      </c>
    </row>
    <row r="38" spans="1:38">
      <c r="A38" s="404"/>
      <c r="B38" s="286" t="s">
        <v>405</v>
      </c>
      <c r="C38" s="277">
        <v>0</v>
      </c>
      <c r="D38" s="277">
        <v>0</v>
      </c>
      <c r="E38" s="277">
        <v>0</v>
      </c>
      <c r="F38" s="277">
        <v>0</v>
      </c>
      <c r="G38" s="277">
        <v>0</v>
      </c>
      <c r="H38" s="277">
        <v>0</v>
      </c>
      <c r="I38" s="290">
        <v>0</v>
      </c>
      <c r="J38" s="290">
        <v>0</v>
      </c>
      <c r="K38" s="290">
        <v>0</v>
      </c>
      <c r="L38" s="290">
        <v>0</v>
      </c>
      <c r="M38" s="290">
        <v>0</v>
      </c>
      <c r="N38" s="290">
        <v>0</v>
      </c>
      <c r="O38" s="277">
        <v>0</v>
      </c>
      <c r="P38" s="277">
        <v>0</v>
      </c>
      <c r="Q38" s="277">
        <v>0</v>
      </c>
      <c r="R38" s="288">
        <v>0</v>
      </c>
      <c r="U38" s="404"/>
      <c r="V38" s="286" t="s">
        <v>405</v>
      </c>
      <c r="W38" s="277">
        <v>0</v>
      </c>
      <c r="X38" s="277">
        <v>0</v>
      </c>
      <c r="Y38" s="277">
        <v>0</v>
      </c>
      <c r="Z38" s="277">
        <v>0</v>
      </c>
      <c r="AA38" s="277">
        <v>0</v>
      </c>
      <c r="AB38" s="277">
        <v>0</v>
      </c>
      <c r="AC38" s="290">
        <v>0</v>
      </c>
      <c r="AD38" s="290">
        <v>0</v>
      </c>
      <c r="AE38" s="290">
        <v>0</v>
      </c>
      <c r="AF38" s="290">
        <v>0</v>
      </c>
      <c r="AG38" s="290">
        <v>0</v>
      </c>
      <c r="AH38" s="290">
        <v>0</v>
      </c>
      <c r="AI38" s="277">
        <v>0</v>
      </c>
      <c r="AJ38" s="277">
        <v>0</v>
      </c>
      <c r="AK38" s="277">
        <v>0</v>
      </c>
      <c r="AL38" s="288">
        <v>0</v>
      </c>
    </row>
    <row r="39" spans="1:38">
      <c r="A39" s="404"/>
      <c r="B39" s="286" t="s">
        <v>406</v>
      </c>
      <c r="C39" s="277">
        <v>0</v>
      </c>
      <c r="D39" s="277">
        <v>0</v>
      </c>
      <c r="E39" s="277">
        <v>0</v>
      </c>
      <c r="F39" s="277">
        <v>0</v>
      </c>
      <c r="G39" s="277">
        <v>0</v>
      </c>
      <c r="H39" s="277">
        <v>0</v>
      </c>
      <c r="I39" s="277">
        <v>0</v>
      </c>
      <c r="J39" s="277">
        <v>0</v>
      </c>
      <c r="K39" s="277">
        <v>0</v>
      </c>
      <c r="L39" s="277">
        <v>0</v>
      </c>
      <c r="M39" s="277">
        <v>0</v>
      </c>
      <c r="N39" s="277">
        <v>0</v>
      </c>
      <c r="O39" s="277">
        <v>0</v>
      </c>
      <c r="P39" s="277">
        <v>0</v>
      </c>
      <c r="Q39" s="277">
        <v>0</v>
      </c>
      <c r="R39" s="288">
        <v>0</v>
      </c>
      <c r="U39" s="404"/>
      <c r="V39" s="286" t="s">
        <v>406</v>
      </c>
      <c r="W39" s="277">
        <v>0</v>
      </c>
      <c r="X39" s="277">
        <v>0</v>
      </c>
      <c r="Y39" s="277">
        <v>0</v>
      </c>
      <c r="Z39" s="277">
        <v>0</v>
      </c>
      <c r="AA39" s="277">
        <v>0</v>
      </c>
      <c r="AB39" s="277">
        <v>0</v>
      </c>
      <c r="AC39" s="277">
        <v>0</v>
      </c>
      <c r="AD39" s="277">
        <v>0</v>
      </c>
      <c r="AE39" s="277">
        <v>0</v>
      </c>
      <c r="AF39" s="277">
        <v>0</v>
      </c>
      <c r="AG39" s="277">
        <v>0</v>
      </c>
      <c r="AH39" s="277">
        <v>0</v>
      </c>
      <c r="AI39" s="277">
        <v>0</v>
      </c>
      <c r="AJ39" s="277">
        <v>0</v>
      </c>
      <c r="AK39" s="277">
        <v>0</v>
      </c>
      <c r="AL39" s="288">
        <v>0</v>
      </c>
    </row>
    <row r="40" spans="1:38">
      <c r="A40" s="404"/>
      <c r="B40" s="286" t="s">
        <v>36</v>
      </c>
      <c r="C40" s="277">
        <v>0</v>
      </c>
      <c r="D40" s="277">
        <v>0</v>
      </c>
      <c r="E40" s="277">
        <v>0</v>
      </c>
      <c r="F40" s="277">
        <v>0</v>
      </c>
      <c r="G40" s="277">
        <v>0</v>
      </c>
      <c r="H40" s="277">
        <v>0</v>
      </c>
      <c r="I40" s="277">
        <v>0</v>
      </c>
      <c r="J40" s="277">
        <v>0</v>
      </c>
      <c r="K40" s="277">
        <v>0</v>
      </c>
      <c r="L40" s="277">
        <v>0</v>
      </c>
      <c r="M40" s="277">
        <v>0</v>
      </c>
      <c r="N40" s="277">
        <v>0</v>
      </c>
      <c r="O40" s="277">
        <v>0</v>
      </c>
      <c r="P40" s="277">
        <v>0</v>
      </c>
      <c r="Q40" s="277">
        <v>0</v>
      </c>
      <c r="R40" s="288">
        <v>0</v>
      </c>
      <c r="U40" s="404"/>
      <c r="V40" s="286" t="s">
        <v>36</v>
      </c>
      <c r="W40" s="277">
        <v>0</v>
      </c>
      <c r="X40" s="277">
        <v>0</v>
      </c>
      <c r="Y40" s="277">
        <v>0</v>
      </c>
      <c r="Z40" s="277">
        <v>0</v>
      </c>
      <c r="AA40" s="277">
        <v>0</v>
      </c>
      <c r="AB40" s="277">
        <v>0</v>
      </c>
      <c r="AC40" s="277">
        <v>0</v>
      </c>
      <c r="AD40" s="277">
        <v>0</v>
      </c>
      <c r="AE40" s="277">
        <v>0</v>
      </c>
      <c r="AF40" s="277">
        <v>0</v>
      </c>
      <c r="AG40" s="277">
        <v>0</v>
      </c>
      <c r="AH40" s="277">
        <v>0</v>
      </c>
      <c r="AI40" s="277">
        <v>0</v>
      </c>
      <c r="AJ40" s="277">
        <v>0</v>
      </c>
      <c r="AK40" s="277">
        <v>0</v>
      </c>
      <c r="AL40" s="288">
        <v>0</v>
      </c>
    </row>
    <row r="41" spans="1:38">
      <c r="A41" s="404"/>
      <c r="B41" s="286" t="s">
        <v>407</v>
      </c>
      <c r="C41" s="277">
        <v>0</v>
      </c>
      <c r="D41" s="277">
        <v>0</v>
      </c>
      <c r="E41" s="277">
        <v>0</v>
      </c>
      <c r="F41" s="277">
        <v>0</v>
      </c>
      <c r="G41" s="277">
        <v>0</v>
      </c>
      <c r="H41" s="277">
        <v>0</v>
      </c>
      <c r="I41" s="277">
        <v>0</v>
      </c>
      <c r="J41" s="277">
        <v>0</v>
      </c>
      <c r="K41" s="277">
        <v>0</v>
      </c>
      <c r="L41" s="277">
        <v>0</v>
      </c>
      <c r="M41" s="277">
        <v>0</v>
      </c>
      <c r="N41" s="277">
        <v>0</v>
      </c>
      <c r="O41" s="277">
        <v>0</v>
      </c>
      <c r="P41" s="277">
        <v>0</v>
      </c>
      <c r="Q41" s="277">
        <v>0</v>
      </c>
      <c r="R41" s="288">
        <v>0</v>
      </c>
      <c r="U41" s="404"/>
      <c r="V41" s="286" t="s">
        <v>407</v>
      </c>
      <c r="W41" s="277">
        <v>0</v>
      </c>
      <c r="X41" s="277">
        <v>0</v>
      </c>
      <c r="Y41" s="277">
        <v>0</v>
      </c>
      <c r="Z41" s="277">
        <v>0</v>
      </c>
      <c r="AA41" s="277">
        <v>0</v>
      </c>
      <c r="AB41" s="277">
        <v>0</v>
      </c>
      <c r="AC41" s="277">
        <v>0</v>
      </c>
      <c r="AD41" s="277">
        <v>0</v>
      </c>
      <c r="AE41" s="277">
        <v>0</v>
      </c>
      <c r="AF41" s="277">
        <v>0</v>
      </c>
      <c r="AG41" s="277">
        <v>0</v>
      </c>
      <c r="AH41" s="277">
        <v>0</v>
      </c>
      <c r="AI41" s="277">
        <v>0</v>
      </c>
      <c r="AJ41" s="277">
        <v>0</v>
      </c>
      <c r="AK41" s="277">
        <v>0</v>
      </c>
      <c r="AL41" s="288">
        <v>0</v>
      </c>
    </row>
    <row r="42" spans="1:38">
      <c r="A42" s="404"/>
      <c r="B42" s="286" t="s">
        <v>408</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88">
        <v>0</v>
      </c>
      <c r="U42" s="404"/>
      <c r="V42" s="286" t="s">
        <v>408</v>
      </c>
      <c r="W42" s="277">
        <v>0</v>
      </c>
      <c r="X42" s="277">
        <v>0</v>
      </c>
      <c r="Y42" s="277">
        <v>0</v>
      </c>
      <c r="Z42" s="277">
        <v>0</v>
      </c>
      <c r="AA42" s="277">
        <v>0</v>
      </c>
      <c r="AB42" s="277">
        <v>0</v>
      </c>
      <c r="AC42" s="277">
        <v>0</v>
      </c>
      <c r="AD42" s="277">
        <v>0</v>
      </c>
      <c r="AE42" s="277">
        <v>0</v>
      </c>
      <c r="AF42" s="277">
        <v>0</v>
      </c>
      <c r="AG42" s="277">
        <v>0</v>
      </c>
      <c r="AH42" s="277">
        <v>0</v>
      </c>
      <c r="AI42" s="277">
        <v>0</v>
      </c>
      <c r="AJ42" s="277">
        <v>0</v>
      </c>
      <c r="AK42" s="277">
        <v>0</v>
      </c>
      <c r="AL42" s="288">
        <v>0</v>
      </c>
    </row>
    <row r="43" spans="1:38">
      <c r="A43" s="404"/>
      <c r="B43" s="286" t="s">
        <v>409</v>
      </c>
      <c r="C43" s="277">
        <v>0</v>
      </c>
      <c r="D43" s="277">
        <v>0</v>
      </c>
      <c r="E43" s="277">
        <v>0</v>
      </c>
      <c r="F43" s="277">
        <v>0</v>
      </c>
      <c r="G43" s="277">
        <v>0</v>
      </c>
      <c r="H43" s="277">
        <v>0</v>
      </c>
      <c r="I43" s="277">
        <v>0</v>
      </c>
      <c r="J43" s="277">
        <v>0</v>
      </c>
      <c r="K43" s="277">
        <v>0</v>
      </c>
      <c r="L43" s="277">
        <v>0</v>
      </c>
      <c r="M43" s="277">
        <v>0</v>
      </c>
      <c r="N43" s="277">
        <v>0</v>
      </c>
      <c r="O43" s="277">
        <v>0</v>
      </c>
      <c r="P43" s="277">
        <v>0</v>
      </c>
      <c r="Q43" s="277">
        <v>0</v>
      </c>
      <c r="R43" s="288">
        <v>0</v>
      </c>
      <c r="U43" s="404"/>
      <c r="V43" s="286" t="s">
        <v>409</v>
      </c>
      <c r="W43" s="277">
        <v>0</v>
      </c>
      <c r="X43" s="277">
        <v>0</v>
      </c>
      <c r="Y43" s="277">
        <v>0</v>
      </c>
      <c r="Z43" s="277">
        <v>0</v>
      </c>
      <c r="AA43" s="277">
        <v>0</v>
      </c>
      <c r="AB43" s="277">
        <v>0</v>
      </c>
      <c r="AC43" s="277">
        <v>0</v>
      </c>
      <c r="AD43" s="277">
        <v>0</v>
      </c>
      <c r="AE43" s="277">
        <v>0</v>
      </c>
      <c r="AF43" s="277">
        <v>0</v>
      </c>
      <c r="AG43" s="277">
        <v>0</v>
      </c>
      <c r="AH43" s="277">
        <v>0</v>
      </c>
      <c r="AI43" s="277">
        <v>0</v>
      </c>
      <c r="AJ43" s="277">
        <v>0</v>
      </c>
      <c r="AK43" s="277">
        <v>0</v>
      </c>
      <c r="AL43" s="288">
        <v>0</v>
      </c>
    </row>
    <row r="44" spans="1:38">
      <c r="A44" s="404"/>
      <c r="B44" s="286" t="s">
        <v>37</v>
      </c>
      <c r="C44" s="277">
        <v>0</v>
      </c>
      <c r="D44" s="277">
        <v>0</v>
      </c>
      <c r="E44" s="277">
        <v>0</v>
      </c>
      <c r="F44" s="277">
        <v>0</v>
      </c>
      <c r="G44" s="277">
        <v>0</v>
      </c>
      <c r="H44" s="277">
        <v>0</v>
      </c>
      <c r="I44" s="277">
        <v>0</v>
      </c>
      <c r="J44" s="277">
        <v>0</v>
      </c>
      <c r="K44" s="277">
        <v>0</v>
      </c>
      <c r="L44" s="277">
        <v>0</v>
      </c>
      <c r="M44" s="277">
        <v>0</v>
      </c>
      <c r="N44" s="277">
        <v>0</v>
      </c>
      <c r="O44" s="277">
        <v>0</v>
      </c>
      <c r="P44" s="277">
        <v>0</v>
      </c>
      <c r="Q44" s="277">
        <v>0</v>
      </c>
      <c r="R44" s="288">
        <v>0</v>
      </c>
      <c r="U44" s="404"/>
      <c r="V44" s="286" t="s">
        <v>37</v>
      </c>
      <c r="W44" s="277">
        <v>0</v>
      </c>
      <c r="X44" s="277">
        <v>0</v>
      </c>
      <c r="Y44" s="277">
        <v>0</v>
      </c>
      <c r="Z44" s="277">
        <v>0</v>
      </c>
      <c r="AA44" s="277">
        <v>0</v>
      </c>
      <c r="AB44" s="277">
        <v>0</v>
      </c>
      <c r="AC44" s="277">
        <v>0</v>
      </c>
      <c r="AD44" s="277">
        <v>0</v>
      </c>
      <c r="AE44" s="277">
        <v>0</v>
      </c>
      <c r="AF44" s="277">
        <v>0</v>
      </c>
      <c r="AG44" s="277">
        <v>0</v>
      </c>
      <c r="AH44" s="277">
        <v>0</v>
      </c>
      <c r="AI44" s="277">
        <v>0</v>
      </c>
      <c r="AJ44" s="277">
        <v>0</v>
      </c>
      <c r="AK44" s="277">
        <v>0</v>
      </c>
      <c r="AL44" s="288">
        <v>0</v>
      </c>
    </row>
    <row r="45" spans="1:38">
      <c r="A45" s="404"/>
      <c r="B45" s="286" t="s">
        <v>38</v>
      </c>
      <c r="C45" s="277">
        <v>0</v>
      </c>
      <c r="D45" s="277">
        <v>0</v>
      </c>
      <c r="E45" s="277">
        <v>0</v>
      </c>
      <c r="F45" s="277">
        <v>0</v>
      </c>
      <c r="G45" s="277">
        <v>0</v>
      </c>
      <c r="H45" s="277">
        <v>0</v>
      </c>
      <c r="I45" s="277">
        <v>0</v>
      </c>
      <c r="J45" s="277">
        <v>0</v>
      </c>
      <c r="K45" s="277">
        <v>0</v>
      </c>
      <c r="L45" s="277">
        <v>0</v>
      </c>
      <c r="M45" s="277">
        <v>0</v>
      </c>
      <c r="N45" s="277">
        <v>0</v>
      </c>
      <c r="O45" s="277">
        <v>34.632048101611801</v>
      </c>
      <c r="P45" s="277">
        <v>0</v>
      </c>
      <c r="Q45" s="277">
        <v>0</v>
      </c>
      <c r="R45" s="288">
        <v>34.632048101611801</v>
      </c>
      <c r="U45" s="404"/>
      <c r="V45" s="286" t="s">
        <v>38</v>
      </c>
      <c r="W45" s="277">
        <v>0</v>
      </c>
      <c r="X45" s="277">
        <v>0</v>
      </c>
      <c r="Y45" s="277">
        <v>0</v>
      </c>
      <c r="Z45" s="277">
        <v>0</v>
      </c>
      <c r="AA45" s="277">
        <v>0</v>
      </c>
      <c r="AB45" s="277">
        <v>0</v>
      </c>
      <c r="AC45" s="277">
        <v>0</v>
      </c>
      <c r="AD45" s="277">
        <v>0</v>
      </c>
      <c r="AE45" s="277">
        <v>0</v>
      </c>
      <c r="AF45" s="277">
        <v>0</v>
      </c>
      <c r="AG45" s="277">
        <v>0</v>
      </c>
      <c r="AH45" s="277">
        <v>0</v>
      </c>
      <c r="AI45" s="277">
        <v>34.632048101611801</v>
      </c>
      <c r="AJ45" s="277">
        <v>0</v>
      </c>
      <c r="AK45" s="277">
        <v>0</v>
      </c>
      <c r="AL45" s="288">
        <v>34.632048101611801</v>
      </c>
    </row>
    <row r="46" spans="1:38">
      <c r="A46" s="404"/>
      <c r="B46" s="286" t="s">
        <v>39</v>
      </c>
      <c r="C46" s="277">
        <v>0</v>
      </c>
      <c r="D46" s="277">
        <v>0</v>
      </c>
      <c r="E46" s="277">
        <v>0</v>
      </c>
      <c r="F46" s="277">
        <v>0</v>
      </c>
      <c r="G46" s="277">
        <v>0</v>
      </c>
      <c r="H46" s="277">
        <v>0</v>
      </c>
      <c r="I46" s="277">
        <v>0</v>
      </c>
      <c r="J46" s="277">
        <v>0</v>
      </c>
      <c r="K46" s="277">
        <v>0</v>
      </c>
      <c r="L46" s="277">
        <v>0</v>
      </c>
      <c r="M46" s="277">
        <v>0</v>
      </c>
      <c r="N46" s="277">
        <v>0</v>
      </c>
      <c r="O46" s="277">
        <v>204.15189932113501</v>
      </c>
      <c r="P46" s="277">
        <v>36.701120493427503</v>
      </c>
      <c r="Q46" s="277">
        <v>0</v>
      </c>
      <c r="R46" s="288">
        <v>240.85301981456251</v>
      </c>
      <c r="U46" s="404"/>
      <c r="V46" s="286" t="s">
        <v>39</v>
      </c>
      <c r="W46" s="277">
        <v>0</v>
      </c>
      <c r="X46" s="277">
        <v>0</v>
      </c>
      <c r="Y46" s="277">
        <v>0</v>
      </c>
      <c r="Z46" s="277">
        <v>0</v>
      </c>
      <c r="AA46" s="277">
        <v>0</v>
      </c>
      <c r="AB46" s="277">
        <v>0</v>
      </c>
      <c r="AC46" s="277">
        <v>0</v>
      </c>
      <c r="AD46" s="277">
        <v>0</v>
      </c>
      <c r="AE46" s="277">
        <v>0</v>
      </c>
      <c r="AF46" s="277">
        <v>0</v>
      </c>
      <c r="AG46" s="277">
        <v>0</v>
      </c>
      <c r="AH46" s="277">
        <v>0</v>
      </c>
      <c r="AI46" s="277">
        <v>204.15189932113501</v>
      </c>
      <c r="AJ46" s="277">
        <v>36.701120493427503</v>
      </c>
      <c r="AK46" s="277">
        <v>0</v>
      </c>
      <c r="AL46" s="288">
        <v>240.85301981456251</v>
      </c>
    </row>
    <row r="47" spans="1:38">
      <c r="A47" s="404"/>
      <c r="B47" s="281" t="s">
        <v>40</v>
      </c>
      <c r="C47" s="282">
        <v>4177.4960000000001</v>
      </c>
      <c r="D47" s="282">
        <v>3.2179259504107556E-2</v>
      </c>
      <c r="E47" s="282">
        <v>1830.200427667547</v>
      </c>
      <c r="F47" s="282">
        <v>0</v>
      </c>
      <c r="G47" s="282">
        <v>0</v>
      </c>
      <c r="H47" s="282">
        <v>678.41346917349995</v>
      </c>
      <c r="I47" s="282">
        <v>1113.3529750850212</v>
      </c>
      <c r="J47" s="282">
        <v>0</v>
      </c>
      <c r="K47" s="282">
        <v>0</v>
      </c>
      <c r="L47" s="282">
        <v>89.32420522908896</v>
      </c>
      <c r="M47" s="282">
        <v>0</v>
      </c>
      <c r="N47" s="282">
        <v>0</v>
      </c>
      <c r="O47" s="282">
        <v>-2744.7579293818872</v>
      </c>
      <c r="P47" s="282">
        <v>-435.85927950657253</v>
      </c>
      <c r="Q47" s="282">
        <v>0</v>
      </c>
      <c r="R47" s="282">
        <v>4708.2020475262016</v>
      </c>
      <c r="U47" s="404"/>
      <c r="V47" s="281" t="s">
        <v>40</v>
      </c>
      <c r="W47" s="282">
        <v>4177.4960000000001</v>
      </c>
      <c r="X47" s="282">
        <v>3.2179259504107556E-2</v>
      </c>
      <c r="Y47" s="282">
        <v>1830.200427667547</v>
      </c>
      <c r="Z47" s="282">
        <v>0</v>
      </c>
      <c r="AA47" s="282">
        <v>0</v>
      </c>
      <c r="AB47" s="282">
        <v>678.41346917349995</v>
      </c>
      <c r="AC47" s="282">
        <v>1113.3529750850212</v>
      </c>
      <c r="AD47" s="282">
        <v>0</v>
      </c>
      <c r="AE47" s="282">
        <v>0</v>
      </c>
      <c r="AF47" s="282">
        <v>89.32420522908896</v>
      </c>
      <c r="AG47" s="282">
        <v>0</v>
      </c>
      <c r="AH47" s="282">
        <v>0</v>
      </c>
      <c r="AI47" s="282">
        <v>-2744.7579293818872</v>
      </c>
      <c r="AJ47" s="282">
        <v>-435.85927950657253</v>
      </c>
      <c r="AK47" s="282">
        <v>0</v>
      </c>
      <c r="AL47" s="282">
        <v>4708.2020475262016</v>
      </c>
    </row>
    <row r="48" spans="1:38">
      <c r="A48" s="404"/>
      <c r="B48" s="283"/>
      <c r="C48" s="284"/>
      <c r="D48" s="284"/>
      <c r="E48" s="291"/>
      <c r="F48" s="284"/>
      <c r="G48" s="284"/>
      <c r="H48" s="284"/>
      <c r="I48" s="291"/>
      <c r="J48" s="284"/>
      <c r="K48" s="284"/>
      <c r="L48" s="284"/>
      <c r="M48" s="292"/>
      <c r="N48" s="284"/>
      <c r="O48" s="284"/>
      <c r="P48" s="284"/>
      <c r="Q48" s="284"/>
      <c r="R48" s="284"/>
      <c r="U48" s="404"/>
      <c r="V48" s="283"/>
      <c r="W48" s="284"/>
      <c r="X48" s="284"/>
      <c r="Y48" s="291"/>
      <c r="Z48" s="284"/>
      <c r="AA48" s="284"/>
      <c r="AB48" s="284"/>
      <c r="AC48" s="291"/>
      <c r="AD48" s="284"/>
      <c r="AE48" s="284"/>
      <c r="AF48" s="284"/>
      <c r="AG48" s="292"/>
      <c r="AH48" s="284"/>
      <c r="AI48" s="284"/>
      <c r="AJ48" s="284"/>
      <c r="AK48" s="284"/>
      <c r="AL48" s="284"/>
    </row>
    <row r="49" spans="1:38">
      <c r="A49" s="404"/>
      <c r="B49" s="286" t="s">
        <v>41</v>
      </c>
      <c r="C49" s="277">
        <v>0</v>
      </c>
      <c r="D49" s="277">
        <v>0</v>
      </c>
      <c r="E49" s="277">
        <v>289.48599625833333</v>
      </c>
      <c r="F49" s="277">
        <v>0</v>
      </c>
      <c r="G49" s="277">
        <v>0</v>
      </c>
      <c r="H49" s="277">
        <v>0</v>
      </c>
      <c r="I49" s="277">
        <v>23.943872971148174</v>
      </c>
      <c r="J49" s="277">
        <v>0</v>
      </c>
      <c r="K49" s="277">
        <v>0</v>
      </c>
      <c r="L49" s="277">
        <v>3.9932033177330153</v>
      </c>
      <c r="M49" s="277">
        <v>0</v>
      </c>
      <c r="N49" s="277">
        <v>8.1407991118899681E-2</v>
      </c>
      <c r="O49" s="277">
        <v>307.77506868431601</v>
      </c>
      <c r="P49" s="277">
        <v>435.85927950657265</v>
      </c>
      <c r="Q49" s="277">
        <v>0</v>
      </c>
      <c r="R49" s="288">
        <v>1061.138828729222</v>
      </c>
      <c r="U49" s="404"/>
      <c r="V49" s="286" t="s">
        <v>41</v>
      </c>
      <c r="W49" s="277">
        <v>0</v>
      </c>
      <c r="X49" s="277">
        <v>0</v>
      </c>
      <c r="Y49" s="277">
        <v>289.48599625833333</v>
      </c>
      <c r="Z49" s="277">
        <v>0</v>
      </c>
      <c r="AA49" s="277">
        <v>0</v>
      </c>
      <c r="AB49" s="277">
        <v>0</v>
      </c>
      <c r="AC49" s="277">
        <v>23.943872971148174</v>
      </c>
      <c r="AD49" s="277">
        <v>0</v>
      </c>
      <c r="AE49" s="277">
        <v>0</v>
      </c>
      <c r="AF49" s="277">
        <v>3.9932033177330153</v>
      </c>
      <c r="AG49" s="277">
        <v>0</v>
      </c>
      <c r="AH49" s="277">
        <v>8.1407991118899681E-2</v>
      </c>
      <c r="AI49" s="277">
        <v>307.77506868431601</v>
      </c>
      <c r="AJ49" s="277">
        <v>435.85927950657265</v>
      </c>
      <c r="AK49" s="277">
        <v>0</v>
      </c>
      <c r="AL49" s="288">
        <v>1061.138828729222</v>
      </c>
    </row>
    <row r="50" spans="1:38">
      <c r="A50" s="404"/>
      <c r="B50" s="286" t="s">
        <v>42</v>
      </c>
      <c r="C50" s="277">
        <v>0</v>
      </c>
      <c r="D50" s="277">
        <v>0</v>
      </c>
      <c r="E50" s="277">
        <v>5620.4963158333339</v>
      </c>
      <c r="F50" s="277">
        <v>0</v>
      </c>
      <c r="G50" s="277">
        <v>0</v>
      </c>
      <c r="H50" s="277">
        <v>0</v>
      </c>
      <c r="I50" s="277">
        <v>0</v>
      </c>
      <c r="J50" s="277">
        <v>0</v>
      </c>
      <c r="K50" s="277">
        <v>0</v>
      </c>
      <c r="L50" s="277">
        <v>0</v>
      </c>
      <c r="M50" s="277">
        <v>0</v>
      </c>
      <c r="N50" s="277">
        <v>0</v>
      </c>
      <c r="O50" s="277">
        <v>0</v>
      </c>
      <c r="P50" s="277">
        <v>0</v>
      </c>
      <c r="Q50" s="277">
        <v>0</v>
      </c>
      <c r="R50" s="288">
        <v>5620.4963158333339</v>
      </c>
      <c r="U50" s="404"/>
      <c r="V50" s="286" t="s">
        <v>42</v>
      </c>
      <c r="W50" s="277">
        <v>0</v>
      </c>
      <c r="X50" s="277">
        <v>0</v>
      </c>
      <c r="Y50" s="277">
        <v>5620.4963158333339</v>
      </c>
      <c r="Z50" s="277">
        <v>0</v>
      </c>
      <c r="AA50" s="277">
        <v>0</v>
      </c>
      <c r="AB50" s="277">
        <v>0</v>
      </c>
      <c r="AC50" s="277">
        <v>0</v>
      </c>
      <c r="AD50" s="277">
        <v>0</v>
      </c>
      <c r="AE50" s="277">
        <v>0</v>
      </c>
      <c r="AF50" s="277">
        <v>0</v>
      </c>
      <c r="AG50" s="277">
        <v>0</v>
      </c>
      <c r="AH50" s="277">
        <v>0</v>
      </c>
      <c r="AI50" s="277">
        <v>0</v>
      </c>
      <c r="AJ50" s="277">
        <v>0</v>
      </c>
      <c r="AK50" s="277">
        <v>0</v>
      </c>
      <c r="AL50" s="288">
        <v>5620.4963158333339</v>
      </c>
    </row>
    <row r="51" spans="1:38">
      <c r="A51" s="404"/>
      <c r="B51" s="286" t="s">
        <v>43</v>
      </c>
      <c r="C51" s="277">
        <v>0</v>
      </c>
      <c r="D51" s="277">
        <v>0</v>
      </c>
      <c r="E51" s="277">
        <v>91.786880750000009</v>
      </c>
      <c r="F51" s="277">
        <v>0</v>
      </c>
      <c r="G51" s="277">
        <v>0</v>
      </c>
      <c r="H51" s="277">
        <v>0</v>
      </c>
      <c r="I51" s="277">
        <v>0</v>
      </c>
      <c r="J51" s="277">
        <v>0</v>
      </c>
      <c r="K51" s="277">
        <v>0</v>
      </c>
      <c r="L51" s="277">
        <v>0</v>
      </c>
      <c r="M51" s="277">
        <v>0</v>
      </c>
      <c r="N51" s="277">
        <v>633.16894990000003</v>
      </c>
      <c r="O51" s="277">
        <v>1230.024214</v>
      </c>
      <c r="P51" s="277">
        <v>0</v>
      </c>
      <c r="Q51" s="277">
        <v>0</v>
      </c>
      <c r="R51" s="288">
        <v>1954.9800446500001</v>
      </c>
      <c r="U51" s="404"/>
      <c r="V51" s="286" t="s">
        <v>43</v>
      </c>
      <c r="W51" s="277">
        <v>0</v>
      </c>
      <c r="X51" s="277">
        <v>0</v>
      </c>
      <c r="Y51" s="277">
        <v>91.786880750000009</v>
      </c>
      <c r="Z51" s="277">
        <v>0</v>
      </c>
      <c r="AA51" s="277">
        <v>0</v>
      </c>
      <c r="AB51" s="277">
        <v>0</v>
      </c>
      <c r="AC51" s="277">
        <v>0</v>
      </c>
      <c r="AD51" s="277">
        <v>0</v>
      </c>
      <c r="AE51" s="277">
        <v>0</v>
      </c>
      <c r="AF51" s="277">
        <v>0</v>
      </c>
      <c r="AG51" s="277">
        <v>0</v>
      </c>
      <c r="AH51" s="277">
        <v>633.16894990000003</v>
      </c>
      <c r="AI51" s="277">
        <v>1230.024214</v>
      </c>
      <c r="AJ51" s="277">
        <v>0</v>
      </c>
      <c r="AK51" s="277">
        <v>0</v>
      </c>
      <c r="AL51" s="288">
        <v>1954.9800446500001</v>
      </c>
    </row>
    <row r="52" spans="1:38">
      <c r="A52" s="404"/>
      <c r="B52" s="286" t="s">
        <v>44</v>
      </c>
      <c r="C52" s="277">
        <v>0</v>
      </c>
      <c r="D52" s="277">
        <v>0</v>
      </c>
      <c r="E52" s="277">
        <v>332.96874650000001</v>
      </c>
      <c r="F52" s="277">
        <v>0</v>
      </c>
      <c r="G52" s="277">
        <v>0</v>
      </c>
      <c r="H52" s="277">
        <v>0</v>
      </c>
      <c r="I52" s="277">
        <v>0</v>
      </c>
      <c r="J52" s="277">
        <v>0</v>
      </c>
      <c r="K52" s="277">
        <v>0</v>
      </c>
      <c r="L52" s="277">
        <v>0</v>
      </c>
      <c r="M52" s="277">
        <v>0</v>
      </c>
      <c r="N52" s="277">
        <v>1.03618648</v>
      </c>
      <c r="O52" s="277">
        <v>1187.17026747615</v>
      </c>
      <c r="P52" s="277">
        <v>0</v>
      </c>
      <c r="Q52" s="277">
        <v>0</v>
      </c>
      <c r="R52" s="288">
        <v>1521.1752004561499</v>
      </c>
      <c r="U52" s="404"/>
      <c r="V52" s="286" t="s">
        <v>44</v>
      </c>
      <c r="W52" s="277">
        <v>0</v>
      </c>
      <c r="X52" s="277">
        <v>0</v>
      </c>
      <c r="Y52" s="277">
        <v>332.96874650000001</v>
      </c>
      <c r="Z52" s="277">
        <v>0</v>
      </c>
      <c r="AA52" s="277">
        <v>0</v>
      </c>
      <c r="AB52" s="277">
        <v>0</v>
      </c>
      <c r="AC52" s="277">
        <v>0</v>
      </c>
      <c r="AD52" s="277">
        <v>0</v>
      </c>
      <c r="AE52" s="277">
        <v>0</v>
      </c>
      <c r="AF52" s="277">
        <v>0</v>
      </c>
      <c r="AG52" s="277">
        <v>0</v>
      </c>
      <c r="AH52" s="277">
        <v>1.03618648</v>
      </c>
      <c r="AI52" s="277">
        <v>1187.17026747615</v>
      </c>
      <c r="AJ52" s="277">
        <v>0</v>
      </c>
      <c r="AK52" s="277">
        <v>0</v>
      </c>
      <c r="AL52" s="288">
        <v>1521.1752004561499</v>
      </c>
    </row>
    <row r="53" spans="1:38">
      <c r="A53" s="404"/>
      <c r="B53" s="286" t="s">
        <v>4</v>
      </c>
      <c r="C53" s="277">
        <v>0</v>
      </c>
      <c r="D53" s="277">
        <v>0</v>
      </c>
      <c r="E53" s="277">
        <v>102.03404065833332</v>
      </c>
      <c r="F53" s="277">
        <v>0</v>
      </c>
      <c r="G53" s="277">
        <v>0</v>
      </c>
      <c r="H53" s="277">
        <v>0</v>
      </c>
      <c r="I53" s="277">
        <v>44.642446280000001</v>
      </c>
      <c r="J53" s="277">
        <v>0</v>
      </c>
      <c r="K53" s="277">
        <v>0</v>
      </c>
      <c r="L53" s="277">
        <v>0</v>
      </c>
      <c r="M53" s="277">
        <v>0</v>
      </c>
      <c r="N53" s="277">
        <v>0</v>
      </c>
      <c r="O53" s="277">
        <v>19.788379221422101</v>
      </c>
      <c r="P53" s="277">
        <v>0</v>
      </c>
      <c r="Q53" s="277">
        <v>0</v>
      </c>
      <c r="R53" s="288">
        <v>166.46486615975542</v>
      </c>
      <c r="U53" s="404"/>
      <c r="V53" s="286" t="s">
        <v>4</v>
      </c>
      <c r="W53" s="277">
        <v>0</v>
      </c>
      <c r="X53" s="277">
        <v>0</v>
      </c>
      <c r="Y53" s="277">
        <v>102.03404065833332</v>
      </c>
      <c r="Z53" s="277">
        <v>0</v>
      </c>
      <c r="AA53" s="277">
        <v>0</v>
      </c>
      <c r="AB53" s="277">
        <v>0</v>
      </c>
      <c r="AC53" s="277">
        <v>44.642446280000001</v>
      </c>
      <c r="AD53" s="277">
        <v>0</v>
      </c>
      <c r="AE53" s="277">
        <v>0</v>
      </c>
      <c r="AF53" s="277">
        <v>0</v>
      </c>
      <c r="AG53" s="277">
        <v>0</v>
      </c>
      <c r="AH53" s="277">
        <v>0</v>
      </c>
      <c r="AI53" s="277">
        <v>19.788379221422101</v>
      </c>
      <c r="AJ53" s="277">
        <v>0</v>
      </c>
      <c r="AK53" s="277">
        <v>0</v>
      </c>
      <c r="AL53" s="288">
        <v>166.46486615975542</v>
      </c>
    </row>
    <row r="54" spans="1:38">
      <c r="A54" s="404"/>
      <c r="B54" s="286" t="s">
        <v>410</v>
      </c>
      <c r="C54" s="277">
        <v>0</v>
      </c>
      <c r="D54" s="277">
        <v>0</v>
      </c>
      <c r="E54" s="277">
        <v>0</v>
      </c>
      <c r="F54" s="277">
        <v>0</v>
      </c>
      <c r="G54" s="277">
        <v>0</v>
      </c>
      <c r="H54" s="277">
        <v>0</v>
      </c>
      <c r="I54" s="277">
        <v>0</v>
      </c>
      <c r="J54" s="277">
        <v>0</v>
      </c>
      <c r="K54" s="277">
        <v>0</v>
      </c>
      <c r="L54" s="277">
        <v>0</v>
      </c>
      <c r="M54" s="277">
        <v>0</v>
      </c>
      <c r="N54" s="277">
        <v>0</v>
      </c>
      <c r="O54" s="277">
        <v>0</v>
      </c>
      <c r="P54" s="277">
        <v>0</v>
      </c>
      <c r="Q54" s="277">
        <v>0</v>
      </c>
      <c r="R54" s="288">
        <v>0</v>
      </c>
      <c r="U54" s="404"/>
      <c r="V54" s="286" t="s">
        <v>410</v>
      </c>
      <c r="W54" s="277">
        <v>0</v>
      </c>
      <c r="X54" s="277">
        <v>0</v>
      </c>
      <c r="Y54" s="277">
        <v>0</v>
      </c>
      <c r="Z54" s="277">
        <v>0</v>
      </c>
      <c r="AA54" s="277">
        <v>0</v>
      </c>
      <c r="AB54" s="277">
        <v>0</v>
      </c>
      <c r="AC54" s="277">
        <v>0</v>
      </c>
      <c r="AD54" s="277">
        <v>0</v>
      </c>
      <c r="AE54" s="277">
        <v>0</v>
      </c>
      <c r="AF54" s="277">
        <v>0</v>
      </c>
      <c r="AG54" s="277">
        <v>0</v>
      </c>
      <c r="AH54" s="277">
        <v>0</v>
      </c>
      <c r="AI54" s="277">
        <v>0</v>
      </c>
      <c r="AJ54" s="277">
        <v>0</v>
      </c>
      <c r="AK54" s="277">
        <v>0</v>
      </c>
      <c r="AL54" s="288">
        <v>0</v>
      </c>
    </row>
    <row r="55" spans="1:38">
      <c r="A55" s="404"/>
      <c r="B55" s="281" t="s">
        <v>45</v>
      </c>
      <c r="C55" s="282">
        <v>0</v>
      </c>
      <c r="D55" s="282">
        <v>0</v>
      </c>
      <c r="E55" s="282">
        <v>6436.7719800000004</v>
      </c>
      <c r="F55" s="282">
        <v>0</v>
      </c>
      <c r="G55" s="282">
        <v>0</v>
      </c>
      <c r="H55" s="282">
        <v>0</v>
      </c>
      <c r="I55" s="282">
        <v>68.586319251148183</v>
      </c>
      <c r="J55" s="282">
        <v>0</v>
      </c>
      <c r="K55" s="282">
        <v>0</v>
      </c>
      <c r="L55" s="282">
        <v>3.9932033177330153</v>
      </c>
      <c r="M55" s="282">
        <v>0</v>
      </c>
      <c r="N55" s="282">
        <v>634.28654437111891</v>
      </c>
      <c r="O55" s="282">
        <v>2744.7579293818881</v>
      </c>
      <c r="P55" s="282">
        <v>435.85927950657265</v>
      </c>
      <c r="Q55" s="282">
        <v>0</v>
      </c>
      <c r="R55" s="282">
        <v>10324.255255828461</v>
      </c>
      <c r="U55" s="404"/>
      <c r="V55" s="281" t="s">
        <v>45</v>
      </c>
      <c r="W55" s="282">
        <v>0</v>
      </c>
      <c r="X55" s="282">
        <v>0</v>
      </c>
      <c r="Y55" s="282">
        <v>6436.7719800000004</v>
      </c>
      <c r="Z55" s="282">
        <v>0</v>
      </c>
      <c r="AA55" s="282">
        <v>0</v>
      </c>
      <c r="AB55" s="282">
        <v>0</v>
      </c>
      <c r="AC55" s="282">
        <v>68.586319251148183</v>
      </c>
      <c r="AD55" s="282">
        <v>0</v>
      </c>
      <c r="AE55" s="282">
        <v>0</v>
      </c>
      <c r="AF55" s="282">
        <v>3.9932033177330153</v>
      </c>
      <c r="AG55" s="282">
        <v>0</v>
      </c>
      <c r="AH55" s="282">
        <v>634.28654437111891</v>
      </c>
      <c r="AI55" s="282">
        <v>2744.7579293818881</v>
      </c>
      <c r="AJ55" s="282">
        <v>435.85927950657265</v>
      </c>
      <c r="AK55" s="282">
        <v>0</v>
      </c>
      <c r="AL55" s="282">
        <v>10324.255255828461</v>
      </c>
    </row>
    <row r="56" spans="1:38">
      <c r="A56" s="404"/>
      <c r="B56" s="276" t="s">
        <v>46</v>
      </c>
      <c r="C56" s="277">
        <v>0</v>
      </c>
      <c r="D56" s="277">
        <v>0</v>
      </c>
      <c r="E56" s="277">
        <v>267.788809058509</v>
      </c>
      <c r="F56" s="277">
        <v>0</v>
      </c>
      <c r="G56" s="277">
        <v>0</v>
      </c>
      <c r="H56" s="277">
        <v>0</v>
      </c>
      <c r="I56" s="277">
        <v>0</v>
      </c>
      <c r="J56" s="277">
        <v>0</v>
      </c>
      <c r="K56" s="277">
        <v>0</v>
      </c>
      <c r="L56" s="277">
        <v>0</v>
      </c>
      <c r="M56" s="277">
        <v>0</v>
      </c>
      <c r="N56" s="277">
        <v>0</v>
      </c>
      <c r="O56" s="277">
        <v>0</v>
      </c>
      <c r="P56" s="277">
        <v>0</v>
      </c>
      <c r="Q56" s="277">
        <v>0</v>
      </c>
      <c r="R56" s="288">
        <v>267.788809058509</v>
      </c>
      <c r="U56" s="404"/>
      <c r="V56" s="276" t="s">
        <v>46</v>
      </c>
      <c r="W56" s="277">
        <v>0</v>
      </c>
      <c r="X56" s="277">
        <v>0</v>
      </c>
      <c r="Y56" s="277">
        <v>267.788809058509</v>
      </c>
      <c r="Z56" s="277">
        <v>0</v>
      </c>
      <c r="AA56" s="277">
        <v>0</v>
      </c>
      <c r="AB56" s="277">
        <v>0</v>
      </c>
      <c r="AC56" s="277">
        <v>0</v>
      </c>
      <c r="AD56" s="277">
        <v>0</v>
      </c>
      <c r="AE56" s="277">
        <v>0</v>
      </c>
      <c r="AF56" s="277">
        <v>0</v>
      </c>
      <c r="AG56" s="277">
        <v>0</v>
      </c>
      <c r="AH56" s="277">
        <v>0</v>
      </c>
      <c r="AI56" s="277">
        <v>0</v>
      </c>
      <c r="AJ56" s="277">
        <v>0</v>
      </c>
      <c r="AK56" s="277">
        <v>0</v>
      </c>
      <c r="AL56" s="288">
        <v>267.788809058509</v>
      </c>
    </row>
    <row r="57" spans="1:38">
      <c r="A57" s="404"/>
      <c r="B57" s="281" t="s">
        <v>47</v>
      </c>
      <c r="C57" s="282">
        <v>0</v>
      </c>
      <c r="D57" s="282">
        <v>0</v>
      </c>
      <c r="E57" s="282">
        <v>6704.5607890585097</v>
      </c>
      <c r="F57" s="282">
        <v>0</v>
      </c>
      <c r="G57" s="282">
        <v>0</v>
      </c>
      <c r="H57" s="282">
        <v>0</v>
      </c>
      <c r="I57" s="282">
        <v>68.586319251148183</v>
      </c>
      <c r="J57" s="282">
        <v>0</v>
      </c>
      <c r="K57" s="282">
        <v>0</v>
      </c>
      <c r="L57" s="282">
        <v>3.9932033177330153</v>
      </c>
      <c r="M57" s="282">
        <v>0</v>
      </c>
      <c r="N57" s="282">
        <v>634.28654437111891</v>
      </c>
      <c r="O57" s="282">
        <v>2744.7579293818881</v>
      </c>
      <c r="P57" s="282">
        <v>435.85927950657265</v>
      </c>
      <c r="Q57" s="282">
        <v>0</v>
      </c>
      <c r="R57" s="282">
        <v>10592.04406488697</v>
      </c>
      <c r="U57" s="404"/>
      <c r="V57" s="281" t="s">
        <v>47</v>
      </c>
      <c r="W57" s="282">
        <v>0</v>
      </c>
      <c r="X57" s="282">
        <v>0</v>
      </c>
      <c r="Y57" s="282">
        <v>6704.5607890585097</v>
      </c>
      <c r="Z57" s="282">
        <v>0</v>
      </c>
      <c r="AA57" s="282">
        <v>0</v>
      </c>
      <c r="AB57" s="282">
        <v>0</v>
      </c>
      <c r="AC57" s="282">
        <v>68.586319251148183</v>
      </c>
      <c r="AD57" s="282">
        <v>0</v>
      </c>
      <c r="AE57" s="282">
        <v>0</v>
      </c>
      <c r="AF57" s="282">
        <v>3.9932033177330153</v>
      </c>
      <c r="AG57" s="282">
        <v>0</v>
      </c>
      <c r="AH57" s="282">
        <v>634.28654437111891</v>
      </c>
      <c r="AI57" s="282">
        <v>2744.7579293818881</v>
      </c>
      <c r="AJ57" s="282">
        <v>435.85927950657265</v>
      </c>
      <c r="AK57" s="282">
        <v>0</v>
      </c>
      <c r="AL57" s="282">
        <v>10592.04406488697</v>
      </c>
    </row>
    <row r="61" spans="1:38">
      <c r="K61" s="293"/>
    </row>
    <row r="62" spans="1:38">
      <c r="L62" s="293"/>
    </row>
    <row r="64" spans="1:38">
      <c r="I64" s="293"/>
      <c r="AC64" s="293"/>
    </row>
    <row r="66" spans="1:38" ht="14.4" customHeight="1">
      <c r="A66" s="404">
        <v>2025</v>
      </c>
      <c r="B66" s="408" t="s">
        <v>12</v>
      </c>
      <c r="C66" s="407" t="s">
        <v>14</v>
      </c>
      <c r="D66" s="407" t="s">
        <v>15</v>
      </c>
      <c r="E66" s="407" t="s">
        <v>16</v>
      </c>
      <c r="F66" s="407" t="s">
        <v>17</v>
      </c>
      <c r="G66" s="407" t="s">
        <v>395</v>
      </c>
      <c r="H66" s="407" t="s">
        <v>18</v>
      </c>
      <c r="I66" s="407" t="s">
        <v>19</v>
      </c>
      <c r="J66" s="407"/>
      <c r="K66" s="407"/>
      <c r="L66" s="407"/>
      <c r="M66" s="407"/>
      <c r="N66" s="407"/>
      <c r="O66" s="399" t="s">
        <v>396</v>
      </c>
      <c r="P66" s="399" t="s">
        <v>21</v>
      </c>
      <c r="Q66" s="399" t="s">
        <v>397</v>
      </c>
      <c r="R66" s="399" t="s">
        <v>23</v>
      </c>
      <c r="U66" s="404">
        <v>2025</v>
      </c>
      <c r="V66" s="405" t="s">
        <v>12</v>
      </c>
      <c r="W66" s="399" t="s">
        <v>14</v>
      </c>
      <c r="X66" s="399" t="s">
        <v>15</v>
      </c>
      <c r="Y66" s="399" t="s">
        <v>16</v>
      </c>
      <c r="Z66" s="399" t="s">
        <v>17</v>
      </c>
      <c r="AA66" s="399" t="s">
        <v>395</v>
      </c>
      <c r="AB66" s="399" t="s">
        <v>18</v>
      </c>
      <c r="AC66" s="401" t="s">
        <v>19</v>
      </c>
      <c r="AD66" s="402"/>
      <c r="AE66" s="402"/>
      <c r="AF66" s="402"/>
      <c r="AG66" s="402"/>
      <c r="AH66" s="403"/>
      <c r="AI66" s="399" t="s">
        <v>396</v>
      </c>
      <c r="AJ66" s="399" t="s">
        <v>21</v>
      </c>
      <c r="AK66" s="399" t="s">
        <v>397</v>
      </c>
      <c r="AL66" s="399" t="s">
        <v>23</v>
      </c>
    </row>
    <row r="67" spans="1:38" ht="45.6">
      <c r="A67" s="404"/>
      <c r="B67" s="408"/>
      <c r="C67" s="407"/>
      <c r="D67" s="407"/>
      <c r="E67" s="407"/>
      <c r="F67" s="407"/>
      <c r="G67" s="407"/>
      <c r="H67" s="407"/>
      <c r="I67" s="274" t="s">
        <v>384</v>
      </c>
      <c r="J67" s="274" t="s">
        <v>7</v>
      </c>
      <c r="K67" s="274" t="s">
        <v>385</v>
      </c>
      <c r="L67" s="274" t="s">
        <v>398</v>
      </c>
      <c r="M67" s="275" t="s">
        <v>399</v>
      </c>
      <c r="N67" s="274" t="s">
        <v>400</v>
      </c>
      <c r="O67" s="399"/>
      <c r="P67" s="399"/>
      <c r="Q67" s="399"/>
      <c r="R67" s="399"/>
      <c r="U67" s="404"/>
      <c r="V67" s="406"/>
      <c r="W67" s="400"/>
      <c r="X67" s="400"/>
      <c r="Y67" s="400"/>
      <c r="Z67" s="400"/>
      <c r="AA67" s="400"/>
      <c r="AB67" s="400"/>
      <c r="AC67" s="274" t="s">
        <v>384</v>
      </c>
      <c r="AD67" s="274" t="s">
        <v>7</v>
      </c>
      <c r="AE67" s="274" t="s">
        <v>385</v>
      </c>
      <c r="AF67" s="274" t="s">
        <v>398</v>
      </c>
      <c r="AG67" s="275" t="s">
        <v>399</v>
      </c>
      <c r="AH67" s="274" t="s">
        <v>400</v>
      </c>
      <c r="AI67" s="400"/>
      <c r="AJ67" s="400"/>
      <c r="AK67" s="400"/>
      <c r="AL67" s="400"/>
    </row>
    <row r="68" spans="1:38" ht="14.4" customHeight="1">
      <c r="A68" s="404"/>
      <c r="B68" s="276" t="s">
        <v>24</v>
      </c>
      <c r="C68" s="277">
        <v>0</v>
      </c>
      <c r="D68" s="278">
        <v>0</v>
      </c>
      <c r="E68" s="278">
        <v>0</v>
      </c>
      <c r="F68" s="277">
        <v>0</v>
      </c>
      <c r="G68" s="278">
        <v>0</v>
      </c>
      <c r="H68" s="278">
        <f>H74</f>
        <v>1086.0417505166795</v>
      </c>
      <c r="I68" s="278">
        <f>$I$27</f>
        <v>1181.9392943361693</v>
      </c>
      <c r="J68" s="278">
        <f>J74</f>
        <v>543.02087525833974</v>
      </c>
      <c r="K68" s="278">
        <v>0</v>
      </c>
      <c r="L68" s="278">
        <f>L74</f>
        <v>68.439055794202019</v>
      </c>
      <c r="M68" s="278">
        <v>0</v>
      </c>
      <c r="N68" s="278">
        <f>N74</f>
        <v>656.83574700503152</v>
      </c>
      <c r="O68" s="279">
        <v>0</v>
      </c>
      <c r="P68" s="278">
        <v>0</v>
      </c>
      <c r="Q68" s="278">
        <v>0</v>
      </c>
      <c r="R68" s="280">
        <f>SUM(C68:Q68)</f>
        <v>3536.276722910422</v>
      </c>
      <c r="U68" s="404"/>
      <c r="V68" s="276" t="s">
        <v>24</v>
      </c>
      <c r="W68" s="277">
        <v>0</v>
      </c>
      <c r="X68" s="278">
        <v>0</v>
      </c>
      <c r="Y68" s="278">
        <v>0</v>
      </c>
      <c r="Z68" s="277">
        <v>0</v>
      </c>
      <c r="AA68" s="278">
        <v>0</v>
      </c>
      <c r="AB68" s="278">
        <f>AB74</f>
        <v>1011.6096001216255</v>
      </c>
      <c r="AC68" s="278">
        <f>$I$27</f>
        <v>1181.9392943361693</v>
      </c>
      <c r="AD68" s="278">
        <f>AD74</f>
        <v>505.80480006081279</v>
      </c>
      <c r="AE68" s="278">
        <v>0</v>
      </c>
      <c r="AF68" s="278">
        <f>AF74</f>
        <v>68.648164382354679</v>
      </c>
      <c r="AG68" s="278">
        <v>0</v>
      </c>
      <c r="AH68" s="278">
        <f>AH74</f>
        <v>615.19733749406146</v>
      </c>
      <c r="AI68" s="279">
        <v>0</v>
      </c>
      <c r="AJ68" s="278">
        <v>0</v>
      </c>
      <c r="AK68" s="278">
        <v>0</v>
      </c>
      <c r="AL68" s="280">
        <f>SUM(W68:AK68)</f>
        <v>3383.1991963950231</v>
      </c>
    </row>
    <row r="69" spans="1:38" ht="14.4" customHeight="1">
      <c r="A69" s="404"/>
      <c r="B69" s="276" t="s">
        <v>28</v>
      </c>
      <c r="C69" s="277">
        <f>C74</f>
        <v>0</v>
      </c>
      <c r="D69" s="278">
        <f>D74</f>
        <v>0</v>
      </c>
      <c r="E69" s="278">
        <f>E74</f>
        <v>6246.6254051424567</v>
      </c>
      <c r="F69" s="277">
        <v>0</v>
      </c>
      <c r="G69" s="278">
        <v>0</v>
      </c>
      <c r="H69" s="278">
        <v>0</v>
      </c>
      <c r="I69" s="278">
        <f>I74-$I$27</f>
        <v>1906.3750643547908</v>
      </c>
      <c r="J69" s="278">
        <v>0</v>
      </c>
      <c r="K69" s="278">
        <f>K74</f>
        <v>1939.3602687797847</v>
      </c>
      <c r="L69" s="278">
        <v>0</v>
      </c>
      <c r="M69" s="278">
        <v>0</v>
      </c>
      <c r="N69" s="278">
        <v>0</v>
      </c>
      <c r="O69" s="279">
        <v>0</v>
      </c>
      <c r="P69" s="278">
        <v>0</v>
      </c>
      <c r="Q69" s="278">
        <v>0</v>
      </c>
      <c r="R69" s="280">
        <f t="shared" ref="R69:R74" si="4">SUM(C69:Q69)</f>
        <v>10092.360738277031</v>
      </c>
      <c r="U69" s="404"/>
      <c r="V69" s="276" t="s">
        <v>28</v>
      </c>
      <c r="W69" s="277">
        <f>W74</f>
        <v>0</v>
      </c>
      <c r="X69" s="278">
        <f>X74</f>
        <v>0</v>
      </c>
      <c r="Y69" s="278">
        <f>Y74</f>
        <v>5975.2827703003895</v>
      </c>
      <c r="Z69" s="277">
        <v>0</v>
      </c>
      <c r="AA69" s="278">
        <v>0</v>
      </c>
      <c r="AB69" s="278">
        <v>0</v>
      </c>
      <c r="AC69" s="278">
        <f>AC74-$I$27</f>
        <v>1758.7509894141965</v>
      </c>
      <c r="AD69" s="278">
        <v>0</v>
      </c>
      <c r="AE69" s="278">
        <f>AE74</f>
        <v>1824.8353274061283</v>
      </c>
      <c r="AF69" s="278">
        <v>0</v>
      </c>
      <c r="AG69" s="278">
        <v>0</v>
      </c>
      <c r="AH69" s="278">
        <v>0</v>
      </c>
      <c r="AI69" s="279">
        <v>0</v>
      </c>
      <c r="AJ69" s="278">
        <v>0</v>
      </c>
      <c r="AK69" s="278">
        <v>0</v>
      </c>
      <c r="AL69" s="280">
        <f t="shared" ref="AL69:AL74" si="5">SUM(W69:AK69)</f>
        <v>9558.8690871207145</v>
      </c>
    </row>
    <row r="70" spans="1:38" ht="14.4" customHeight="1">
      <c r="A70" s="404"/>
      <c r="B70" s="276" t="s">
        <v>29</v>
      </c>
      <c r="C70" s="277">
        <v>0</v>
      </c>
      <c r="D70" s="278">
        <v>0</v>
      </c>
      <c r="E70" s="278">
        <v>0</v>
      </c>
      <c r="F70" s="277">
        <v>0</v>
      </c>
      <c r="G70" s="278">
        <v>0</v>
      </c>
      <c r="H70" s="278">
        <v>0</v>
      </c>
      <c r="I70" s="278">
        <v>0</v>
      </c>
      <c r="J70" s="278">
        <v>0</v>
      </c>
      <c r="K70" s="278">
        <v>0</v>
      </c>
      <c r="L70" s="278">
        <v>0</v>
      </c>
      <c r="M70" s="278">
        <v>0</v>
      </c>
      <c r="N70" s="278">
        <v>0</v>
      </c>
      <c r="O70" s="279">
        <v>0</v>
      </c>
      <c r="P70" s="278">
        <v>0</v>
      </c>
      <c r="Q70" s="278">
        <v>0</v>
      </c>
      <c r="R70" s="280">
        <f t="shared" si="4"/>
        <v>0</v>
      </c>
      <c r="U70" s="404"/>
      <c r="V70" s="276" t="s">
        <v>29</v>
      </c>
      <c r="W70" s="277">
        <v>0</v>
      </c>
      <c r="X70" s="278">
        <v>0</v>
      </c>
      <c r="Y70" s="278">
        <v>0</v>
      </c>
      <c r="Z70" s="277">
        <v>0</v>
      </c>
      <c r="AA70" s="278">
        <v>0</v>
      </c>
      <c r="AB70" s="278">
        <v>0</v>
      </c>
      <c r="AC70" s="278">
        <v>0</v>
      </c>
      <c r="AD70" s="278">
        <v>0</v>
      </c>
      <c r="AE70" s="278">
        <v>0</v>
      </c>
      <c r="AF70" s="278">
        <v>0</v>
      </c>
      <c r="AG70" s="278">
        <v>0</v>
      </c>
      <c r="AH70" s="278">
        <v>0</v>
      </c>
      <c r="AI70" s="279">
        <v>0</v>
      </c>
      <c r="AJ70" s="278">
        <v>0</v>
      </c>
      <c r="AK70" s="278">
        <v>0</v>
      </c>
      <c r="AL70" s="280">
        <f t="shared" si="5"/>
        <v>0</v>
      </c>
    </row>
    <row r="71" spans="1:38" ht="14.4" customHeight="1">
      <c r="A71" s="404"/>
      <c r="B71" s="276" t="s">
        <v>30</v>
      </c>
      <c r="C71" s="277">
        <v>0</v>
      </c>
      <c r="D71" s="278">
        <v>0</v>
      </c>
      <c r="E71" s="278">
        <v>0</v>
      </c>
      <c r="F71" s="277">
        <v>0</v>
      </c>
      <c r="G71" s="278">
        <v>0</v>
      </c>
      <c r="H71" s="278">
        <v>0</v>
      </c>
      <c r="I71" s="278">
        <v>0</v>
      </c>
      <c r="J71" s="278">
        <v>0</v>
      </c>
      <c r="K71" s="278">
        <v>0</v>
      </c>
      <c r="L71" s="278">
        <v>0</v>
      </c>
      <c r="M71" s="278">
        <v>0</v>
      </c>
      <c r="N71" s="278">
        <v>0</v>
      </c>
      <c r="O71" s="279">
        <v>0</v>
      </c>
      <c r="P71" s="278">
        <v>0</v>
      </c>
      <c r="Q71" s="278">
        <v>0</v>
      </c>
      <c r="R71" s="280">
        <f t="shared" si="4"/>
        <v>0</v>
      </c>
      <c r="U71" s="404"/>
      <c r="V71" s="276" t="s">
        <v>30</v>
      </c>
      <c r="W71" s="277">
        <v>0</v>
      </c>
      <c r="X71" s="278">
        <v>0</v>
      </c>
      <c r="Y71" s="278">
        <v>0</v>
      </c>
      <c r="Z71" s="277">
        <v>0</v>
      </c>
      <c r="AA71" s="278">
        <v>0</v>
      </c>
      <c r="AB71" s="278">
        <v>0</v>
      </c>
      <c r="AC71" s="278">
        <v>0</v>
      </c>
      <c r="AD71" s="278">
        <v>0</v>
      </c>
      <c r="AE71" s="278">
        <v>0</v>
      </c>
      <c r="AF71" s="278">
        <v>0</v>
      </c>
      <c r="AG71" s="278">
        <v>0</v>
      </c>
      <c r="AH71" s="278">
        <v>0</v>
      </c>
      <c r="AI71" s="279">
        <v>0</v>
      </c>
      <c r="AJ71" s="278">
        <v>0</v>
      </c>
      <c r="AK71" s="278">
        <v>0</v>
      </c>
      <c r="AL71" s="280">
        <f t="shared" si="5"/>
        <v>0</v>
      </c>
    </row>
    <row r="72" spans="1:38" ht="14.4" customHeight="1">
      <c r="A72" s="404"/>
      <c r="B72" s="276" t="s">
        <v>31</v>
      </c>
      <c r="C72" s="277">
        <v>0</v>
      </c>
      <c r="D72" s="278">
        <v>0</v>
      </c>
      <c r="E72" s="278">
        <v>0</v>
      </c>
      <c r="F72" s="277">
        <v>0</v>
      </c>
      <c r="G72" s="278">
        <v>0</v>
      </c>
      <c r="H72" s="278">
        <v>0</v>
      </c>
      <c r="I72" s="278">
        <v>0</v>
      </c>
      <c r="J72" s="278">
        <v>0</v>
      </c>
      <c r="K72" s="278">
        <v>0</v>
      </c>
      <c r="L72" s="278">
        <v>0</v>
      </c>
      <c r="M72" s="278">
        <v>0</v>
      </c>
      <c r="N72" s="278">
        <v>0</v>
      </c>
      <c r="O72" s="279">
        <v>0</v>
      </c>
      <c r="P72" s="278">
        <v>0</v>
      </c>
      <c r="Q72" s="278">
        <v>0</v>
      </c>
      <c r="R72" s="280">
        <f t="shared" si="4"/>
        <v>0</v>
      </c>
      <c r="U72" s="404"/>
      <c r="V72" s="276" t="s">
        <v>31</v>
      </c>
      <c r="W72" s="277">
        <v>0</v>
      </c>
      <c r="X72" s="278">
        <v>0</v>
      </c>
      <c r="Y72" s="278">
        <v>0</v>
      </c>
      <c r="Z72" s="277">
        <v>0</v>
      </c>
      <c r="AA72" s="278">
        <v>0</v>
      </c>
      <c r="AB72" s="278">
        <v>0</v>
      </c>
      <c r="AC72" s="278">
        <v>0</v>
      </c>
      <c r="AD72" s="278">
        <v>0</v>
      </c>
      <c r="AE72" s="278">
        <v>0</v>
      </c>
      <c r="AF72" s="278">
        <v>0</v>
      </c>
      <c r="AG72" s="278">
        <v>0</v>
      </c>
      <c r="AH72" s="278">
        <v>0</v>
      </c>
      <c r="AI72" s="279">
        <v>0</v>
      </c>
      <c r="AJ72" s="278">
        <v>0</v>
      </c>
      <c r="AK72" s="278">
        <v>0</v>
      </c>
      <c r="AL72" s="280">
        <f t="shared" si="5"/>
        <v>0</v>
      </c>
    </row>
    <row r="73" spans="1:38" ht="14.4" customHeight="1">
      <c r="A73" s="404"/>
      <c r="B73" s="276" t="s">
        <v>32</v>
      </c>
      <c r="C73" s="277">
        <v>0</v>
      </c>
      <c r="D73" s="278">
        <v>0</v>
      </c>
      <c r="E73" s="278">
        <v>0</v>
      </c>
      <c r="F73" s="277">
        <v>0</v>
      </c>
      <c r="G73" s="278">
        <v>0</v>
      </c>
      <c r="H73" s="278">
        <v>0</v>
      </c>
      <c r="I73" s="278">
        <v>0</v>
      </c>
      <c r="J73" s="278">
        <v>0</v>
      </c>
      <c r="K73" s="278">
        <v>0</v>
      </c>
      <c r="L73" s="278">
        <v>0</v>
      </c>
      <c r="M73" s="278">
        <v>0</v>
      </c>
      <c r="N73" s="278">
        <v>0</v>
      </c>
      <c r="O73" s="279">
        <v>0</v>
      </c>
      <c r="P73" s="278">
        <v>0</v>
      </c>
      <c r="Q73" s="278">
        <v>0</v>
      </c>
      <c r="R73" s="280">
        <f t="shared" si="4"/>
        <v>0</v>
      </c>
      <c r="U73" s="404"/>
      <c r="V73" s="276" t="s">
        <v>32</v>
      </c>
      <c r="W73" s="277">
        <v>0</v>
      </c>
      <c r="X73" s="278">
        <v>0</v>
      </c>
      <c r="Y73" s="278">
        <v>0</v>
      </c>
      <c r="Z73" s="277">
        <v>0</v>
      </c>
      <c r="AA73" s="278">
        <v>0</v>
      </c>
      <c r="AB73" s="278">
        <v>0</v>
      </c>
      <c r="AC73" s="278">
        <v>0</v>
      </c>
      <c r="AD73" s="278">
        <v>0</v>
      </c>
      <c r="AE73" s="278">
        <v>0</v>
      </c>
      <c r="AF73" s="278">
        <v>0</v>
      </c>
      <c r="AG73" s="278">
        <v>0</v>
      </c>
      <c r="AH73" s="278">
        <v>0</v>
      </c>
      <c r="AI73" s="279">
        <v>0</v>
      </c>
      <c r="AJ73" s="278">
        <v>0</v>
      </c>
      <c r="AK73" s="278">
        <v>0</v>
      </c>
      <c r="AL73" s="280">
        <f t="shared" si="5"/>
        <v>0</v>
      </c>
    </row>
    <row r="74" spans="1:38" ht="14.4" customHeight="1">
      <c r="A74" s="404"/>
      <c r="B74" s="281" t="s">
        <v>401</v>
      </c>
      <c r="C74" s="282">
        <f>C98+C96</f>
        <v>0</v>
      </c>
      <c r="D74" s="282">
        <f>D88+D98</f>
        <v>0</v>
      </c>
      <c r="E74" s="282">
        <f>E88+E98</f>
        <v>6246.6254051424567</v>
      </c>
      <c r="F74" s="282">
        <f t="shared" ref="F74:Q74" si="6">SUM(F68:F73)</f>
        <v>0</v>
      </c>
      <c r="G74" s="282">
        <f t="shared" si="6"/>
        <v>0</v>
      </c>
      <c r="H74" s="282">
        <f>H88</f>
        <v>1086.0417505166795</v>
      </c>
      <c r="I74" s="282">
        <f>I88+I96</f>
        <v>3088.31435869096</v>
      </c>
      <c r="J74" s="282">
        <f>J88+J98</f>
        <v>543.02087525833974</v>
      </c>
      <c r="K74" s="282">
        <f>K88+K98</f>
        <v>1939.3602687797847</v>
      </c>
      <c r="L74" s="282">
        <f>L88+L98</f>
        <v>68.439055794202019</v>
      </c>
      <c r="M74" s="282">
        <f t="shared" si="6"/>
        <v>0</v>
      </c>
      <c r="N74" s="282">
        <f>N88+N98</f>
        <v>656.83574700503152</v>
      </c>
      <c r="O74" s="282">
        <f t="shared" si="6"/>
        <v>0</v>
      </c>
      <c r="P74" s="282">
        <f t="shared" si="6"/>
        <v>0</v>
      </c>
      <c r="Q74" s="282">
        <f t="shared" si="6"/>
        <v>0</v>
      </c>
      <c r="R74" s="282">
        <f t="shared" si="4"/>
        <v>13628.637461187456</v>
      </c>
      <c r="U74" s="404"/>
      <c r="V74" s="281" t="s">
        <v>401</v>
      </c>
      <c r="W74" s="282">
        <f>W98+W96</f>
        <v>0</v>
      </c>
      <c r="X74" s="282">
        <f>X88+X98</f>
        <v>0</v>
      </c>
      <c r="Y74" s="282">
        <f>Y88+Y98</f>
        <v>5975.2827703003895</v>
      </c>
      <c r="Z74" s="282">
        <f t="shared" ref="Z74" si="7">SUM(Z68:Z73)</f>
        <v>0</v>
      </c>
      <c r="AA74" s="282">
        <f t="shared" ref="AA74" si="8">SUM(AA68:AA73)</f>
        <v>0</v>
      </c>
      <c r="AB74" s="282">
        <f>AB88</f>
        <v>1011.6096001216255</v>
      </c>
      <c r="AC74" s="282">
        <f>AC88+AC96</f>
        <v>2940.6902837503658</v>
      </c>
      <c r="AD74" s="282">
        <f>AD88</f>
        <v>505.80480006081279</v>
      </c>
      <c r="AE74" s="282">
        <f>AE88+AE98</f>
        <v>1824.8353274061283</v>
      </c>
      <c r="AF74" s="282">
        <f>AF88+AF98</f>
        <v>68.648164382354679</v>
      </c>
      <c r="AG74" s="282">
        <f t="shared" ref="AG74" si="9">SUM(AG68:AG73)</f>
        <v>0</v>
      </c>
      <c r="AH74" s="282">
        <f>AH88+AH98</f>
        <v>615.19733749406146</v>
      </c>
      <c r="AI74" s="282">
        <f t="shared" ref="AI74" si="10">SUM(AI68:AI73)</f>
        <v>0</v>
      </c>
      <c r="AJ74" s="282">
        <f t="shared" ref="AJ74" si="11">SUM(AJ68:AJ73)</f>
        <v>0</v>
      </c>
      <c r="AK74" s="282">
        <f t="shared" ref="AK74" si="12">SUM(AK68:AK73)</f>
        <v>0</v>
      </c>
      <c r="AL74" s="282">
        <f t="shared" si="5"/>
        <v>12942.068283515737</v>
      </c>
    </row>
    <row r="75" spans="1:38" ht="14.4" customHeight="1">
      <c r="A75" s="404"/>
      <c r="B75" s="283"/>
      <c r="C75" s="284"/>
      <c r="D75" s="252"/>
      <c r="E75" s="285"/>
      <c r="F75" s="284"/>
      <c r="G75" s="284"/>
      <c r="H75" s="284"/>
      <c r="I75" s="284"/>
      <c r="J75" s="284"/>
      <c r="K75" s="284"/>
      <c r="L75" s="284"/>
      <c r="M75" s="284"/>
      <c r="N75" s="284"/>
      <c r="O75" s="293"/>
      <c r="P75" s="284"/>
      <c r="Q75" s="284"/>
      <c r="R75" s="284"/>
      <c r="U75" s="404"/>
      <c r="V75" s="283"/>
      <c r="W75" s="284"/>
      <c r="X75" s="252"/>
      <c r="Y75" s="285"/>
      <c r="Z75" s="284"/>
      <c r="AA75" s="284"/>
      <c r="AB75" s="284"/>
      <c r="AC75" s="284"/>
      <c r="AD75" s="284"/>
      <c r="AE75" s="284"/>
      <c r="AF75" s="284"/>
      <c r="AG75" s="284"/>
      <c r="AH75" s="284"/>
      <c r="AI75" s="293"/>
      <c r="AJ75" s="284"/>
      <c r="AK75" s="284"/>
      <c r="AL75" s="284"/>
    </row>
    <row r="76" spans="1:38" ht="14.4" customHeight="1">
      <c r="A76" s="404"/>
      <c r="B76" s="286" t="s">
        <v>402</v>
      </c>
      <c r="C76" s="277">
        <v>0</v>
      </c>
      <c r="D76" s="287">
        <v>0</v>
      </c>
      <c r="E76" s="287">
        <v>0</v>
      </c>
      <c r="F76" s="277">
        <v>0</v>
      </c>
      <c r="G76" s="277">
        <v>0</v>
      </c>
      <c r="H76" s="277">
        <v>0</v>
      </c>
      <c r="I76" s="277">
        <v>0</v>
      </c>
      <c r="J76" s="277">
        <v>0</v>
      </c>
      <c r="K76" s="277">
        <v>0</v>
      </c>
      <c r="L76" s="277">
        <v>0</v>
      </c>
      <c r="M76" s="277">
        <v>0</v>
      </c>
      <c r="N76" s="277">
        <v>0</v>
      </c>
      <c r="O76" s="277">
        <v>0</v>
      </c>
      <c r="P76" s="277">
        <v>0</v>
      </c>
      <c r="Q76" s="277">
        <v>0</v>
      </c>
      <c r="R76" s="288">
        <f>SUM(C76:Q76)</f>
        <v>0</v>
      </c>
      <c r="U76" s="404"/>
      <c r="V76" s="286" t="s">
        <v>402</v>
      </c>
      <c r="W76" s="277">
        <v>0</v>
      </c>
      <c r="X76" s="287">
        <v>0</v>
      </c>
      <c r="Y76" s="287">
        <v>0</v>
      </c>
      <c r="Z76" s="277">
        <v>0</v>
      </c>
      <c r="AA76" s="277">
        <v>0</v>
      </c>
      <c r="AB76" s="277">
        <v>0</v>
      </c>
      <c r="AC76" s="277">
        <v>0</v>
      </c>
      <c r="AD76" s="277">
        <v>0</v>
      </c>
      <c r="AE76" s="277">
        <v>0</v>
      </c>
      <c r="AF76" s="277">
        <v>0</v>
      </c>
      <c r="AG76" s="277">
        <v>0</v>
      </c>
      <c r="AH76" s="277">
        <v>0</v>
      </c>
      <c r="AI76" s="277">
        <v>0</v>
      </c>
      <c r="AJ76" s="277">
        <v>0</v>
      </c>
      <c r="AK76" s="277">
        <v>0</v>
      </c>
      <c r="AL76" s="288">
        <f>SUM(W76:AK76)</f>
        <v>0</v>
      </c>
    </row>
    <row r="77" spans="1:38" ht="14.4" customHeight="1">
      <c r="A77" s="404"/>
      <c r="B77" s="286" t="s">
        <v>403</v>
      </c>
      <c r="C77" s="277">
        <f>$O$77*'Prod Energie'!$D$32/(-$J$13)</f>
        <v>0</v>
      </c>
      <c r="D77" s="277">
        <v>0</v>
      </c>
      <c r="E77" s="277">
        <f>O77*'Prod Energie'!$D$33/(-$K$13)</f>
        <v>0</v>
      </c>
      <c r="F77" s="277">
        <v>0</v>
      </c>
      <c r="G77" s="277">
        <v>0</v>
      </c>
      <c r="H77" s="277">
        <f>(O77)*('Prod Energie'!$D$34+'Prod Energie'!$D$39+'Prod Energie'!$D$40)/(-$L$13)</f>
        <v>1086.0417505166795</v>
      </c>
      <c r="I77" s="289">
        <f>(O77)*('Prod Energie'!$D$38)/(-$M$13)</f>
        <v>2482.3811440381246</v>
      </c>
      <c r="J77" s="289">
        <f>(O77)*('Prod Energie'!$D$36)/(-$N$13)</f>
        <v>543.02087525833974</v>
      </c>
      <c r="K77" s="289">
        <f>(O77)*('Prod Energie'!$D$37)/(-$O$13)</f>
        <v>1939.3602687797847</v>
      </c>
      <c r="L77" s="289">
        <f>(O77)*('Prod Energie'!$D$41)/(-$P$13)</f>
        <v>51.716273834127605</v>
      </c>
      <c r="M77" s="289">
        <v>0</v>
      </c>
      <c r="N77" s="289">
        <f>(O77)*('Prod Energie'!$D$35)/(-$Q$13)</f>
        <v>0</v>
      </c>
      <c r="O77" s="277">
        <f>O88/(1+$F$17+$F$18)</f>
        <v>-3102.9764300476559</v>
      </c>
      <c r="P77" s="277">
        <v>0</v>
      </c>
      <c r="Q77" s="277">
        <v>0</v>
      </c>
      <c r="R77" s="288">
        <f t="shared" ref="R77:R88" si="13">SUM(C77:Q77)</f>
        <v>2999.5438823793997</v>
      </c>
      <c r="U77" s="404"/>
      <c r="V77" s="286" t="s">
        <v>403</v>
      </c>
      <c r="W77" s="277">
        <f>AI77*'Prod Energie'!$D$53/(-$J$13)</f>
        <v>0</v>
      </c>
      <c r="X77" s="277">
        <v>0</v>
      </c>
      <c r="Y77" s="277">
        <f>AI77*'Prod Energie'!$D$54/(-$K$13)</f>
        <v>0</v>
      </c>
      <c r="Z77" s="277">
        <v>0</v>
      </c>
      <c r="AA77" s="277">
        <v>0</v>
      </c>
      <c r="AB77" s="277">
        <f>(AI77)*('Prod Energie'!$D$55+'Prod Energie'!$D$60+'Prod Energie'!$D$61)/(-$L$13)</f>
        <v>1011.6096001216255</v>
      </c>
      <c r="AC77" s="289">
        <f>(AI77)*'Prod Energie'!$D$59/(-$M$13)</f>
        <v>2312.2505145637151</v>
      </c>
      <c r="AD77" s="289">
        <f>(AI77)*('Prod Energie'!$D$57)/(-$N$13)</f>
        <v>505.80480006081279</v>
      </c>
      <c r="AE77" s="289">
        <f>(AI77)*('Prod Energie'!$D$58)/(-$O$13)</f>
        <v>1806.4457145029025</v>
      </c>
      <c r="AF77" s="289">
        <f>(AI77)*('Prod Energie'!$D$62)/(-$P$13)</f>
        <v>48.171885720077405</v>
      </c>
      <c r="AG77" s="289">
        <v>0</v>
      </c>
      <c r="AH77" s="289">
        <f>(AI77)*'Prod Energie'!D56/(-$Q$13)</f>
        <v>0</v>
      </c>
      <c r="AI77" s="277">
        <f>AI88/(1+$F$17+$F$18)</f>
        <v>-2890.3131432046443</v>
      </c>
      <c r="AJ77" s="277">
        <v>0</v>
      </c>
      <c r="AK77" s="277">
        <v>0</v>
      </c>
      <c r="AL77" s="288">
        <f t="shared" ref="AL77:AL88" si="14">SUM(W77:AK77)</f>
        <v>2793.9693717644891</v>
      </c>
    </row>
    <row r="78" spans="1:38" ht="14.4" customHeight="1">
      <c r="A78" s="404"/>
      <c r="B78" s="286" t="s">
        <v>404</v>
      </c>
      <c r="C78" s="277">
        <v>0</v>
      </c>
      <c r="D78" s="277">
        <v>0</v>
      </c>
      <c r="E78" s="277">
        <v>0</v>
      </c>
      <c r="F78" s="277">
        <v>0</v>
      </c>
      <c r="G78" s="277">
        <v>0</v>
      </c>
      <c r="H78" s="277">
        <v>0</v>
      </c>
      <c r="I78" s="289">
        <f>$P$78*$L$18*V$17</f>
        <v>580.46005787057402</v>
      </c>
      <c r="J78" s="289">
        <f t="shared" ref="J78:N78" si="15">$P$78*$L$18*W$17</f>
        <v>0</v>
      </c>
      <c r="K78" s="289">
        <f t="shared" si="15"/>
        <v>0</v>
      </c>
      <c r="L78" s="289">
        <f t="shared" si="15"/>
        <v>12.474534640243171</v>
      </c>
      <c r="M78" s="289">
        <f t="shared" si="15"/>
        <v>0</v>
      </c>
      <c r="N78" s="289">
        <f t="shared" si="15"/>
        <v>0</v>
      </c>
      <c r="O78" s="277">
        <v>0</v>
      </c>
      <c r="P78" s="277">
        <f>P88/(1+$R$18)</f>
        <v>-506.87627509949857</v>
      </c>
      <c r="Q78" s="277">
        <v>0</v>
      </c>
      <c r="R78" s="288">
        <f t="shared" si="13"/>
        <v>86.058317411318626</v>
      </c>
      <c r="U78" s="404"/>
      <c r="V78" s="286" t="s">
        <v>404</v>
      </c>
      <c r="W78" s="277">
        <v>0</v>
      </c>
      <c r="X78" s="277">
        <v>0</v>
      </c>
      <c r="Y78" s="277">
        <v>0</v>
      </c>
      <c r="Z78" s="277">
        <v>0</v>
      </c>
      <c r="AA78" s="277">
        <v>0</v>
      </c>
      <c r="AB78" s="277">
        <v>0</v>
      </c>
      <c r="AC78" s="289">
        <f>$AJ$78*$L$18*V$17</f>
        <v>580.46005787057402</v>
      </c>
      <c r="AD78" s="289">
        <f t="shared" ref="AD78:AH78" si="16">$AJ$78*$L$18*W$17</f>
        <v>0</v>
      </c>
      <c r="AE78" s="289">
        <f t="shared" si="16"/>
        <v>0</v>
      </c>
      <c r="AF78" s="289">
        <f t="shared" si="16"/>
        <v>12.474534640243171</v>
      </c>
      <c r="AG78" s="289">
        <f t="shared" si="16"/>
        <v>0</v>
      </c>
      <c r="AH78" s="289">
        <f t="shared" si="16"/>
        <v>0</v>
      </c>
      <c r="AI78" s="277">
        <v>0</v>
      </c>
      <c r="AJ78" s="277">
        <f>AJ88/(1+$R$18)</f>
        <v>-506.87627509949857</v>
      </c>
      <c r="AK78" s="277">
        <v>0</v>
      </c>
      <c r="AL78" s="288">
        <f t="shared" si="14"/>
        <v>86.058317411318626</v>
      </c>
    </row>
    <row r="79" spans="1:38" ht="14.4" customHeight="1">
      <c r="A79" s="404"/>
      <c r="B79" s="286" t="s">
        <v>405</v>
      </c>
      <c r="C79" s="277">
        <v>0</v>
      </c>
      <c r="D79" s="277">
        <v>0</v>
      </c>
      <c r="E79" s="277">
        <v>0</v>
      </c>
      <c r="F79" s="277">
        <v>0</v>
      </c>
      <c r="G79" s="277">
        <v>0</v>
      </c>
      <c r="H79" s="277">
        <v>0</v>
      </c>
      <c r="I79" s="290">
        <v>0</v>
      </c>
      <c r="J79" s="290">
        <v>0</v>
      </c>
      <c r="K79" s="290">
        <v>0</v>
      </c>
      <c r="L79" s="290">
        <v>0</v>
      </c>
      <c r="M79" s="290">
        <v>0</v>
      </c>
      <c r="N79" s="290">
        <v>0</v>
      </c>
      <c r="O79" s="277">
        <v>0</v>
      </c>
      <c r="P79" s="277">
        <v>0</v>
      </c>
      <c r="Q79" s="277">
        <v>0</v>
      </c>
      <c r="R79" s="288">
        <f t="shared" si="13"/>
        <v>0</v>
      </c>
      <c r="U79" s="404"/>
      <c r="V79" s="286" t="s">
        <v>405</v>
      </c>
      <c r="W79" s="277">
        <v>0</v>
      </c>
      <c r="X79" s="277">
        <v>0</v>
      </c>
      <c r="Y79" s="277">
        <v>0</v>
      </c>
      <c r="Z79" s="277">
        <v>0</v>
      </c>
      <c r="AA79" s="277">
        <v>0</v>
      </c>
      <c r="AB79" s="277">
        <v>0</v>
      </c>
      <c r="AC79" s="290">
        <v>0</v>
      </c>
      <c r="AD79" s="290">
        <v>0</v>
      </c>
      <c r="AE79" s="290">
        <v>0</v>
      </c>
      <c r="AF79" s="290">
        <v>0</v>
      </c>
      <c r="AG79" s="290">
        <v>0</v>
      </c>
      <c r="AH79" s="290">
        <v>0</v>
      </c>
      <c r="AI79" s="277">
        <v>0</v>
      </c>
      <c r="AJ79" s="277">
        <v>0</v>
      </c>
      <c r="AK79" s="277">
        <v>0</v>
      </c>
      <c r="AL79" s="288">
        <f t="shared" si="14"/>
        <v>0</v>
      </c>
    </row>
    <row r="80" spans="1:38" ht="14.4" customHeight="1">
      <c r="A80" s="404"/>
      <c r="B80" s="286" t="s">
        <v>406</v>
      </c>
      <c r="C80" s="277">
        <v>0</v>
      </c>
      <c r="D80" s="277">
        <v>0</v>
      </c>
      <c r="E80" s="277">
        <v>0</v>
      </c>
      <c r="F80" s="277">
        <v>0</v>
      </c>
      <c r="G80" s="277">
        <v>0</v>
      </c>
      <c r="H80" s="277">
        <v>0</v>
      </c>
      <c r="I80" s="277">
        <v>0</v>
      </c>
      <c r="J80" s="277">
        <v>0</v>
      </c>
      <c r="K80" s="277">
        <v>0</v>
      </c>
      <c r="L80" s="277">
        <v>0</v>
      </c>
      <c r="M80" s="277">
        <v>0</v>
      </c>
      <c r="N80" s="277">
        <v>0</v>
      </c>
      <c r="O80" s="277">
        <v>0</v>
      </c>
      <c r="P80" s="277">
        <v>0</v>
      </c>
      <c r="Q80" s="277">
        <v>0</v>
      </c>
      <c r="R80" s="288">
        <f t="shared" si="13"/>
        <v>0</v>
      </c>
      <c r="U80" s="404"/>
      <c r="V80" s="286" t="s">
        <v>406</v>
      </c>
      <c r="W80" s="277">
        <v>0</v>
      </c>
      <c r="X80" s="277">
        <v>0</v>
      </c>
      <c r="Y80" s="277">
        <v>0</v>
      </c>
      <c r="Z80" s="277">
        <v>0</v>
      </c>
      <c r="AA80" s="277">
        <v>0</v>
      </c>
      <c r="AB80" s="277">
        <v>0</v>
      </c>
      <c r="AC80" s="277">
        <v>0</v>
      </c>
      <c r="AD80" s="277">
        <v>0</v>
      </c>
      <c r="AE80" s="277">
        <v>0</v>
      </c>
      <c r="AF80" s="277">
        <v>0</v>
      </c>
      <c r="AG80" s="277">
        <v>0</v>
      </c>
      <c r="AH80" s="277">
        <v>0</v>
      </c>
      <c r="AI80" s="277">
        <v>0</v>
      </c>
      <c r="AJ80" s="277">
        <v>0</v>
      </c>
      <c r="AK80" s="277">
        <v>0</v>
      </c>
      <c r="AL80" s="288">
        <f t="shared" si="14"/>
        <v>0</v>
      </c>
    </row>
    <row r="81" spans="1:38" ht="14.4" customHeight="1">
      <c r="A81" s="404"/>
      <c r="B81" s="286" t="s">
        <v>36</v>
      </c>
      <c r="C81" s="277">
        <v>0</v>
      </c>
      <c r="D81" s="277">
        <v>0</v>
      </c>
      <c r="E81" s="277">
        <v>0</v>
      </c>
      <c r="F81" s="277">
        <v>0</v>
      </c>
      <c r="G81" s="277">
        <v>0</v>
      </c>
      <c r="H81" s="277">
        <v>0</v>
      </c>
      <c r="I81" s="277">
        <v>0</v>
      </c>
      <c r="J81" s="277">
        <v>0</v>
      </c>
      <c r="K81" s="277">
        <v>0</v>
      </c>
      <c r="L81" s="277">
        <v>0</v>
      </c>
      <c r="M81" s="277">
        <v>0</v>
      </c>
      <c r="N81" s="277">
        <v>0</v>
      </c>
      <c r="O81" s="277">
        <v>0</v>
      </c>
      <c r="P81" s="277">
        <v>0</v>
      </c>
      <c r="Q81" s="277">
        <v>0</v>
      </c>
      <c r="R81" s="288">
        <f t="shared" si="13"/>
        <v>0</v>
      </c>
      <c r="U81" s="404"/>
      <c r="V81" s="286" t="s">
        <v>36</v>
      </c>
      <c r="W81" s="277">
        <v>0</v>
      </c>
      <c r="X81" s="277">
        <v>0</v>
      </c>
      <c r="Y81" s="277">
        <v>0</v>
      </c>
      <c r="Z81" s="277">
        <v>0</v>
      </c>
      <c r="AA81" s="277">
        <v>0</v>
      </c>
      <c r="AB81" s="277">
        <v>0</v>
      </c>
      <c r="AC81" s="277">
        <v>0</v>
      </c>
      <c r="AD81" s="277">
        <v>0</v>
      </c>
      <c r="AE81" s="277">
        <v>0</v>
      </c>
      <c r="AF81" s="277">
        <v>0</v>
      </c>
      <c r="AG81" s="277">
        <v>0</v>
      </c>
      <c r="AH81" s="277">
        <v>0</v>
      </c>
      <c r="AI81" s="277">
        <v>0</v>
      </c>
      <c r="AJ81" s="277">
        <v>0</v>
      </c>
      <c r="AK81" s="277">
        <v>0</v>
      </c>
      <c r="AL81" s="288">
        <f t="shared" si="14"/>
        <v>0</v>
      </c>
    </row>
    <row r="82" spans="1:38" ht="14.4" customHeight="1">
      <c r="A82" s="404"/>
      <c r="B82" s="286" t="s">
        <v>407</v>
      </c>
      <c r="C82" s="277">
        <v>0</v>
      </c>
      <c r="D82" s="277">
        <v>0</v>
      </c>
      <c r="E82" s="277">
        <v>0</v>
      </c>
      <c r="F82" s="277">
        <v>0</v>
      </c>
      <c r="G82" s="277">
        <v>0</v>
      </c>
      <c r="H82" s="277">
        <v>0</v>
      </c>
      <c r="I82" s="277">
        <v>0</v>
      </c>
      <c r="J82" s="277">
        <v>0</v>
      </c>
      <c r="K82" s="277">
        <v>0</v>
      </c>
      <c r="L82" s="277">
        <v>0</v>
      </c>
      <c r="M82" s="277">
        <v>0</v>
      </c>
      <c r="N82" s="277">
        <v>0</v>
      </c>
      <c r="O82" s="277">
        <v>0</v>
      </c>
      <c r="P82" s="277">
        <v>0</v>
      </c>
      <c r="Q82" s="277">
        <v>0</v>
      </c>
      <c r="R82" s="288">
        <f t="shared" si="13"/>
        <v>0</v>
      </c>
      <c r="U82" s="404"/>
      <c r="V82" s="286" t="s">
        <v>407</v>
      </c>
      <c r="W82" s="277">
        <v>0</v>
      </c>
      <c r="X82" s="277">
        <v>0</v>
      </c>
      <c r="Y82" s="277">
        <v>0</v>
      </c>
      <c r="Z82" s="277">
        <v>0</v>
      </c>
      <c r="AA82" s="277">
        <v>0</v>
      </c>
      <c r="AB82" s="277">
        <v>0</v>
      </c>
      <c r="AC82" s="277">
        <v>0</v>
      </c>
      <c r="AD82" s="277">
        <v>0</v>
      </c>
      <c r="AE82" s="277">
        <v>0</v>
      </c>
      <c r="AF82" s="277">
        <v>0</v>
      </c>
      <c r="AG82" s="277">
        <v>0</v>
      </c>
      <c r="AH82" s="277">
        <v>0</v>
      </c>
      <c r="AI82" s="277">
        <v>0</v>
      </c>
      <c r="AJ82" s="277">
        <v>0</v>
      </c>
      <c r="AK82" s="277">
        <v>0</v>
      </c>
      <c r="AL82" s="288">
        <f t="shared" si="14"/>
        <v>0</v>
      </c>
    </row>
    <row r="83" spans="1:38" ht="14.4" customHeight="1">
      <c r="A83" s="404"/>
      <c r="B83" s="286" t="s">
        <v>408</v>
      </c>
      <c r="C83" s="277">
        <v>0</v>
      </c>
      <c r="D83" s="277">
        <v>0</v>
      </c>
      <c r="E83" s="277">
        <v>0</v>
      </c>
      <c r="F83" s="277">
        <v>0</v>
      </c>
      <c r="G83" s="277">
        <v>0</v>
      </c>
      <c r="H83" s="277">
        <v>0</v>
      </c>
      <c r="I83" s="277">
        <v>0</v>
      </c>
      <c r="J83" s="277">
        <v>0</v>
      </c>
      <c r="K83" s="277">
        <v>0</v>
      </c>
      <c r="L83" s="277">
        <v>0</v>
      </c>
      <c r="M83" s="277">
        <v>0</v>
      </c>
      <c r="N83" s="277">
        <v>0</v>
      </c>
      <c r="O83" s="277">
        <v>0</v>
      </c>
      <c r="P83" s="277">
        <v>0</v>
      </c>
      <c r="Q83" s="277">
        <v>0</v>
      </c>
      <c r="R83" s="288">
        <f t="shared" si="13"/>
        <v>0</v>
      </c>
      <c r="U83" s="404"/>
      <c r="V83" s="286" t="s">
        <v>408</v>
      </c>
      <c r="W83" s="277">
        <v>0</v>
      </c>
      <c r="X83" s="277">
        <v>0</v>
      </c>
      <c r="Y83" s="277">
        <v>0</v>
      </c>
      <c r="Z83" s="277">
        <v>0</v>
      </c>
      <c r="AA83" s="277">
        <v>0</v>
      </c>
      <c r="AB83" s="277">
        <v>0</v>
      </c>
      <c r="AC83" s="277">
        <v>0</v>
      </c>
      <c r="AD83" s="277">
        <v>0</v>
      </c>
      <c r="AE83" s="277">
        <v>0</v>
      </c>
      <c r="AF83" s="277">
        <v>0</v>
      </c>
      <c r="AG83" s="277">
        <v>0</v>
      </c>
      <c r="AH83" s="277">
        <v>0</v>
      </c>
      <c r="AI83" s="277">
        <v>0</v>
      </c>
      <c r="AJ83" s="277">
        <v>0</v>
      </c>
      <c r="AK83" s="277">
        <v>0</v>
      </c>
      <c r="AL83" s="288">
        <f t="shared" si="14"/>
        <v>0</v>
      </c>
    </row>
    <row r="84" spans="1:38" ht="14.4" customHeight="1">
      <c r="A84" s="404"/>
      <c r="B84" s="286" t="s">
        <v>409</v>
      </c>
      <c r="C84" s="277">
        <v>0</v>
      </c>
      <c r="D84" s="277">
        <v>0</v>
      </c>
      <c r="E84" s="277">
        <v>0</v>
      </c>
      <c r="F84" s="277">
        <v>0</v>
      </c>
      <c r="G84" s="277">
        <v>0</v>
      </c>
      <c r="H84" s="277">
        <v>0</v>
      </c>
      <c r="I84" s="277">
        <v>0</v>
      </c>
      <c r="J84" s="277">
        <v>0</v>
      </c>
      <c r="K84" s="277">
        <v>0</v>
      </c>
      <c r="L84" s="277">
        <v>0</v>
      </c>
      <c r="M84" s="277">
        <v>0</v>
      </c>
      <c r="N84" s="277">
        <v>0</v>
      </c>
      <c r="O84" s="277">
        <v>0</v>
      </c>
      <c r="P84" s="277">
        <v>0</v>
      </c>
      <c r="Q84" s="277">
        <v>0</v>
      </c>
      <c r="R84" s="288">
        <f t="shared" si="13"/>
        <v>0</v>
      </c>
      <c r="U84" s="404"/>
      <c r="V84" s="286" t="s">
        <v>409</v>
      </c>
      <c r="W84" s="277">
        <v>0</v>
      </c>
      <c r="X84" s="277">
        <v>0</v>
      </c>
      <c r="Y84" s="277">
        <v>0</v>
      </c>
      <c r="Z84" s="277">
        <v>0</v>
      </c>
      <c r="AA84" s="277">
        <v>0</v>
      </c>
      <c r="AB84" s="277">
        <v>0</v>
      </c>
      <c r="AC84" s="277">
        <v>0</v>
      </c>
      <c r="AD84" s="277">
        <v>0</v>
      </c>
      <c r="AE84" s="277">
        <v>0</v>
      </c>
      <c r="AF84" s="277">
        <v>0</v>
      </c>
      <c r="AG84" s="277">
        <v>0</v>
      </c>
      <c r="AH84" s="277">
        <v>0</v>
      </c>
      <c r="AI84" s="277">
        <v>0</v>
      </c>
      <c r="AJ84" s="277">
        <v>0</v>
      </c>
      <c r="AK84" s="277">
        <v>0</v>
      </c>
      <c r="AL84" s="288">
        <f t="shared" si="14"/>
        <v>0</v>
      </c>
    </row>
    <row r="85" spans="1:38" ht="14.4" customHeight="1">
      <c r="A85" s="404"/>
      <c r="B85" s="286" t="s">
        <v>37</v>
      </c>
      <c r="C85" s="277">
        <v>0</v>
      </c>
      <c r="D85" s="277">
        <v>0</v>
      </c>
      <c r="E85" s="277">
        <v>0</v>
      </c>
      <c r="F85" s="277">
        <v>0</v>
      </c>
      <c r="G85" s="277">
        <v>0</v>
      </c>
      <c r="H85" s="277">
        <v>0</v>
      </c>
      <c r="I85" s="277">
        <v>0</v>
      </c>
      <c r="J85" s="277">
        <v>0</v>
      </c>
      <c r="K85" s="277">
        <v>0</v>
      </c>
      <c r="L85" s="277">
        <v>0</v>
      </c>
      <c r="M85" s="277">
        <v>0</v>
      </c>
      <c r="N85" s="277">
        <v>0</v>
      </c>
      <c r="O85" s="277">
        <v>0</v>
      </c>
      <c r="P85" s="277">
        <v>0</v>
      </c>
      <c r="Q85" s="277">
        <v>0</v>
      </c>
      <c r="R85" s="288">
        <f t="shared" si="13"/>
        <v>0</v>
      </c>
      <c r="U85" s="404"/>
      <c r="V85" s="286" t="s">
        <v>37</v>
      </c>
      <c r="W85" s="277">
        <v>0</v>
      </c>
      <c r="X85" s="277">
        <v>0</v>
      </c>
      <c r="Y85" s="277">
        <v>0</v>
      </c>
      <c r="Z85" s="277">
        <v>0</v>
      </c>
      <c r="AA85" s="277">
        <v>0</v>
      </c>
      <c r="AB85" s="277">
        <v>0</v>
      </c>
      <c r="AC85" s="277">
        <v>0</v>
      </c>
      <c r="AD85" s="277">
        <v>0</v>
      </c>
      <c r="AE85" s="277">
        <v>0</v>
      </c>
      <c r="AF85" s="277">
        <v>0</v>
      </c>
      <c r="AG85" s="277">
        <v>0</v>
      </c>
      <c r="AH85" s="277">
        <v>0</v>
      </c>
      <c r="AI85" s="277">
        <v>0</v>
      </c>
      <c r="AJ85" s="277">
        <v>0</v>
      </c>
      <c r="AK85" s="277">
        <v>0</v>
      </c>
      <c r="AL85" s="288">
        <f t="shared" si="14"/>
        <v>0</v>
      </c>
    </row>
    <row r="86" spans="1:38" ht="14.4" customHeight="1">
      <c r="A86" s="404"/>
      <c r="B86" s="286" t="s">
        <v>38</v>
      </c>
      <c r="C86" s="277">
        <v>0</v>
      </c>
      <c r="D86" s="277">
        <v>0</v>
      </c>
      <c r="E86" s="277">
        <v>0</v>
      </c>
      <c r="F86" s="277">
        <v>0</v>
      </c>
      <c r="G86" s="277">
        <v>0</v>
      </c>
      <c r="H86" s="277">
        <v>0</v>
      </c>
      <c r="I86" s="277">
        <v>0</v>
      </c>
      <c r="J86" s="277">
        <v>0</v>
      </c>
      <c r="K86" s="277">
        <v>0</v>
      </c>
      <c r="L86" s="277">
        <v>0</v>
      </c>
      <c r="M86" s="277">
        <v>0</v>
      </c>
      <c r="N86" s="277">
        <v>0</v>
      </c>
      <c r="O86" s="277">
        <f>O77*$F$17</f>
        <v>36.876526296279721</v>
      </c>
      <c r="P86" s="277">
        <v>0</v>
      </c>
      <c r="Q86" s="277">
        <v>0</v>
      </c>
      <c r="R86" s="288">
        <f t="shared" si="13"/>
        <v>36.876526296279721</v>
      </c>
      <c r="U86" s="404"/>
      <c r="V86" s="286" t="s">
        <v>38</v>
      </c>
      <c r="W86" s="277">
        <v>0</v>
      </c>
      <c r="X86" s="277">
        <v>0</v>
      </c>
      <c r="Y86" s="277">
        <v>0</v>
      </c>
      <c r="Z86" s="277">
        <v>0</v>
      </c>
      <c r="AA86" s="277">
        <v>0</v>
      </c>
      <c r="AB86" s="277">
        <v>0</v>
      </c>
      <c r="AC86" s="277">
        <v>0</v>
      </c>
      <c r="AD86" s="277">
        <v>0</v>
      </c>
      <c r="AE86" s="277">
        <v>0</v>
      </c>
      <c r="AF86" s="277">
        <v>0</v>
      </c>
      <c r="AG86" s="277">
        <v>0</v>
      </c>
      <c r="AH86" s="277">
        <v>0</v>
      </c>
      <c r="AI86" s="277">
        <f>AI77*$F$17</f>
        <v>34.349184092330347</v>
      </c>
      <c r="AJ86" s="277">
        <v>0</v>
      </c>
      <c r="AK86" s="277">
        <v>0</v>
      </c>
      <c r="AL86" s="288">
        <f t="shared" si="14"/>
        <v>34.349184092330347</v>
      </c>
    </row>
    <row r="87" spans="1:38" ht="14.4" customHeight="1">
      <c r="A87" s="404"/>
      <c r="B87" s="286" t="s">
        <v>39</v>
      </c>
      <c r="C87" s="277">
        <v>0</v>
      </c>
      <c r="D87" s="277">
        <v>0</v>
      </c>
      <c r="E87" s="277">
        <v>0</v>
      </c>
      <c r="F87" s="277">
        <v>0</v>
      </c>
      <c r="G87" s="277">
        <v>0</v>
      </c>
      <c r="H87" s="277">
        <v>0</v>
      </c>
      <c r="I87" s="277">
        <v>0</v>
      </c>
      <c r="J87" s="277">
        <v>0</v>
      </c>
      <c r="K87" s="277">
        <v>0</v>
      </c>
      <c r="L87" s="277">
        <v>0</v>
      </c>
      <c r="M87" s="277">
        <v>0</v>
      </c>
      <c r="N87" s="277">
        <v>0</v>
      </c>
      <c r="O87" s="277">
        <f>O77*$F$18</f>
        <v>198.53591599775359</v>
      </c>
      <c r="P87" s="277">
        <f>P78*$R$18</f>
        <v>42.722951878559243</v>
      </c>
      <c r="Q87" s="277">
        <v>0</v>
      </c>
      <c r="R87" s="288">
        <f t="shared" si="13"/>
        <v>241.25886787631282</v>
      </c>
      <c r="S87" s="293"/>
      <c r="U87" s="404"/>
      <c r="V87" s="286" t="s">
        <v>39</v>
      </c>
      <c r="W87" s="277">
        <v>0</v>
      </c>
      <c r="X87" s="277">
        <v>0</v>
      </c>
      <c r="Y87" s="277">
        <v>0</v>
      </c>
      <c r="Z87" s="277">
        <v>0</v>
      </c>
      <c r="AA87" s="277">
        <v>0</v>
      </c>
      <c r="AB87" s="277">
        <v>0</v>
      </c>
      <c r="AC87" s="277">
        <v>0</v>
      </c>
      <c r="AD87" s="277">
        <v>0</v>
      </c>
      <c r="AE87" s="277">
        <v>0</v>
      </c>
      <c r="AF87" s="277">
        <v>0</v>
      </c>
      <c r="AG87" s="277">
        <v>0</v>
      </c>
      <c r="AH87" s="277">
        <v>0</v>
      </c>
      <c r="AI87" s="277">
        <f>AI77*$F$18</f>
        <v>184.92920598744848</v>
      </c>
      <c r="AJ87" s="277">
        <f>AJ78*$R$18</f>
        <v>42.722951878559243</v>
      </c>
      <c r="AK87" s="277">
        <v>0</v>
      </c>
      <c r="AL87" s="288">
        <f t="shared" si="14"/>
        <v>227.65215786600771</v>
      </c>
    </row>
    <row r="88" spans="1:38" ht="14.4" customHeight="1">
      <c r="A88" s="404"/>
      <c r="B88" s="281" t="s">
        <v>40</v>
      </c>
      <c r="C88" s="282">
        <f>SUM(C76:C87)</f>
        <v>0</v>
      </c>
      <c r="D88" s="282">
        <f t="shared" ref="D88:Q88" si="17">SUM(D76:D87)</f>
        <v>0</v>
      </c>
      <c r="E88" s="282">
        <f t="shared" si="17"/>
        <v>0</v>
      </c>
      <c r="F88" s="282">
        <f t="shared" si="17"/>
        <v>0</v>
      </c>
      <c r="G88" s="282">
        <f t="shared" si="17"/>
        <v>0</v>
      </c>
      <c r="H88" s="282">
        <f t="shared" si="17"/>
        <v>1086.0417505166795</v>
      </c>
      <c r="I88" s="282">
        <f t="shared" si="17"/>
        <v>3062.8412019086986</v>
      </c>
      <c r="J88" s="282">
        <f t="shared" si="17"/>
        <v>543.02087525833974</v>
      </c>
      <c r="K88" s="282">
        <f t="shared" si="17"/>
        <v>1939.3602687797847</v>
      </c>
      <c r="L88" s="282">
        <f t="shared" si="17"/>
        <v>64.190808474370783</v>
      </c>
      <c r="M88" s="282">
        <f t="shared" si="17"/>
        <v>0</v>
      </c>
      <c r="N88" s="282">
        <f t="shared" si="17"/>
        <v>0</v>
      </c>
      <c r="O88" s="282">
        <f>-O98</f>
        <v>-2867.5639877536223</v>
      </c>
      <c r="P88" s="282">
        <f>-P90</f>
        <v>-464.15332322093934</v>
      </c>
      <c r="Q88" s="282">
        <f t="shared" si="17"/>
        <v>0</v>
      </c>
      <c r="R88" s="282">
        <f t="shared" si="13"/>
        <v>3363.7375939633112</v>
      </c>
      <c r="U88" s="404"/>
      <c r="V88" s="281" t="s">
        <v>40</v>
      </c>
      <c r="W88" s="282">
        <f>SUM(W76:W87)</f>
        <v>0</v>
      </c>
      <c r="X88" s="282">
        <f t="shared" ref="X88" si="18">SUM(X76:X87)</f>
        <v>0</v>
      </c>
      <c r="Y88" s="282">
        <f t="shared" ref="Y88" si="19">SUM(Y76:Y87)</f>
        <v>0</v>
      </c>
      <c r="Z88" s="282">
        <f t="shared" ref="Z88" si="20">SUM(Z76:Z87)</f>
        <v>0</v>
      </c>
      <c r="AA88" s="282">
        <f t="shared" ref="AA88" si="21">SUM(AA76:AA87)</f>
        <v>0</v>
      </c>
      <c r="AB88" s="282">
        <f t="shared" ref="AB88" si="22">SUM(AB76:AB87)</f>
        <v>1011.6096001216255</v>
      </c>
      <c r="AC88" s="282">
        <f t="shared" ref="AC88" si="23">SUM(AC76:AC87)</f>
        <v>2892.7105724342891</v>
      </c>
      <c r="AD88" s="282">
        <f t="shared" ref="AD88" si="24">SUM(AD76:AD87)</f>
        <v>505.80480006081279</v>
      </c>
      <c r="AE88" s="282">
        <f t="shared" ref="AE88" si="25">SUM(AE76:AE87)</f>
        <v>1806.4457145029025</v>
      </c>
      <c r="AF88" s="282">
        <f t="shared" ref="AF88" si="26">SUM(AF76:AF87)</f>
        <v>60.646420360320576</v>
      </c>
      <c r="AG88" s="282">
        <f t="shared" ref="AG88" si="27">SUM(AG76:AG87)</f>
        <v>0</v>
      </c>
      <c r="AH88" s="282">
        <f t="shared" ref="AH88" si="28">SUM(AH76:AH87)</f>
        <v>0</v>
      </c>
      <c r="AI88" s="282">
        <f>-AI98</f>
        <v>-2671.0347531248653</v>
      </c>
      <c r="AJ88" s="282">
        <f>-AJ90</f>
        <v>-464.15332322093934</v>
      </c>
      <c r="AK88" s="282">
        <f t="shared" ref="AK88" si="29">SUM(AK76:AK87)</f>
        <v>0</v>
      </c>
      <c r="AL88" s="282">
        <f t="shared" si="14"/>
        <v>3142.0290311341469</v>
      </c>
    </row>
    <row r="89" spans="1:38" ht="14.4" customHeight="1">
      <c r="A89" s="404"/>
      <c r="B89" s="283"/>
      <c r="C89" s="284"/>
      <c r="D89" s="284"/>
      <c r="E89" s="291"/>
      <c r="F89" s="284"/>
      <c r="G89" s="284"/>
      <c r="H89" s="284"/>
      <c r="I89" s="291"/>
      <c r="J89" s="284"/>
      <c r="K89" s="284"/>
      <c r="L89" s="284"/>
      <c r="M89" s="292"/>
      <c r="N89" s="284"/>
      <c r="O89" s="284"/>
      <c r="P89" s="284"/>
      <c r="Q89" s="284"/>
      <c r="R89" s="284"/>
      <c r="U89" s="404"/>
      <c r="V89" s="283"/>
      <c r="W89" s="284"/>
      <c r="X89" s="284"/>
      <c r="Y89" s="291"/>
      <c r="Z89" s="284"/>
      <c r="AA89" s="284"/>
      <c r="AB89" s="284"/>
      <c r="AC89" s="291"/>
      <c r="AD89" s="284"/>
      <c r="AE89" s="284"/>
      <c r="AF89" s="284"/>
      <c r="AG89" s="292"/>
      <c r="AH89" s="284"/>
      <c r="AI89" s="284"/>
      <c r="AJ89" s="284"/>
      <c r="AK89" s="284"/>
      <c r="AL89" s="284"/>
    </row>
    <row r="90" spans="1:38" ht="14.4" customHeight="1">
      <c r="A90" s="404"/>
      <c r="B90" s="286" t="s">
        <v>41</v>
      </c>
      <c r="C90" s="277">
        <v>0</v>
      </c>
      <c r="D90" s="277">
        <v>0</v>
      </c>
      <c r="E90" s="277">
        <f>Industrie!$D$35</f>
        <v>301.70652829904441</v>
      </c>
      <c r="F90" s="277">
        <v>0</v>
      </c>
      <c r="G90" s="277">
        <v>0</v>
      </c>
      <c r="H90" s="277">
        <v>0</v>
      </c>
      <c r="I90" s="277">
        <f>Industrie!$D$38*$I$49/SUM($I$49:$N$49)</f>
        <v>25.473156782261515</v>
      </c>
      <c r="J90" s="277">
        <f>Industrie!$D$38*$J$49/SUM($I$49:$N$49)</f>
        <v>0</v>
      </c>
      <c r="K90" s="277">
        <f>Industrie!$D$38*$K$49/SUM($I$49:$N$49)</f>
        <v>0</v>
      </c>
      <c r="L90" s="277">
        <f>Industrie!$D$38*$L$49/SUM($I$49:$N$49)</f>
        <v>4.2482473198312425</v>
      </c>
      <c r="M90" s="277">
        <f>Industrie!$D$38*$M$49/SUM($I$49:$N$49)</f>
        <v>0</v>
      </c>
      <c r="N90" s="277">
        <f>Industrie!$D$38*$N$49/SUM($I$49:$N$49)</f>
        <v>8.6607480903338765E-2</v>
      </c>
      <c r="O90" s="277">
        <f>Industrie!$D$36</f>
        <v>321.5419055920612</v>
      </c>
      <c r="P90" s="277">
        <f>Industrie!$D$39</f>
        <v>464.15332322093934</v>
      </c>
      <c r="Q90" s="277">
        <v>0</v>
      </c>
      <c r="R90" s="288">
        <f>SUM(C90:Q90)</f>
        <v>1117.209768695041</v>
      </c>
      <c r="U90" s="404"/>
      <c r="V90" s="286" t="s">
        <v>41</v>
      </c>
      <c r="W90" s="277">
        <v>0</v>
      </c>
      <c r="X90" s="277">
        <v>0</v>
      </c>
      <c r="Y90" s="277">
        <f>Industrie!$D$56</f>
        <v>237.02915173592245</v>
      </c>
      <c r="Z90" s="277">
        <v>0</v>
      </c>
      <c r="AA90" s="277">
        <v>0</v>
      </c>
      <c r="AB90" s="277">
        <v>0</v>
      </c>
      <c r="AC90" s="277">
        <f>Industrie!$D$62*$AC$49/SUM($I$49:$N$49)</f>
        <v>47.979711316076482</v>
      </c>
      <c r="AD90" s="277">
        <f>Industrie!$D$62*$AD$49/SUM($I$49:$N$49)</f>
        <v>0</v>
      </c>
      <c r="AE90" s="277">
        <f>Industrie!$D$62*$AE$49/SUM($I$49:$N$49)</f>
        <v>0</v>
      </c>
      <c r="AF90" s="277">
        <f>Industrie!$D$62*$AF$49/SUM($I$49:$N$49)</f>
        <v>8.0017440220341047</v>
      </c>
      <c r="AG90" s="277">
        <f>Industrie!$D$62*$AG$49/SUM($I$49:$N$49)</f>
        <v>0</v>
      </c>
      <c r="AH90" s="277">
        <f>Industrie!$D$62*$AH$49/SUM($I$49:$N$49)</f>
        <v>0.1631286599880096</v>
      </c>
      <c r="AI90" s="277">
        <f>Industrie!$D$57</f>
        <v>341.79286027148032</v>
      </c>
      <c r="AJ90" s="277">
        <f>Industrie!$D$63</f>
        <v>464.15332322093934</v>
      </c>
      <c r="AK90" s="277">
        <v>0</v>
      </c>
      <c r="AL90" s="288">
        <f>SUM(W90:AK90)</f>
        <v>1099.1199192264407</v>
      </c>
    </row>
    <row r="91" spans="1:38" ht="14.4" customHeight="1">
      <c r="A91" s="404"/>
      <c r="B91" s="286" t="s">
        <v>42</v>
      </c>
      <c r="C91" s="277">
        <v>0</v>
      </c>
      <c r="D91" s="277">
        <v>0</v>
      </c>
      <c r="E91" s="277">
        <f>Transports!$F$44</f>
        <v>5127.3689659569936</v>
      </c>
      <c r="F91" s="277">
        <v>0</v>
      </c>
      <c r="G91" s="277">
        <v>0</v>
      </c>
      <c r="H91" s="277">
        <v>0</v>
      </c>
      <c r="I91" s="277">
        <v>0</v>
      </c>
      <c r="J91" s="277">
        <v>0</v>
      </c>
      <c r="K91" s="277">
        <v>0</v>
      </c>
      <c r="L91" s="277">
        <v>0</v>
      </c>
      <c r="M91" s="277">
        <v>0</v>
      </c>
      <c r="N91" s="277">
        <v>0</v>
      </c>
      <c r="O91" s="277">
        <f>Transports!$F$45</f>
        <v>61.044653072677612</v>
      </c>
      <c r="P91" s="277">
        <v>0</v>
      </c>
      <c r="Q91" s="277">
        <v>0</v>
      </c>
      <c r="R91" s="288">
        <f t="shared" ref="R91:R98" si="30">SUM(C91:Q91)</f>
        <v>5188.4136190296713</v>
      </c>
      <c r="U91" s="404"/>
      <c r="V91" s="286" t="s">
        <v>42</v>
      </c>
      <c r="W91" s="277">
        <v>0</v>
      </c>
      <c r="X91" s="277">
        <v>0</v>
      </c>
      <c r="Y91" s="277">
        <f>Transports!$F$71</f>
        <v>5028.1903003253756</v>
      </c>
      <c r="Z91" s="277">
        <v>0</v>
      </c>
      <c r="AA91" s="277">
        <v>0</v>
      </c>
      <c r="AB91" s="277">
        <v>0</v>
      </c>
      <c r="AC91" s="277">
        <v>0</v>
      </c>
      <c r="AD91" s="277">
        <v>0</v>
      </c>
      <c r="AE91" s="277">
        <v>0</v>
      </c>
      <c r="AF91" s="277">
        <v>0</v>
      </c>
      <c r="AG91" s="277">
        <v>0</v>
      </c>
      <c r="AH91" s="277">
        <v>0</v>
      </c>
      <c r="AI91" s="277">
        <f>Transports!$F$72</f>
        <v>77.443640070514434</v>
      </c>
      <c r="AJ91" s="277">
        <v>0</v>
      </c>
      <c r="AK91" s="277">
        <v>0</v>
      </c>
      <c r="AL91" s="288">
        <f t="shared" ref="AL91:AL98" si="31">SUM(W91:AK91)</f>
        <v>5105.63394039589</v>
      </c>
    </row>
    <row r="92" spans="1:38" ht="14.4" customHeight="1">
      <c r="A92" s="404"/>
      <c r="B92" s="286" t="s">
        <v>43</v>
      </c>
      <c r="C92" s="277">
        <v>0</v>
      </c>
      <c r="D92" s="277">
        <v>0</v>
      </c>
      <c r="E92" s="277">
        <f>'Résidentiel-tertiaire'!$D$163</f>
        <v>95.305911664134271</v>
      </c>
      <c r="F92" s="277">
        <v>0</v>
      </c>
      <c r="G92" s="277">
        <v>0</v>
      </c>
      <c r="H92" s="277">
        <v>0</v>
      </c>
      <c r="I92" s="277">
        <f>'Résidentiel-tertiaire'!$D$164*$I$51/SUM($I$51:$N$51)</f>
        <v>0</v>
      </c>
      <c r="J92" s="277">
        <f>'Résidentiel-tertiaire'!$D$164*$J$51/SUM($I$51:$N$51)</f>
        <v>0</v>
      </c>
      <c r="K92" s="277">
        <f>'Résidentiel-tertiaire'!$D$164*$K$51/SUM($I$51:$N$51)</f>
        <v>0</v>
      </c>
      <c r="L92" s="277">
        <f>'Résidentiel-tertiaire'!$D$164*$L$51/SUM($I$51:$N$51)</f>
        <v>0</v>
      </c>
      <c r="M92" s="277">
        <f>'Résidentiel-tertiaire'!$D$164*$M$51/SUM($I$51:$N$51)</f>
        <v>0</v>
      </c>
      <c r="N92" s="277">
        <f>'Résidentiel-tertiaire'!$D$164*$N$51/SUM($I$51:$N$51)</f>
        <v>655.74610960214113</v>
      </c>
      <c r="O92" s="277">
        <f>'Résidentiel-tertiaire'!$D$165</f>
        <v>1274.1986015965776</v>
      </c>
      <c r="P92" s="277">
        <v>0</v>
      </c>
      <c r="Q92" s="277">
        <v>0</v>
      </c>
      <c r="R92" s="288">
        <f t="shared" si="30"/>
        <v>2025.2506228628531</v>
      </c>
      <c r="U92" s="404"/>
      <c r="V92" s="286" t="s">
        <v>43</v>
      </c>
      <c r="W92" s="277">
        <v>0</v>
      </c>
      <c r="X92" s="277">
        <v>0</v>
      </c>
      <c r="Y92" s="277">
        <f>'Résidentiel-tertiaire'!$D$177</f>
        <v>109.16666666666667</v>
      </c>
      <c r="Z92" s="277">
        <v>0</v>
      </c>
      <c r="AA92" s="277">
        <v>0</v>
      </c>
      <c r="AB92" s="277">
        <v>0</v>
      </c>
      <c r="AC92" s="277">
        <f>'Résidentiel-tertiaire'!$D$178*$AC$51/SUM($I$51:$N$51)</f>
        <v>0</v>
      </c>
      <c r="AD92" s="277">
        <f>'Résidentiel-tertiaire'!$D$178*$AD$51/SUM($I$51:$N$51)</f>
        <v>0</v>
      </c>
      <c r="AE92" s="277">
        <f>'Résidentiel-tertiaire'!$D$178*$AE$51/SUM($I$51:$N$51)</f>
        <v>0</v>
      </c>
      <c r="AF92" s="277">
        <f>'Résidentiel-tertiaire'!$D$178*$AF$51/SUM($I$51:$N$51)</f>
        <v>0</v>
      </c>
      <c r="AG92" s="277">
        <f>'Résidentiel-tertiaire'!$D$178*$AG$51/SUM($I$51:$N$51)</f>
        <v>0</v>
      </c>
      <c r="AH92" s="277">
        <f>'Résidentiel-tertiaire'!$D$178*$AH$51/SUM($I$51:$N$51)</f>
        <v>614.06016125508302</v>
      </c>
      <c r="AI92" s="277">
        <f>'Résidentiel-tertiaire'!$D$179</f>
        <v>1086.4283941094263</v>
      </c>
      <c r="AJ92" s="277">
        <v>0</v>
      </c>
      <c r="AK92" s="277">
        <v>0</v>
      </c>
      <c r="AL92" s="288">
        <f t="shared" si="31"/>
        <v>1809.655222031176</v>
      </c>
    </row>
    <row r="93" spans="1:38" ht="14.4" customHeight="1">
      <c r="A93" s="404"/>
      <c r="B93" s="286" t="s">
        <v>44</v>
      </c>
      <c r="C93" s="277">
        <v>0</v>
      </c>
      <c r="D93" s="277">
        <v>0</v>
      </c>
      <c r="E93" s="277">
        <f>'Résidentiel-tertiaire'!$D$168</f>
        <v>334.00896402169479</v>
      </c>
      <c r="F93" s="277">
        <v>0</v>
      </c>
      <c r="G93" s="277">
        <v>0</v>
      </c>
      <c r="H93" s="277">
        <v>0</v>
      </c>
      <c r="I93" s="277">
        <f>'Résidentiel-tertiaire'!$D$169*$I$52/SUM($I$52:$N$52)</f>
        <v>0</v>
      </c>
      <c r="J93" s="277">
        <f>'Résidentiel-tertiaire'!$D$169*$J$52/SUM($I$52:$N$52)</f>
        <v>0</v>
      </c>
      <c r="K93" s="277">
        <f>'Résidentiel-tertiaire'!$D$169*$K$52/SUM($I$52:$N$52)</f>
        <v>0</v>
      </c>
      <c r="L93" s="277">
        <f>'Résidentiel-tertiaire'!$D$169*$L$52/SUM($I$52:$N$52)</f>
        <v>0</v>
      </c>
      <c r="M93" s="277">
        <f>'Résidentiel-tertiaire'!$D$169*$M$52/SUM($I$52:$N$52)</f>
        <v>0</v>
      </c>
      <c r="N93" s="277">
        <f>'Résidentiel-tertiaire'!$D$169*$N$52/SUM($I$52:$N$52)</f>
        <v>1.0030299219870713</v>
      </c>
      <c r="O93" s="277">
        <f>'Résidentiel-tertiaire'!$D$170</f>
        <v>1190.5965173986535</v>
      </c>
      <c r="P93" s="277">
        <v>0</v>
      </c>
      <c r="Q93" s="277">
        <v>0</v>
      </c>
      <c r="R93" s="288">
        <f t="shared" si="30"/>
        <v>1525.6085113423355</v>
      </c>
      <c r="U93" s="404"/>
      <c r="V93" s="286" t="s">
        <v>44</v>
      </c>
      <c r="W93" s="277">
        <v>0</v>
      </c>
      <c r="X93" s="277">
        <v>0</v>
      </c>
      <c r="Y93" s="277">
        <f>'Résidentiel-tertiaire'!$D$182</f>
        <v>233.33333333333334</v>
      </c>
      <c r="Z93" s="277">
        <v>0</v>
      </c>
      <c r="AA93" s="277">
        <v>0</v>
      </c>
      <c r="AB93" s="277">
        <v>0</v>
      </c>
      <c r="AC93" s="277">
        <f>'Résidentiel-tertiaire'!$D$183*$AC$52/SUM($I$52:$N$52)</f>
        <v>0</v>
      </c>
      <c r="AD93" s="277">
        <f>'Résidentiel-tertiaire'!$D$183*$AD$52/SUM($I$52:$N$52)</f>
        <v>0</v>
      </c>
      <c r="AE93" s="277">
        <f>'Résidentiel-tertiaire'!$D$183*$AE$52/SUM($I$52:$N$52)</f>
        <v>0</v>
      </c>
      <c r="AF93" s="277">
        <f>'Résidentiel-tertiaire'!$D$183*$AF$52/SUM($I$52:$N$52)</f>
        <v>0</v>
      </c>
      <c r="AG93" s="277">
        <f>'Résidentiel-tertiaire'!$D$183*$AG$52/SUM($I$52:$N$52)</f>
        <v>0</v>
      </c>
      <c r="AH93" s="277">
        <f>'Résidentiel-tertiaire'!$D$183*$AH$52/SUM($I$52:$N$52)</f>
        <v>0.97404757899043193</v>
      </c>
      <c r="AI93" s="277">
        <f>'Résidentiel-tertiaire'!$D$184</f>
        <v>1148.8401812540894</v>
      </c>
      <c r="AJ93" s="277">
        <v>0</v>
      </c>
      <c r="AK93" s="277">
        <v>0</v>
      </c>
      <c r="AL93" s="288">
        <f t="shared" si="31"/>
        <v>1383.1475621664131</v>
      </c>
    </row>
    <row r="94" spans="1:38" ht="14.4" customHeight="1">
      <c r="A94" s="404"/>
      <c r="B94" s="286" t="s">
        <v>4</v>
      </c>
      <c r="C94" s="277">
        <v>0</v>
      </c>
      <c r="D94" s="277">
        <v>0</v>
      </c>
      <c r="E94" s="277">
        <f>Agriculture!$J$27</f>
        <v>102.92978147762747</v>
      </c>
      <c r="F94" s="277">
        <v>0</v>
      </c>
      <c r="G94" s="277">
        <v>0</v>
      </c>
      <c r="H94" s="277">
        <v>0</v>
      </c>
      <c r="I94" s="277">
        <v>0</v>
      </c>
      <c r="J94" s="277">
        <v>0</v>
      </c>
      <c r="K94" s="277">
        <v>0</v>
      </c>
      <c r="L94" s="277">
        <v>0</v>
      </c>
      <c r="M94" s="277">
        <v>0</v>
      </c>
      <c r="N94" s="277">
        <v>0</v>
      </c>
      <c r="O94" s="277">
        <f>Agriculture!$J$28</f>
        <v>20.182310093652447</v>
      </c>
      <c r="P94" s="277">
        <v>0</v>
      </c>
      <c r="Q94" s="277">
        <v>0</v>
      </c>
      <c r="R94" s="288">
        <f t="shared" si="30"/>
        <v>123.11209157127992</v>
      </c>
      <c r="U94" s="404"/>
      <c r="V94" s="286" t="s">
        <v>4</v>
      </c>
      <c r="W94" s="277">
        <v>0</v>
      </c>
      <c r="X94" s="277">
        <v>0</v>
      </c>
      <c r="Y94" s="277">
        <f>Agriculture!$M$43</f>
        <v>82.258064516129025</v>
      </c>
      <c r="Z94" s="277">
        <v>0</v>
      </c>
      <c r="AA94" s="277">
        <v>0</v>
      </c>
      <c r="AB94" s="277">
        <v>0</v>
      </c>
      <c r="AC94" s="277">
        <v>0</v>
      </c>
      <c r="AD94" s="277">
        <v>0</v>
      </c>
      <c r="AE94" s="277">
        <f>Agriculture!$M$45</f>
        <v>18.389612903225807</v>
      </c>
      <c r="AF94" s="277">
        <v>0</v>
      </c>
      <c r="AG94" s="277">
        <v>0</v>
      </c>
      <c r="AH94" s="277">
        <v>0</v>
      </c>
      <c r="AI94" s="277">
        <f>Agriculture!$M$44</f>
        <v>16.52967741935484</v>
      </c>
      <c r="AJ94" s="277">
        <v>0</v>
      </c>
      <c r="AK94" s="277">
        <v>0</v>
      </c>
      <c r="AL94" s="288">
        <f t="shared" si="31"/>
        <v>117.17735483870968</v>
      </c>
    </row>
    <row r="95" spans="1:38" ht="14.4" customHeight="1">
      <c r="A95" s="404"/>
      <c r="B95" s="286" t="s">
        <v>410</v>
      </c>
      <c r="C95" s="277">
        <v>0</v>
      </c>
      <c r="D95" s="277">
        <v>0</v>
      </c>
      <c r="E95" s="277">
        <v>0</v>
      </c>
      <c r="F95" s="277">
        <v>0</v>
      </c>
      <c r="G95" s="277">
        <v>0</v>
      </c>
      <c r="H95" s="277">
        <v>0</v>
      </c>
      <c r="I95" s="277">
        <v>0</v>
      </c>
      <c r="J95" s="277">
        <v>0</v>
      </c>
      <c r="K95" s="277">
        <v>0</v>
      </c>
      <c r="L95" s="277">
        <v>0</v>
      </c>
      <c r="M95" s="277">
        <v>0</v>
      </c>
      <c r="N95" s="277">
        <v>0</v>
      </c>
      <c r="O95" s="277">
        <v>0</v>
      </c>
      <c r="P95" s="277">
        <v>0</v>
      </c>
      <c r="Q95" s="277">
        <v>0</v>
      </c>
      <c r="R95" s="288">
        <f t="shared" si="30"/>
        <v>0</v>
      </c>
      <c r="U95" s="404"/>
      <c r="V95" s="286" t="s">
        <v>410</v>
      </c>
      <c r="W95" s="277">
        <v>0</v>
      </c>
      <c r="X95" s="277">
        <v>0</v>
      </c>
      <c r="Y95" s="277">
        <v>0</v>
      </c>
      <c r="Z95" s="277">
        <v>0</v>
      </c>
      <c r="AA95" s="277">
        <v>0</v>
      </c>
      <c r="AB95" s="277">
        <v>0</v>
      </c>
      <c r="AC95" s="277">
        <v>0</v>
      </c>
      <c r="AD95" s="277">
        <v>0</v>
      </c>
      <c r="AE95" s="277">
        <v>0</v>
      </c>
      <c r="AF95" s="277">
        <v>0</v>
      </c>
      <c r="AG95" s="277">
        <v>0</v>
      </c>
      <c r="AH95" s="277">
        <v>0</v>
      </c>
      <c r="AI95" s="277">
        <v>0</v>
      </c>
      <c r="AJ95" s="277">
        <v>0</v>
      </c>
      <c r="AK95" s="277">
        <v>0</v>
      </c>
      <c r="AL95" s="288">
        <f t="shared" si="31"/>
        <v>0</v>
      </c>
    </row>
    <row r="96" spans="1:38" ht="14.4" customHeight="1">
      <c r="A96" s="404"/>
      <c r="B96" s="281" t="s">
        <v>45</v>
      </c>
      <c r="C96" s="282">
        <f>SUM(C90:C95)</f>
        <v>0</v>
      </c>
      <c r="D96" s="282">
        <f t="shared" ref="D96:Q96" si="32">SUM(D90:D95)</f>
        <v>0</v>
      </c>
      <c r="E96" s="282">
        <f t="shared" si="32"/>
        <v>5961.3201514194943</v>
      </c>
      <c r="F96" s="282">
        <f t="shared" si="32"/>
        <v>0</v>
      </c>
      <c r="G96" s="282">
        <f t="shared" si="32"/>
        <v>0</v>
      </c>
      <c r="H96" s="282">
        <f t="shared" si="32"/>
        <v>0</v>
      </c>
      <c r="I96" s="282">
        <f t="shared" si="32"/>
        <v>25.473156782261515</v>
      </c>
      <c r="J96" s="282">
        <f t="shared" si="32"/>
        <v>0</v>
      </c>
      <c r="K96" s="282">
        <f t="shared" si="32"/>
        <v>0</v>
      </c>
      <c r="L96" s="282">
        <f t="shared" si="32"/>
        <v>4.2482473198312425</v>
      </c>
      <c r="M96" s="282">
        <f t="shared" si="32"/>
        <v>0</v>
      </c>
      <c r="N96" s="282">
        <f t="shared" si="32"/>
        <v>656.83574700503152</v>
      </c>
      <c r="O96" s="282">
        <f t="shared" si="32"/>
        <v>2867.5639877536223</v>
      </c>
      <c r="P96" s="282">
        <f t="shared" si="32"/>
        <v>464.15332322093934</v>
      </c>
      <c r="Q96" s="282">
        <f t="shared" si="32"/>
        <v>0</v>
      </c>
      <c r="R96" s="282">
        <f t="shared" si="30"/>
        <v>9979.59461350118</v>
      </c>
      <c r="U96" s="404"/>
      <c r="V96" s="281" t="s">
        <v>45</v>
      </c>
      <c r="W96" s="282">
        <f>SUM(W90:W95)</f>
        <v>0</v>
      </c>
      <c r="X96" s="282">
        <f t="shared" ref="X96" si="33">SUM(X90:X95)</f>
        <v>0</v>
      </c>
      <c r="Y96" s="282">
        <f t="shared" ref="Y96" si="34">SUM(Y90:Y95)</f>
        <v>5689.9775165774272</v>
      </c>
      <c r="Z96" s="282">
        <f t="shared" ref="Z96" si="35">SUM(Z90:Z95)</f>
        <v>0</v>
      </c>
      <c r="AA96" s="282">
        <f t="shared" ref="AA96" si="36">SUM(AA90:AA95)</f>
        <v>0</v>
      </c>
      <c r="AB96" s="282">
        <f t="shared" ref="AB96" si="37">SUM(AB90:AB95)</f>
        <v>0</v>
      </c>
      <c r="AC96" s="282">
        <f t="shared" ref="AC96" si="38">SUM(AC90:AC95)</f>
        <v>47.979711316076482</v>
      </c>
      <c r="AD96" s="282">
        <f t="shared" ref="AD96" si="39">SUM(AD90:AD95)</f>
        <v>0</v>
      </c>
      <c r="AE96" s="282">
        <f t="shared" ref="AE96" si="40">SUM(AE90:AE95)</f>
        <v>18.389612903225807</v>
      </c>
      <c r="AF96" s="282">
        <f t="shared" ref="AF96" si="41">SUM(AF90:AF95)</f>
        <v>8.0017440220341047</v>
      </c>
      <c r="AG96" s="282">
        <f t="shared" ref="AG96" si="42">SUM(AG90:AG95)</f>
        <v>0</v>
      </c>
      <c r="AH96" s="282">
        <f t="shared" ref="AH96" si="43">SUM(AH90:AH95)</f>
        <v>615.19733749406146</v>
      </c>
      <c r="AI96" s="282">
        <f t="shared" ref="AI96" si="44">SUM(AI90:AI95)</f>
        <v>2671.0347531248653</v>
      </c>
      <c r="AJ96" s="282">
        <f t="shared" ref="AJ96" si="45">SUM(AJ90:AJ95)</f>
        <v>464.15332322093934</v>
      </c>
      <c r="AK96" s="282">
        <f t="shared" ref="AK96" si="46">SUM(AK90:AK95)</f>
        <v>0</v>
      </c>
      <c r="AL96" s="282">
        <f t="shared" si="31"/>
        <v>9514.7339986586285</v>
      </c>
    </row>
    <row r="97" spans="1:38" ht="14.4" customHeight="1">
      <c r="A97" s="404"/>
      <c r="B97" s="276" t="s">
        <v>46</v>
      </c>
      <c r="C97" s="277">
        <v>0</v>
      </c>
      <c r="D97" s="277">
        <v>0</v>
      </c>
      <c r="E97" s="277">
        <f>Industrie!$D$37</f>
        <v>285.30525372296273</v>
      </c>
      <c r="F97" s="277">
        <v>0</v>
      </c>
      <c r="G97" s="277">
        <v>0</v>
      </c>
      <c r="H97" s="277">
        <v>0</v>
      </c>
      <c r="I97" s="277">
        <v>0</v>
      </c>
      <c r="J97" s="277">
        <v>0</v>
      </c>
      <c r="K97" s="277">
        <v>0</v>
      </c>
      <c r="L97" s="277">
        <v>0</v>
      </c>
      <c r="M97" s="277">
        <v>0</v>
      </c>
      <c r="N97" s="277">
        <v>0</v>
      </c>
      <c r="O97" s="277">
        <v>0</v>
      </c>
      <c r="P97" s="277">
        <v>0</v>
      </c>
      <c r="Q97" s="277">
        <v>0</v>
      </c>
      <c r="R97" s="288">
        <f t="shared" si="30"/>
        <v>285.30525372296273</v>
      </c>
      <c r="U97" s="404"/>
      <c r="V97" s="276" t="s">
        <v>46</v>
      </c>
      <c r="W97" s="277">
        <v>0</v>
      </c>
      <c r="X97" s="277">
        <v>0</v>
      </c>
      <c r="Y97" s="277">
        <f>Industrie!$D$59</f>
        <v>285.30525372296273</v>
      </c>
      <c r="Z97" s="277">
        <v>0</v>
      </c>
      <c r="AA97" s="277">
        <v>0</v>
      </c>
      <c r="AB97" s="277">
        <v>0</v>
      </c>
      <c r="AC97" s="277">
        <v>0</v>
      </c>
      <c r="AD97" s="277">
        <v>0</v>
      </c>
      <c r="AE97" s="277">
        <v>0</v>
      </c>
      <c r="AF97" s="277">
        <v>0</v>
      </c>
      <c r="AG97" s="277">
        <v>0</v>
      </c>
      <c r="AH97" s="277">
        <v>0</v>
      </c>
      <c r="AI97" s="277">
        <v>0</v>
      </c>
      <c r="AJ97" s="277">
        <v>0</v>
      </c>
      <c r="AK97" s="277">
        <v>0</v>
      </c>
      <c r="AL97" s="288">
        <f t="shared" si="31"/>
        <v>285.30525372296273</v>
      </c>
    </row>
    <row r="98" spans="1:38" ht="14.4" customHeight="1">
      <c r="A98" s="404"/>
      <c r="B98" s="281" t="s">
        <v>47</v>
      </c>
      <c r="C98" s="282">
        <f>C97+C96</f>
        <v>0</v>
      </c>
      <c r="D98" s="282">
        <f t="shared" ref="D98:Q98" si="47">D97+D96</f>
        <v>0</v>
      </c>
      <c r="E98" s="282">
        <f t="shared" si="47"/>
        <v>6246.6254051424567</v>
      </c>
      <c r="F98" s="282">
        <f t="shared" si="47"/>
        <v>0</v>
      </c>
      <c r="G98" s="282">
        <f t="shared" si="47"/>
        <v>0</v>
      </c>
      <c r="H98" s="282">
        <f t="shared" si="47"/>
        <v>0</v>
      </c>
      <c r="I98" s="282">
        <f t="shared" si="47"/>
        <v>25.473156782261515</v>
      </c>
      <c r="J98" s="282">
        <f t="shared" si="47"/>
        <v>0</v>
      </c>
      <c r="K98" s="282">
        <f t="shared" si="47"/>
        <v>0</v>
      </c>
      <c r="L98" s="282">
        <f t="shared" si="47"/>
        <v>4.2482473198312425</v>
      </c>
      <c r="M98" s="282">
        <f t="shared" si="47"/>
        <v>0</v>
      </c>
      <c r="N98" s="282">
        <f t="shared" si="47"/>
        <v>656.83574700503152</v>
      </c>
      <c r="O98" s="282">
        <f t="shared" si="47"/>
        <v>2867.5639877536223</v>
      </c>
      <c r="P98" s="282">
        <f t="shared" si="47"/>
        <v>464.15332322093934</v>
      </c>
      <c r="Q98" s="282">
        <f t="shared" si="47"/>
        <v>0</v>
      </c>
      <c r="R98" s="282">
        <f t="shared" si="30"/>
        <v>10264.899867224141</v>
      </c>
      <c r="U98" s="404"/>
      <c r="V98" s="281" t="s">
        <v>47</v>
      </c>
      <c r="W98" s="282">
        <f>W97+W96</f>
        <v>0</v>
      </c>
      <c r="X98" s="282">
        <f t="shared" ref="X98" si="48">X97+X96</f>
        <v>0</v>
      </c>
      <c r="Y98" s="282">
        <f t="shared" ref="Y98" si="49">Y97+Y96</f>
        <v>5975.2827703003895</v>
      </c>
      <c r="Z98" s="282">
        <f t="shared" ref="Z98" si="50">Z97+Z96</f>
        <v>0</v>
      </c>
      <c r="AA98" s="282">
        <f t="shared" ref="AA98" si="51">AA97+AA96</f>
        <v>0</v>
      </c>
      <c r="AB98" s="282">
        <f t="shared" ref="AB98" si="52">AB97+AB96</f>
        <v>0</v>
      </c>
      <c r="AC98" s="282">
        <f t="shared" ref="AC98" si="53">AC97+AC96</f>
        <v>47.979711316076482</v>
      </c>
      <c r="AD98" s="282">
        <f t="shared" ref="AD98" si="54">AD97+AD96</f>
        <v>0</v>
      </c>
      <c r="AE98" s="282">
        <f t="shared" ref="AE98" si="55">AE97+AE96</f>
        <v>18.389612903225807</v>
      </c>
      <c r="AF98" s="282">
        <f t="shared" ref="AF98" si="56">AF97+AF96</f>
        <v>8.0017440220341047</v>
      </c>
      <c r="AG98" s="282">
        <f t="shared" ref="AG98" si="57">AG97+AG96</f>
        <v>0</v>
      </c>
      <c r="AH98" s="282">
        <f t="shared" ref="AH98" si="58">AH97+AH96</f>
        <v>615.19733749406146</v>
      </c>
      <c r="AI98" s="282">
        <f t="shared" ref="AI98" si="59">AI97+AI96</f>
        <v>2671.0347531248653</v>
      </c>
      <c r="AJ98" s="282">
        <f t="shared" ref="AJ98" si="60">AJ97+AJ96</f>
        <v>464.15332322093934</v>
      </c>
      <c r="AK98" s="282">
        <f t="shared" ref="AK98" si="61">AK97+AK96</f>
        <v>0</v>
      </c>
      <c r="AL98" s="282">
        <f t="shared" si="31"/>
        <v>9800.0392523815917</v>
      </c>
    </row>
    <row r="101" spans="1:38">
      <c r="K101" s="293">
        <f>O77/SUM(H77:N77)*100</f>
        <v>-50.847457627118651</v>
      </c>
      <c r="L101">
        <f>-O118/SUM(H118:N118)*100</f>
        <v>52.038161318300091</v>
      </c>
      <c r="M101">
        <f>-O159/SUM(H159:N159)*100</f>
        <v>51.416330101278284</v>
      </c>
      <c r="N101">
        <f>-O200/SUM(H200:N200)*100</f>
        <v>50.876408467169064</v>
      </c>
    </row>
    <row r="107" spans="1:38" ht="14.4" customHeight="1">
      <c r="A107" s="404">
        <v>2030</v>
      </c>
      <c r="B107" s="408" t="s">
        <v>12</v>
      </c>
      <c r="C107" s="407" t="s">
        <v>14</v>
      </c>
      <c r="D107" s="407" t="s">
        <v>15</v>
      </c>
      <c r="E107" s="407" t="s">
        <v>16</v>
      </c>
      <c r="F107" s="407" t="s">
        <v>17</v>
      </c>
      <c r="G107" s="407" t="s">
        <v>395</v>
      </c>
      <c r="H107" s="407" t="s">
        <v>18</v>
      </c>
      <c r="I107" s="407" t="s">
        <v>19</v>
      </c>
      <c r="J107" s="407"/>
      <c r="K107" s="407"/>
      <c r="L107" s="407"/>
      <c r="M107" s="407"/>
      <c r="N107" s="407"/>
      <c r="O107" s="399" t="s">
        <v>396</v>
      </c>
      <c r="P107" s="399" t="s">
        <v>21</v>
      </c>
      <c r="Q107" s="399" t="s">
        <v>397</v>
      </c>
      <c r="R107" s="399" t="s">
        <v>23</v>
      </c>
      <c r="U107" s="404">
        <v>2030</v>
      </c>
      <c r="V107" s="405" t="s">
        <v>12</v>
      </c>
      <c r="W107" s="399" t="s">
        <v>14</v>
      </c>
      <c r="X107" s="399" t="s">
        <v>15</v>
      </c>
      <c r="Y107" s="399" t="s">
        <v>16</v>
      </c>
      <c r="Z107" s="399" t="s">
        <v>17</v>
      </c>
      <c r="AA107" s="399" t="s">
        <v>395</v>
      </c>
      <c r="AB107" s="399" t="s">
        <v>18</v>
      </c>
      <c r="AC107" s="401" t="s">
        <v>19</v>
      </c>
      <c r="AD107" s="402"/>
      <c r="AE107" s="402"/>
      <c r="AF107" s="402"/>
      <c r="AG107" s="402"/>
      <c r="AH107" s="403"/>
      <c r="AI107" s="399" t="s">
        <v>396</v>
      </c>
      <c r="AJ107" s="399" t="s">
        <v>21</v>
      </c>
      <c r="AK107" s="399" t="s">
        <v>397</v>
      </c>
      <c r="AL107" s="399" t="s">
        <v>23</v>
      </c>
    </row>
    <row r="108" spans="1:38" ht="45.6">
      <c r="A108" s="404"/>
      <c r="B108" s="408"/>
      <c r="C108" s="407"/>
      <c r="D108" s="407"/>
      <c r="E108" s="407"/>
      <c r="F108" s="407"/>
      <c r="G108" s="407"/>
      <c r="H108" s="407"/>
      <c r="I108" s="274" t="s">
        <v>384</v>
      </c>
      <c r="J108" s="274" t="s">
        <v>7</v>
      </c>
      <c r="K108" s="274" t="s">
        <v>385</v>
      </c>
      <c r="L108" s="274" t="s">
        <v>398</v>
      </c>
      <c r="M108" s="275" t="s">
        <v>399</v>
      </c>
      <c r="N108" s="274" t="s">
        <v>400</v>
      </c>
      <c r="O108" s="399"/>
      <c r="P108" s="399"/>
      <c r="Q108" s="399"/>
      <c r="R108" s="399"/>
      <c r="U108" s="404"/>
      <c r="V108" s="406"/>
      <c r="W108" s="400"/>
      <c r="X108" s="400"/>
      <c r="Y108" s="400"/>
      <c r="Z108" s="400"/>
      <c r="AA108" s="400"/>
      <c r="AB108" s="400"/>
      <c r="AC108" s="274" t="s">
        <v>384</v>
      </c>
      <c r="AD108" s="274" t="s">
        <v>7</v>
      </c>
      <c r="AE108" s="274" t="s">
        <v>385</v>
      </c>
      <c r="AF108" s="274" t="s">
        <v>398</v>
      </c>
      <c r="AG108" s="275" t="s">
        <v>399</v>
      </c>
      <c r="AH108" s="274" t="s">
        <v>400</v>
      </c>
      <c r="AI108" s="400"/>
      <c r="AJ108" s="400"/>
      <c r="AK108" s="400"/>
      <c r="AL108" s="400"/>
    </row>
    <row r="109" spans="1:38" ht="14.4" customHeight="1">
      <c r="A109" s="404"/>
      <c r="B109" s="276" t="s">
        <v>24</v>
      </c>
      <c r="C109" s="277">
        <v>0</v>
      </c>
      <c r="D109" s="278">
        <v>0</v>
      </c>
      <c r="E109" s="278">
        <v>0</v>
      </c>
      <c r="F109" s="277">
        <v>0</v>
      </c>
      <c r="G109" s="278">
        <v>0</v>
      </c>
      <c r="H109" s="278">
        <f>H115</f>
        <v>1253.9392989610913</v>
      </c>
      <c r="I109" s="278">
        <f>$I$27</f>
        <v>1181.9392943361693</v>
      </c>
      <c r="J109" s="278">
        <f>J115</f>
        <v>577.47204557418672</v>
      </c>
      <c r="K109" s="278">
        <v>0</v>
      </c>
      <c r="L109" s="278">
        <f>L115</f>
        <v>72.633187219490878</v>
      </c>
      <c r="M109" s="278">
        <v>0</v>
      </c>
      <c r="N109" s="278">
        <f>N115</f>
        <v>683.80813243623209</v>
      </c>
      <c r="O109" s="279">
        <v>0</v>
      </c>
      <c r="P109" s="278">
        <v>0</v>
      </c>
      <c r="Q109" s="278">
        <v>0</v>
      </c>
      <c r="R109" s="280">
        <f>SUM(C109:Q109)</f>
        <v>3769.7919585271702</v>
      </c>
      <c r="U109" s="404"/>
      <c r="V109" s="276" t="s">
        <v>24</v>
      </c>
      <c r="W109" s="277">
        <v>0</v>
      </c>
      <c r="X109" s="278">
        <v>0</v>
      </c>
      <c r="Y109" s="278">
        <v>0</v>
      </c>
      <c r="Z109" s="277">
        <v>0</v>
      </c>
      <c r="AA109" s="278">
        <v>0</v>
      </c>
      <c r="AB109" s="278">
        <f>AB115</f>
        <v>1378.9621893315204</v>
      </c>
      <c r="AC109" s="278">
        <f>$I$27</f>
        <v>1181.9392943361693</v>
      </c>
      <c r="AD109" s="278">
        <f>AD115</f>
        <v>524.60518072394814</v>
      </c>
      <c r="AE109" s="278">
        <v>0</v>
      </c>
      <c r="AF109" s="278">
        <f>AF115</f>
        <v>74.476963209048506</v>
      </c>
      <c r="AG109" s="278">
        <v>0</v>
      </c>
      <c r="AH109" s="278">
        <f>AH115</f>
        <v>571.05272116738911</v>
      </c>
      <c r="AI109" s="279">
        <v>0</v>
      </c>
      <c r="AJ109" s="278">
        <v>0</v>
      </c>
      <c r="AK109" s="278">
        <v>0</v>
      </c>
      <c r="AL109" s="280">
        <f>SUM(W109:AK109)</f>
        <v>3731.0363487680752</v>
      </c>
    </row>
    <row r="110" spans="1:38" ht="14.4" customHeight="1">
      <c r="A110" s="404"/>
      <c r="B110" s="276" t="s">
        <v>28</v>
      </c>
      <c r="C110" s="277">
        <f>C115</f>
        <v>0</v>
      </c>
      <c r="D110" s="278">
        <f>D115</f>
        <v>0</v>
      </c>
      <c r="E110" s="278">
        <f>E115</f>
        <v>5680.820928892309</v>
      </c>
      <c r="F110" s="277">
        <v>0</v>
      </c>
      <c r="G110" s="278">
        <v>0</v>
      </c>
      <c r="H110" s="278">
        <v>0</v>
      </c>
      <c r="I110" s="278">
        <f>I115-$I$27</f>
        <v>2509.4302484563577</v>
      </c>
      <c r="J110" s="278">
        <v>0</v>
      </c>
      <c r="K110" s="278">
        <f>K115</f>
        <v>1402.4321106801679</v>
      </c>
      <c r="L110" s="278">
        <v>0</v>
      </c>
      <c r="M110" s="278">
        <v>0</v>
      </c>
      <c r="N110" s="278">
        <v>0</v>
      </c>
      <c r="O110" s="279">
        <v>0</v>
      </c>
      <c r="P110" s="278">
        <v>0</v>
      </c>
      <c r="Q110" s="278">
        <v>0</v>
      </c>
      <c r="R110" s="280">
        <f t="shared" ref="R110:R115" si="62">SUM(C110:Q110)</f>
        <v>9592.6832880288348</v>
      </c>
      <c r="U110" s="404"/>
      <c r="V110" s="276" t="s">
        <v>28</v>
      </c>
      <c r="W110" s="277">
        <f>W115</f>
        <v>0</v>
      </c>
      <c r="X110" s="278">
        <f>X115</f>
        <v>0</v>
      </c>
      <c r="Y110" s="278">
        <f>Y115</f>
        <v>4934.4255091781479</v>
      </c>
      <c r="Z110" s="277">
        <v>0</v>
      </c>
      <c r="AA110" s="278">
        <v>0</v>
      </c>
      <c r="AB110" s="278">
        <v>0</v>
      </c>
      <c r="AC110" s="278">
        <f>AC115-$I$27</f>
        <v>1896.5189757189189</v>
      </c>
      <c r="AD110" s="278">
        <v>0</v>
      </c>
      <c r="AE110" s="278">
        <f>AE115</f>
        <v>1007.9810545241984</v>
      </c>
      <c r="AF110" s="278">
        <v>0</v>
      </c>
      <c r="AG110" s="278">
        <v>0</v>
      </c>
      <c r="AH110" s="278">
        <v>0</v>
      </c>
      <c r="AI110" s="279">
        <v>0</v>
      </c>
      <c r="AJ110" s="278">
        <v>0</v>
      </c>
      <c r="AK110" s="278">
        <v>0</v>
      </c>
      <c r="AL110" s="280">
        <f t="shared" ref="AL110:AL115" si="63">SUM(W110:AK110)</f>
        <v>7838.9255394212651</v>
      </c>
    </row>
    <row r="111" spans="1:38" ht="14.4" customHeight="1">
      <c r="A111" s="404"/>
      <c r="B111" s="276" t="s">
        <v>29</v>
      </c>
      <c r="C111" s="277">
        <v>0</v>
      </c>
      <c r="D111" s="278">
        <v>0</v>
      </c>
      <c r="E111" s="278">
        <v>0</v>
      </c>
      <c r="F111" s="277">
        <v>0</v>
      </c>
      <c r="G111" s="278">
        <v>0</v>
      </c>
      <c r="H111" s="278">
        <v>0</v>
      </c>
      <c r="I111" s="278">
        <v>0</v>
      </c>
      <c r="J111" s="278">
        <v>0</v>
      </c>
      <c r="K111" s="278">
        <v>0</v>
      </c>
      <c r="L111" s="278">
        <v>0</v>
      </c>
      <c r="M111" s="278">
        <v>0</v>
      </c>
      <c r="N111" s="278">
        <v>0</v>
      </c>
      <c r="O111" s="279">
        <v>0</v>
      </c>
      <c r="P111" s="278">
        <v>0</v>
      </c>
      <c r="Q111" s="278">
        <v>0</v>
      </c>
      <c r="R111" s="280">
        <f t="shared" si="62"/>
        <v>0</v>
      </c>
      <c r="U111" s="404"/>
      <c r="V111" s="276" t="s">
        <v>29</v>
      </c>
      <c r="W111" s="277">
        <v>0</v>
      </c>
      <c r="X111" s="278">
        <v>0</v>
      </c>
      <c r="Y111" s="278">
        <v>0</v>
      </c>
      <c r="Z111" s="277">
        <v>0</v>
      </c>
      <c r="AA111" s="278">
        <v>0</v>
      </c>
      <c r="AB111" s="278">
        <v>0</v>
      </c>
      <c r="AC111" s="278">
        <v>0</v>
      </c>
      <c r="AD111" s="278">
        <v>0</v>
      </c>
      <c r="AE111" s="278">
        <v>0</v>
      </c>
      <c r="AF111" s="278">
        <v>0</v>
      </c>
      <c r="AG111" s="278">
        <v>0</v>
      </c>
      <c r="AH111" s="278">
        <v>0</v>
      </c>
      <c r="AI111" s="279">
        <v>0</v>
      </c>
      <c r="AJ111" s="278">
        <v>0</v>
      </c>
      <c r="AK111" s="278">
        <v>0</v>
      </c>
      <c r="AL111" s="280">
        <f t="shared" si="63"/>
        <v>0</v>
      </c>
    </row>
    <row r="112" spans="1:38" ht="14.4" customHeight="1">
      <c r="A112" s="404"/>
      <c r="B112" s="276" t="s">
        <v>30</v>
      </c>
      <c r="C112" s="277">
        <v>0</v>
      </c>
      <c r="D112" s="278">
        <v>0</v>
      </c>
      <c r="E112" s="278">
        <v>0</v>
      </c>
      <c r="F112" s="277">
        <v>0</v>
      </c>
      <c r="G112" s="278">
        <v>0</v>
      </c>
      <c r="H112" s="278">
        <v>0</v>
      </c>
      <c r="I112" s="278">
        <v>0</v>
      </c>
      <c r="J112" s="278">
        <v>0</v>
      </c>
      <c r="K112" s="278">
        <v>0</v>
      </c>
      <c r="L112" s="278">
        <v>0</v>
      </c>
      <c r="M112" s="278">
        <v>0</v>
      </c>
      <c r="N112" s="278">
        <v>0</v>
      </c>
      <c r="O112" s="279">
        <v>0</v>
      </c>
      <c r="P112" s="278">
        <v>0</v>
      </c>
      <c r="Q112" s="278">
        <v>0</v>
      </c>
      <c r="R112" s="280">
        <f t="shared" si="62"/>
        <v>0</v>
      </c>
      <c r="U112" s="404"/>
      <c r="V112" s="276" t="s">
        <v>30</v>
      </c>
      <c r="W112" s="277">
        <v>0</v>
      </c>
      <c r="X112" s="278">
        <v>0</v>
      </c>
      <c r="Y112" s="278">
        <v>0</v>
      </c>
      <c r="Z112" s="277">
        <v>0</v>
      </c>
      <c r="AA112" s="278">
        <v>0</v>
      </c>
      <c r="AB112" s="278">
        <v>0</v>
      </c>
      <c r="AC112" s="278">
        <v>0</v>
      </c>
      <c r="AD112" s="278">
        <v>0</v>
      </c>
      <c r="AE112" s="278">
        <v>0</v>
      </c>
      <c r="AF112" s="278">
        <v>0</v>
      </c>
      <c r="AG112" s="278">
        <v>0</v>
      </c>
      <c r="AH112" s="278">
        <v>0</v>
      </c>
      <c r="AI112" s="279">
        <v>0</v>
      </c>
      <c r="AJ112" s="278">
        <v>0</v>
      </c>
      <c r="AK112" s="278">
        <v>0</v>
      </c>
      <c r="AL112" s="280">
        <f t="shared" si="63"/>
        <v>0</v>
      </c>
    </row>
    <row r="113" spans="1:38" ht="14.4" customHeight="1">
      <c r="A113" s="404"/>
      <c r="B113" s="276" t="s">
        <v>31</v>
      </c>
      <c r="C113" s="277">
        <v>0</v>
      </c>
      <c r="D113" s="278">
        <v>0</v>
      </c>
      <c r="E113" s="278">
        <v>0</v>
      </c>
      <c r="F113" s="277">
        <v>0</v>
      </c>
      <c r="G113" s="278">
        <v>0</v>
      </c>
      <c r="H113" s="278">
        <v>0</v>
      </c>
      <c r="I113" s="278">
        <v>0</v>
      </c>
      <c r="J113" s="278">
        <v>0</v>
      </c>
      <c r="K113" s="278">
        <v>0</v>
      </c>
      <c r="L113" s="278">
        <v>0</v>
      </c>
      <c r="M113" s="278">
        <v>0</v>
      </c>
      <c r="N113" s="278">
        <v>0</v>
      </c>
      <c r="O113" s="279">
        <v>0</v>
      </c>
      <c r="P113" s="278">
        <v>0</v>
      </c>
      <c r="Q113" s="278">
        <v>0</v>
      </c>
      <c r="R113" s="280">
        <f t="shared" si="62"/>
        <v>0</v>
      </c>
      <c r="U113" s="404"/>
      <c r="V113" s="276" t="s">
        <v>31</v>
      </c>
      <c r="W113" s="277">
        <v>0</v>
      </c>
      <c r="X113" s="278">
        <v>0</v>
      </c>
      <c r="Y113" s="278">
        <v>0</v>
      </c>
      <c r="Z113" s="277">
        <v>0</v>
      </c>
      <c r="AA113" s="278">
        <v>0</v>
      </c>
      <c r="AB113" s="278">
        <v>0</v>
      </c>
      <c r="AC113" s="278">
        <v>0</v>
      </c>
      <c r="AD113" s="278">
        <v>0</v>
      </c>
      <c r="AE113" s="278">
        <v>0</v>
      </c>
      <c r="AF113" s="278">
        <v>0</v>
      </c>
      <c r="AG113" s="278">
        <v>0</v>
      </c>
      <c r="AH113" s="278">
        <v>0</v>
      </c>
      <c r="AI113" s="279">
        <v>0</v>
      </c>
      <c r="AJ113" s="278">
        <v>0</v>
      </c>
      <c r="AK113" s="278">
        <v>0</v>
      </c>
      <c r="AL113" s="280">
        <f t="shared" si="63"/>
        <v>0</v>
      </c>
    </row>
    <row r="114" spans="1:38" ht="14.4" customHeight="1">
      <c r="A114" s="404"/>
      <c r="B114" s="276" t="s">
        <v>32</v>
      </c>
      <c r="C114" s="277">
        <v>0</v>
      </c>
      <c r="D114" s="278">
        <v>0</v>
      </c>
      <c r="E114" s="278">
        <v>0</v>
      </c>
      <c r="F114" s="277">
        <v>0</v>
      </c>
      <c r="G114" s="278">
        <v>0</v>
      </c>
      <c r="H114" s="278">
        <v>0</v>
      </c>
      <c r="I114" s="278">
        <v>0</v>
      </c>
      <c r="J114" s="278">
        <v>0</v>
      </c>
      <c r="K114" s="278">
        <v>0</v>
      </c>
      <c r="L114" s="278">
        <v>0</v>
      </c>
      <c r="M114" s="278">
        <v>0</v>
      </c>
      <c r="N114" s="278">
        <v>0</v>
      </c>
      <c r="O114" s="279">
        <v>0</v>
      </c>
      <c r="P114" s="278">
        <v>0</v>
      </c>
      <c r="Q114" s="278">
        <v>0</v>
      </c>
      <c r="R114" s="280">
        <f t="shared" si="62"/>
        <v>0</v>
      </c>
      <c r="U114" s="404"/>
      <c r="V114" s="276" t="s">
        <v>32</v>
      </c>
      <c r="W114" s="277">
        <v>0</v>
      </c>
      <c r="X114" s="278">
        <v>0</v>
      </c>
      <c r="Y114" s="278">
        <v>0</v>
      </c>
      <c r="Z114" s="277">
        <v>0</v>
      </c>
      <c r="AA114" s="278">
        <v>0</v>
      </c>
      <c r="AB114" s="278">
        <v>0</v>
      </c>
      <c r="AC114" s="278">
        <v>0</v>
      </c>
      <c r="AD114" s="278">
        <v>0</v>
      </c>
      <c r="AE114" s="278">
        <v>0</v>
      </c>
      <c r="AF114" s="278">
        <v>0</v>
      </c>
      <c r="AG114" s="278">
        <v>0</v>
      </c>
      <c r="AH114" s="278">
        <v>0</v>
      </c>
      <c r="AI114" s="279">
        <v>0</v>
      </c>
      <c r="AJ114" s="278">
        <v>0</v>
      </c>
      <c r="AK114" s="278">
        <v>0</v>
      </c>
      <c r="AL114" s="280">
        <f t="shared" si="63"/>
        <v>0</v>
      </c>
    </row>
    <row r="115" spans="1:38" ht="14.4" customHeight="1">
      <c r="A115" s="404"/>
      <c r="B115" s="281" t="s">
        <v>401</v>
      </c>
      <c r="C115" s="282">
        <f>C139+C137</f>
        <v>0</v>
      </c>
      <c r="D115" s="282">
        <f>D129+D139</f>
        <v>0</v>
      </c>
      <c r="E115" s="282">
        <f>E129+E139</f>
        <v>5680.820928892309</v>
      </c>
      <c r="F115" s="282">
        <f t="shared" ref="F115:G115" si="64">SUM(F109:F114)</f>
        <v>0</v>
      </c>
      <c r="G115" s="282">
        <f t="shared" si="64"/>
        <v>0</v>
      </c>
      <c r="H115" s="282">
        <f>H129</f>
        <v>1253.9392989610913</v>
      </c>
      <c r="I115" s="282">
        <f>I129+I137</f>
        <v>3691.3695427925272</v>
      </c>
      <c r="J115" s="282">
        <f>J129+J139</f>
        <v>577.47204557418672</v>
      </c>
      <c r="K115" s="282">
        <f>K129+K139</f>
        <v>1402.4321106801679</v>
      </c>
      <c r="L115" s="282">
        <f>L129+L139</f>
        <v>72.633187219490878</v>
      </c>
      <c r="M115" s="282">
        <f t="shared" ref="M115" si="65">SUM(M109:M114)</f>
        <v>0</v>
      </c>
      <c r="N115" s="282">
        <f>N129+N139</f>
        <v>683.80813243623209</v>
      </c>
      <c r="O115" s="282">
        <f t="shared" ref="O115:Q115" si="66">SUM(O109:O114)</f>
        <v>0</v>
      </c>
      <c r="P115" s="282">
        <f t="shared" si="66"/>
        <v>0</v>
      </c>
      <c r="Q115" s="282">
        <f t="shared" si="66"/>
        <v>0</v>
      </c>
      <c r="R115" s="282">
        <f t="shared" si="62"/>
        <v>13362.475246556005</v>
      </c>
      <c r="U115" s="404"/>
      <c r="V115" s="281" t="s">
        <v>401</v>
      </c>
      <c r="W115" s="282">
        <f>W139+W137</f>
        <v>0</v>
      </c>
      <c r="X115" s="282">
        <f>X129+X139</f>
        <v>0</v>
      </c>
      <c r="Y115" s="282">
        <f>Y129+Y139</f>
        <v>4934.4255091781479</v>
      </c>
      <c r="Z115" s="282">
        <f t="shared" ref="Z115:AA115" si="67">SUM(Z109:Z114)</f>
        <v>0</v>
      </c>
      <c r="AA115" s="282">
        <f t="shared" si="67"/>
        <v>0</v>
      </c>
      <c r="AB115" s="282">
        <f>AB129</f>
        <v>1378.9621893315204</v>
      </c>
      <c r="AC115" s="282">
        <f>AC129+AC137</f>
        <v>3078.4582700550882</v>
      </c>
      <c r="AD115" s="282">
        <f>AD129</f>
        <v>524.60518072394814</v>
      </c>
      <c r="AE115" s="282">
        <f>AE129+AE139</f>
        <v>1007.9810545241984</v>
      </c>
      <c r="AF115" s="282">
        <f>AF129+AF139</f>
        <v>74.476963209048506</v>
      </c>
      <c r="AG115" s="282">
        <f t="shared" ref="AG115" si="68">SUM(AG109:AG114)</f>
        <v>0</v>
      </c>
      <c r="AH115" s="282">
        <f>AH129+AH139</f>
        <v>571.05272116738911</v>
      </c>
      <c r="AI115" s="282">
        <f t="shared" ref="AI115:AK115" si="69">SUM(AI109:AI114)</f>
        <v>0</v>
      </c>
      <c r="AJ115" s="282">
        <f t="shared" si="69"/>
        <v>0</v>
      </c>
      <c r="AK115" s="282">
        <f t="shared" si="69"/>
        <v>0</v>
      </c>
      <c r="AL115" s="282">
        <f t="shared" si="63"/>
        <v>11569.96188818934</v>
      </c>
    </row>
    <row r="116" spans="1:38" ht="14.4" customHeight="1">
      <c r="A116" s="404"/>
      <c r="B116" s="283"/>
      <c r="C116" s="284"/>
      <c r="D116" s="252"/>
      <c r="E116" s="285"/>
      <c r="F116" s="284"/>
      <c r="G116" s="284"/>
      <c r="H116" s="284"/>
      <c r="I116" s="284"/>
      <c r="J116" s="284"/>
      <c r="K116" s="284"/>
      <c r="L116" s="284"/>
      <c r="M116" s="284"/>
      <c r="N116" s="284"/>
      <c r="O116" s="293"/>
      <c r="P116" s="284"/>
      <c r="Q116" s="284"/>
      <c r="R116" s="284"/>
      <c r="U116" s="404"/>
      <c r="V116" s="283"/>
      <c r="W116" s="284"/>
      <c r="X116" s="252"/>
      <c r="Y116" s="285"/>
      <c r="Z116" s="284"/>
      <c r="AA116" s="284"/>
      <c r="AB116" s="284"/>
      <c r="AC116" s="284"/>
      <c r="AD116" s="284"/>
      <c r="AE116" s="284"/>
      <c r="AF116" s="284"/>
      <c r="AG116" s="284"/>
      <c r="AH116" s="284"/>
      <c r="AI116" s="293"/>
      <c r="AJ116" s="284"/>
      <c r="AK116" s="284"/>
      <c r="AL116" s="284"/>
    </row>
    <row r="117" spans="1:38" ht="14.4" customHeight="1">
      <c r="A117" s="404"/>
      <c r="B117" s="286" t="s">
        <v>402</v>
      </c>
      <c r="C117" s="277">
        <v>0</v>
      </c>
      <c r="D117" s="287">
        <v>0</v>
      </c>
      <c r="E117" s="287">
        <v>0</v>
      </c>
      <c r="F117" s="277">
        <v>0</v>
      </c>
      <c r="G117" s="277">
        <v>0</v>
      </c>
      <c r="H117" s="277">
        <v>0</v>
      </c>
      <c r="I117" s="277">
        <v>0</v>
      </c>
      <c r="J117" s="277">
        <v>0</v>
      </c>
      <c r="K117" s="277">
        <v>0</v>
      </c>
      <c r="L117" s="277">
        <v>0</v>
      </c>
      <c r="M117" s="277">
        <v>0</v>
      </c>
      <c r="N117" s="277">
        <v>0</v>
      </c>
      <c r="O117" s="277">
        <v>0</v>
      </c>
      <c r="P117" s="277">
        <v>0</v>
      </c>
      <c r="Q117" s="277">
        <v>0</v>
      </c>
      <c r="R117" s="288">
        <f>SUM(C117:Q117)</f>
        <v>0</v>
      </c>
      <c r="U117" s="404"/>
      <c r="V117" s="286" t="s">
        <v>402</v>
      </c>
      <c r="W117" s="277">
        <v>0</v>
      </c>
      <c r="X117" s="287">
        <v>0</v>
      </c>
      <c r="Y117" s="287">
        <v>0</v>
      </c>
      <c r="Z117" s="277">
        <v>0</v>
      </c>
      <c r="AA117" s="277">
        <v>0</v>
      </c>
      <c r="AB117" s="277">
        <v>0</v>
      </c>
      <c r="AC117" s="277">
        <v>0</v>
      </c>
      <c r="AD117" s="277">
        <v>0</v>
      </c>
      <c r="AE117" s="277">
        <v>0</v>
      </c>
      <c r="AF117" s="277">
        <v>0</v>
      </c>
      <c r="AG117" s="277">
        <v>0</v>
      </c>
      <c r="AH117" s="277">
        <v>0</v>
      </c>
      <c r="AI117" s="277">
        <v>0</v>
      </c>
      <c r="AJ117" s="277">
        <v>0</v>
      </c>
      <c r="AK117" s="277">
        <v>0</v>
      </c>
      <c r="AL117" s="288">
        <f>SUM(W117:AK117)</f>
        <v>0</v>
      </c>
    </row>
    <row r="118" spans="1:38" ht="14.4" customHeight="1">
      <c r="A118" s="404"/>
      <c r="B118" s="286" t="s">
        <v>403</v>
      </c>
      <c r="C118" s="277">
        <f>$O$118*'Prod Energie'!$E$32/(-$J$13)</f>
        <v>0</v>
      </c>
      <c r="D118" s="277">
        <v>0</v>
      </c>
      <c r="E118" s="277">
        <f>O118*'Prod Energie'!$E$33/(-$K$13)</f>
        <v>0</v>
      </c>
      <c r="F118" s="277">
        <v>0</v>
      </c>
      <c r="G118" s="277">
        <v>0</v>
      </c>
      <c r="H118" s="277">
        <f>(O118)*('Prod Energie'!$E$34+'Prod Energie'!$E$39+'Prod Energie'!$E$40)/(-$L$13)</f>
        <v>1253.9392989610913</v>
      </c>
      <c r="I118" s="289">
        <f>(O118)*('Prod Energie'!$E$38)/(-$M$13)</f>
        <v>3052.3522408921294</v>
      </c>
      <c r="J118" s="289">
        <f>(O118)*('Prod Energie'!$E$36)/(-$N$13)</f>
        <v>577.47204557418672</v>
      </c>
      <c r="K118" s="289">
        <f>(O118)*('Prod Energie'!$E$37)/(-$O$13)</f>
        <v>1402.4321106801679</v>
      </c>
      <c r="L118" s="289">
        <f>(O118)*('Prod Energie'!$E$41)/(-P13)</f>
        <v>54.997337673732069</v>
      </c>
      <c r="M118" s="289">
        <v>0</v>
      </c>
      <c r="N118" s="289">
        <f>(O118)*('Prod Energie'!$E$35)/(-$Q$13)</f>
        <v>0</v>
      </c>
      <c r="O118" s="277">
        <f>O129/(1+$F$17+$F$18)</f>
        <v>-3299.8402604239241</v>
      </c>
      <c r="P118" s="277">
        <v>0</v>
      </c>
      <c r="Q118" s="277">
        <v>0</v>
      </c>
      <c r="R118" s="288">
        <f t="shared" ref="R118:R129" si="70">SUM(C118:Q118)</f>
        <v>3041.3527733573824</v>
      </c>
      <c r="U118" s="404"/>
      <c r="V118" s="286" t="s">
        <v>403</v>
      </c>
      <c r="W118" s="277">
        <f>AI118*'Prod Energie'!$E$53/(-$J$13)</f>
        <v>0</v>
      </c>
      <c r="X118" s="277">
        <v>0</v>
      </c>
      <c r="Y118" s="277">
        <f>AI118*'Prod Energie'!$E$54/(-$K$13)</f>
        <v>0</v>
      </c>
      <c r="Z118" s="277">
        <v>0</v>
      </c>
      <c r="AA118" s="277">
        <v>0</v>
      </c>
      <c r="AB118" s="277">
        <f>(AI118)*('Prod Energie'!$E$55+'Prod Energie'!$E$60+'Prod Energie'!$E$61)/(-$L$13)</f>
        <v>1378.9621893315204</v>
      </c>
      <c r="AC118" s="289">
        <f>(AI118)*'Prod Energie'!$E$59/(-$M$13)</f>
        <v>2398.1951118809056</v>
      </c>
      <c r="AD118" s="289">
        <f>(AI118)*('Prod Energie'!$E$57)/(-$N$13)</f>
        <v>524.60518072394814</v>
      </c>
      <c r="AE118" s="289">
        <f>(AI118)*('Prod Energie'!$E$58)/(-$O$13)</f>
        <v>974.26676420161778</v>
      </c>
      <c r="AF118" s="289">
        <f>(AI118)*('Prod Energie'!$E$62)/(-$P$13)</f>
        <v>49.962398164185537</v>
      </c>
      <c r="AG118" s="289">
        <v>0</v>
      </c>
      <c r="AH118" s="289">
        <f>(AI118)*'Prod Energie'!E97/(-$Q$13)</f>
        <v>0</v>
      </c>
      <c r="AI118" s="277">
        <f>AI129/(1+$F$17+$F$18)</f>
        <v>-2997.7438898511318</v>
      </c>
      <c r="AJ118" s="277">
        <v>0</v>
      </c>
      <c r="AK118" s="277">
        <v>0</v>
      </c>
      <c r="AL118" s="288">
        <f t="shared" ref="AL118:AL129" si="71">SUM(W118:AK118)</f>
        <v>2328.2477544510457</v>
      </c>
    </row>
    <row r="119" spans="1:38" ht="14.4" customHeight="1">
      <c r="A119" s="404"/>
      <c r="B119" s="286" t="s">
        <v>404</v>
      </c>
      <c r="C119" s="277">
        <v>0</v>
      </c>
      <c r="D119" s="277">
        <v>0</v>
      </c>
      <c r="E119" s="277">
        <v>0</v>
      </c>
      <c r="F119" s="277">
        <v>0</v>
      </c>
      <c r="G119" s="277">
        <v>0</v>
      </c>
      <c r="H119" s="277">
        <v>0</v>
      </c>
      <c r="I119" s="289">
        <f>$P$119*$L$18*V$17</f>
        <v>612.15330513598042</v>
      </c>
      <c r="J119" s="289">
        <f t="shared" ref="J119:N119" si="72">$P$119*$L$18*W$17</f>
        <v>0</v>
      </c>
      <c r="K119" s="289">
        <f t="shared" si="72"/>
        <v>0</v>
      </c>
      <c r="L119" s="289">
        <f t="shared" si="72"/>
        <v>13.155646984690231</v>
      </c>
      <c r="M119" s="289">
        <f t="shared" si="72"/>
        <v>0</v>
      </c>
      <c r="N119" s="289">
        <f t="shared" si="72"/>
        <v>0</v>
      </c>
      <c r="O119" s="277">
        <v>0</v>
      </c>
      <c r="P119" s="277">
        <f>P129/(1+$R$18)</f>
        <v>-534.55183158589932</v>
      </c>
      <c r="Q119" s="277">
        <v>0</v>
      </c>
      <c r="R119" s="288">
        <f t="shared" si="70"/>
        <v>90.757120534771275</v>
      </c>
      <c r="U119" s="404"/>
      <c r="V119" s="286" t="s">
        <v>404</v>
      </c>
      <c r="W119" s="277">
        <v>0</v>
      </c>
      <c r="X119" s="277">
        <v>0</v>
      </c>
      <c r="Y119" s="277">
        <v>0</v>
      </c>
      <c r="Z119" s="277">
        <v>0</v>
      </c>
      <c r="AA119" s="277">
        <v>0</v>
      </c>
      <c r="AB119" s="277">
        <v>0</v>
      </c>
      <c r="AC119" s="289">
        <f>$AJ$119*$L$18*V$17</f>
        <v>612.15330513598042</v>
      </c>
      <c r="AD119" s="289">
        <f t="shared" ref="AD119:AH119" si="73">$AJ$119*$L$18*W$17</f>
        <v>0</v>
      </c>
      <c r="AE119" s="289">
        <f t="shared" si="73"/>
        <v>0</v>
      </c>
      <c r="AF119" s="289">
        <f t="shared" si="73"/>
        <v>13.155646984690231</v>
      </c>
      <c r="AG119" s="289">
        <f t="shared" si="73"/>
        <v>0</v>
      </c>
      <c r="AH119" s="289">
        <f t="shared" si="73"/>
        <v>0</v>
      </c>
      <c r="AI119" s="277">
        <v>0</v>
      </c>
      <c r="AJ119" s="277">
        <f>AJ129/(1+$R$18)</f>
        <v>-534.55183158589932</v>
      </c>
      <c r="AK119" s="277">
        <v>0</v>
      </c>
      <c r="AL119" s="288">
        <f t="shared" si="71"/>
        <v>90.757120534771275</v>
      </c>
    </row>
    <row r="120" spans="1:38" ht="14.4" customHeight="1">
      <c r="A120" s="404"/>
      <c r="B120" s="286" t="s">
        <v>405</v>
      </c>
      <c r="C120" s="277">
        <v>0</v>
      </c>
      <c r="D120" s="277">
        <v>0</v>
      </c>
      <c r="E120" s="277">
        <v>0</v>
      </c>
      <c r="F120" s="277">
        <v>0</v>
      </c>
      <c r="G120" s="277">
        <v>0</v>
      </c>
      <c r="H120" s="277">
        <v>0</v>
      </c>
      <c r="I120" s="290">
        <v>0</v>
      </c>
      <c r="J120" s="290">
        <v>0</v>
      </c>
      <c r="K120" s="290">
        <v>0</v>
      </c>
      <c r="L120" s="290">
        <v>0</v>
      </c>
      <c r="M120" s="290">
        <v>0</v>
      </c>
      <c r="N120" s="290">
        <v>0</v>
      </c>
      <c r="O120" s="277">
        <v>0</v>
      </c>
      <c r="P120" s="277">
        <v>0</v>
      </c>
      <c r="Q120" s="277">
        <v>0</v>
      </c>
      <c r="R120" s="288">
        <f t="shared" si="70"/>
        <v>0</v>
      </c>
      <c r="U120" s="404"/>
      <c r="V120" s="286" t="s">
        <v>405</v>
      </c>
      <c r="W120" s="277">
        <v>0</v>
      </c>
      <c r="X120" s="277">
        <v>0</v>
      </c>
      <c r="Y120" s="277">
        <v>0</v>
      </c>
      <c r="Z120" s="277">
        <v>0</v>
      </c>
      <c r="AA120" s="277">
        <v>0</v>
      </c>
      <c r="AB120" s="277">
        <v>0</v>
      </c>
      <c r="AC120" s="290">
        <v>0</v>
      </c>
      <c r="AD120" s="290">
        <v>0</v>
      </c>
      <c r="AE120" s="290">
        <v>0</v>
      </c>
      <c r="AF120" s="290">
        <v>0</v>
      </c>
      <c r="AG120" s="290">
        <v>0</v>
      </c>
      <c r="AH120" s="290">
        <v>0</v>
      </c>
      <c r="AI120" s="277">
        <v>0</v>
      </c>
      <c r="AJ120" s="277">
        <v>0</v>
      </c>
      <c r="AK120" s="277">
        <v>0</v>
      </c>
      <c r="AL120" s="288">
        <f t="shared" si="71"/>
        <v>0</v>
      </c>
    </row>
    <row r="121" spans="1:38" ht="14.4" customHeight="1">
      <c r="A121" s="404"/>
      <c r="B121" s="286" t="s">
        <v>406</v>
      </c>
      <c r="C121" s="277">
        <v>0</v>
      </c>
      <c r="D121" s="277">
        <v>0</v>
      </c>
      <c r="E121" s="277">
        <v>0</v>
      </c>
      <c r="F121" s="277">
        <v>0</v>
      </c>
      <c r="G121" s="277">
        <v>0</v>
      </c>
      <c r="H121" s="277">
        <v>0</v>
      </c>
      <c r="I121" s="277">
        <v>0</v>
      </c>
      <c r="J121" s="277">
        <v>0</v>
      </c>
      <c r="K121" s="277">
        <v>0</v>
      </c>
      <c r="L121" s="277">
        <v>0</v>
      </c>
      <c r="M121" s="277">
        <v>0</v>
      </c>
      <c r="N121" s="277">
        <v>0</v>
      </c>
      <c r="O121" s="277">
        <v>0</v>
      </c>
      <c r="P121" s="277">
        <v>0</v>
      </c>
      <c r="Q121" s="277">
        <v>0</v>
      </c>
      <c r="R121" s="288">
        <f t="shared" si="70"/>
        <v>0</v>
      </c>
      <c r="U121" s="404"/>
      <c r="V121" s="286" t="s">
        <v>406</v>
      </c>
      <c r="W121" s="277">
        <v>0</v>
      </c>
      <c r="X121" s="277">
        <v>0</v>
      </c>
      <c r="Y121" s="277">
        <v>0</v>
      </c>
      <c r="Z121" s="277">
        <v>0</v>
      </c>
      <c r="AA121" s="277">
        <v>0</v>
      </c>
      <c r="AB121" s="277">
        <v>0</v>
      </c>
      <c r="AC121" s="277">
        <v>0</v>
      </c>
      <c r="AD121" s="277">
        <v>0</v>
      </c>
      <c r="AE121" s="277">
        <v>0</v>
      </c>
      <c r="AF121" s="277">
        <v>0</v>
      </c>
      <c r="AG121" s="277">
        <v>0</v>
      </c>
      <c r="AH121" s="277">
        <v>0</v>
      </c>
      <c r="AI121" s="277">
        <v>0</v>
      </c>
      <c r="AJ121" s="277">
        <v>0</v>
      </c>
      <c r="AK121" s="277">
        <v>0</v>
      </c>
      <c r="AL121" s="288">
        <f t="shared" si="71"/>
        <v>0</v>
      </c>
    </row>
    <row r="122" spans="1:38" ht="14.4" customHeight="1">
      <c r="A122" s="404"/>
      <c r="B122" s="286" t="s">
        <v>36</v>
      </c>
      <c r="C122" s="277">
        <v>0</v>
      </c>
      <c r="D122" s="277">
        <v>0</v>
      </c>
      <c r="E122" s="277">
        <v>0</v>
      </c>
      <c r="F122" s="277">
        <v>0</v>
      </c>
      <c r="G122" s="277">
        <v>0</v>
      </c>
      <c r="H122" s="277">
        <v>0</v>
      </c>
      <c r="I122" s="277">
        <v>0</v>
      </c>
      <c r="J122" s="277">
        <v>0</v>
      </c>
      <c r="K122" s="277">
        <v>0</v>
      </c>
      <c r="L122" s="277">
        <v>0</v>
      </c>
      <c r="M122" s="277">
        <v>0</v>
      </c>
      <c r="N122" s="277">
        <v>0</v>
      </c>
      <c r="O122" s="277">
        <v>0</v>
      </c>
      <c r="P122" s="277">
        <v>0</v>
      </c>
      <c r="Q122" s="277">
        <v>0</v>
      </c>
      <c r="R122" s="288">
        <f t="shared" si="70"/>
        <v>0</v>
      </c>
      <c r="U122" s="404"/>
      <c r="V122" s="286" t="s">
        <v>36</v>
      </c>
      <c r="W122" s="277">
        <v>0</v>
      </c>
      <c r="X122" s="277">
        <v>0</v>
      </c>
      <c r="Y122" s="277">
        <v>0</v>
      </c>
      <c r="Z122" s="277">
        <v>0</v>
      </c>
      <c r="AA122" s="277">
        <v>0</v>
      </c>
      <c r="AB122" s="277">
        <v>0</v>
      </c>
      <c r="AC122" s="277">
        <v>0</v>
      </c>
      <c r="AD122" s="277">
        <v>0</v>
      </c>
      <c r="AE122" s="277">
        <v>0</v>
      </c>
      <c r="AF122" s="277">
        <v>0</v>
      </c>
      <c r="AG122" s="277">
        <v>0</v>
      </c>
      <c r="AH122" s="277">
        <v>0</v>
      </c>
      <c r="AI122" s="277">
        <v>0</v>
      </c>
      <c r="AJ122" s="277">
        <v>0</v>
      </c>
      <c r="AK122" s="277">
        <v>0</v>
      </c>
      <c r="AL122" s="288">
        <f t="shared" si="71"/>
        <v>0</v>
      </c>
    </row>
    <row r="123" spans="1:38" ht="14.4" customHeight="1">
      <c r="A123" s="404"/>
      <c r="B123" s="286" t="s">
        <v>407</v>
      </c>
      <c r="C123" s="277">
        <v>0</v>
      </c>
      <c r="D123" s="277">
        <v>0</v>
      </c>
      <c r="E123" s="277">
        <v>0</v>
      </c>
      <c r="F123" s="277">
        <v>0</v>
      </c>
      <c r="G123" s="277">
        <v>0</v>
      </c>
      <c r="H123" s="277">
        <v>0</v>
      </c>
      <c r="I123" s="277">
        <v>0</v>
      </c>
      <c r="J123" s="277">
        <v>0</v>
      </c>
      <c r="K123" s="277">
        <v>0</v>
      </c>
      <c r="L123" s="277">
        <v>0</v>
      </c>
      <c r="M123" s="277">
        <v>0</v>
      </c>
      <c r="N123" s="277">
        <v>0</v>
      </c>
      <c r="O123" s="277">
        <v>0</v>
      </c>
      <c r="P123" s="277">
        <v>0</v>
      </c>
      <c r="Q123" s="277">
        <v>0</v>
      </c>
      <c r="R123" s="288">
        <f t="shared" si="70"/>
        <v>0</v>
      </c>
      <c r="U123" s="404"/>
      <c r="V123" s="286" t="s">
        <v>407</v>
      </c>
      <c r="W123" s="277">
        <v>0</v>
      </c>
      <c r="X123" s="277">
        <v>0</v>
      </c>
      <c r="Y123" s="277">
        <v>0</v>
      </c>
      <c r="Z123" s="277">
        <v>0</v>
      </c>
      <c r="AA123" s="277">
        <v>0</v>
      </c>
      <c r="AB123" s="277">
        <v>0</v>
      </c>
      <c r="AC123" s="277">
        <v>0</v>
      </c>
      <c r="AD123" s="277">
        <v>0</v>
      </c>
      <c r="AE123" s="277">
        <v>0</v>
      </c>
      <c r="AF123" s="277">
        <v>0</v>
      </c>
      <c r="AG123" s="277">
        <v>0</v>
      </c>
      <c r="AH123" s="277">
        <v>0</v>
      </c>
      <c r="AI123" s="277">
        <v>0</v>
      </c>
      <c r="AJ123" s="277">
        <v>0</v>
      </c>
      <c r="AK123" s="277">
        <v>0</v>
      </c>
      <c r="AL123" s="288">
        <f t="shared" si="71"/>
        <v>0</v>
      </c>
    </row>
    <row r="124" spans="1:38" ht="14.4" customHeight="1">
      <c r="A124" s="404"/>
      <c r="B124" s="286" t="s">
        <v>408</v>
      </c>
      <c r="C124" s="277">
        <v>0</v>
      </c>
      <c r="D124" s="277">
        <v>0</v>
      </c>
      <c r="E124" s="277">
        <v>0</v>
      </c>
      <c r="F124" s="277">
        <v>0</v>
      </c>
      <c r="G124" s="277">
        <v>0</v>
      </c>
      <c r="H124" s="277">
        <v>0</v>
      </c>
      <c r="I124" s="277">
        <v>0</v>
      </c>
      <c r="J124" s="277">
        <v>0</v>
      </c>
      <c r="K124" s="277">
        <v>0</v>
      </c>
      <c r="L124" s="277">
        <v>0</v>
      </c>
      <c r="M124" s="277">
        <v>0</v>
      </c>
      <c r="N124" s="277">
        <v>0</v>
      </c>
      <c r="O124" s="277">
        <v>0</v>
      </c>
      <c r="P124" s="277">
        <v>0</v>
      </c>
      <c r="Q124" s="277">
        <v>0</v>
      </c>
      <c r="R124" s="288">
        <f t="shared" si="70"/>
        <v>0</v>
      </c>
      <c r="U124" s="404"/>
      <c r="V124" s="286" t="s">
        <v>408</v>
      </c>
      <c r="W124" s="277">
        <v>0</v>
      </c>
      <c r="X124" s="277">
        <v>0</v>
      </c>
      <c r="Y124" s="277">
        <v>0</v>
      </c>
      <c r="Z124" s="277">
        <v>0</v>
      </c>
      <c r="AA124" s="277">
        <v>0</v>
      </c>
      <c r="AB124" s="277">
        <v>0</v>
      </c>
      <c r="AC124" s="277">
        <v>0</v>
      </c>
      <c r="AD124" s="277">
        <v>0</v>
      </c>
      <c r="AE124" s="277">
        <v>0</v>
      </c>
      <c r="AF124" s="277">
        <v>0</v>
      </c>
      <c r="AG124" s="277">
        <v>0</v>
      </c>
      <c r="AH124" s="277">
        <v>0</v>
      </c>
      <c r="AI124" s="277">
        <v>0</v>
      </c>
      <c r="AJ124" s="277">
        <v>0</v>
      </c>
      <c r="AK124" s="277">
        <v>0</v>
      </c>
      <c r="AL124" s="288">
        <f t="shared" si="71"/>
        <v>0</v>
      </c>
    </row>
    <row r="125" spans="1:38" ht="14.4" customHeight="1">
      <c r="A125" s="404"/>
      <c r="B125" s="286" t="s">
        <v>409</v>
      </c>
      <c r="C125" s="277">
        <v>0</v>
      </c>
      <c r="D125" s="277">
        <v>0</v>
      </c>
      <c r="E125" s="277">
        <v>0</v>
      </c>
      <c r="F125" s="277">
        <v>0</v>
      </c>
      <c r="G125" s="277">
        <v>0</v>
      </c>
      <c r="H125" s="277">
        <v>0</v>
      </c>
      <c r="I125" s="277">
        <v>0</v>
      </c>
      <c r="J125" s="277">
        <v>0</v>
      </c>
      <c r="K125" s="277">
        <v>0</v>
      </c>
      <c r="L125" s="277">
        <v>0</v>
      </c>
      <c r="M125" s="277">
        <v>0</v>
      </c>
      <c r="N125" s="277">
        <v>0</v>
      </c>
      <c r="O125" s="277">
        <v>0</v>
      </c>
      <c r="P125" s="277">
        <v>0</v>
      </c>
      <c r="Q125" s="277">
        <v>0</v>
      </c>
      <c r="R125" s="288">
        <f t="shared" si="70"/>
        <v>0</v>
      </c>
      <c r="U125" s="404"/>
      <c r="V125" s="286" t="s">
        <v>409</v>
      </c>
      <c r="W125" s="277">
        <v>0</v>
      </c>
      <c r="X125" s="277">
        <v>0</v>
      </c>
      <c r="Y125" s="277">
        <v>0</v>
      </c>
      <c r="Z125" s="277">
        <v>0</v>
      </c>
      <c r="AA125" s="277">
        <v>0</v>
      </c>
      <c r="AB125" s="277">
        <v>0</v>
      </c>
      <c r="AC125" s="277">
        <v>0</v>
      </c>
      <c r="AD125" s="277">
        <v>0</v>
      </c>
      <c r="AE125" s="277">
        <v>0</v>
      </c>
      <c r="AF125" s="277">
        <v>0</v>
      </c>
      <c r="AG125" s="277">
        <v>0</v>
      </c>
      <c r="AH125" s="277">
        <v>0</v>
      </c>
      <c r="AI125" s="277">
        <v>0</v>
      </c>
      <c r="AJ125" s="277">
        <v>0</v>
      </c>
      <c r="AK125" s="277">
        <v>0</v>
      </c>
      <c r="AL125" s="288">
        <f t="shared" si="71"/>
        <v>0</v>
      </c>
    </row>
    <row r="126" spans="1:38" ht="14.4" customHeight="1">
      <c r="A126" s="404"/>
      <c r="B126" s="286" t="s">
        <v>37</v>
      </c>
      <c r="C126" s="277">
        <v>0</v>
      </c>
      <c r="D126" s="277">
        <v>0</v>
      </c>
      <c r="E126" s="277">
        <v>0</v>
      </c>
      <c r="F126" s="277">
        <v>0</v>
      </c>
      <c r="G126" s="277">
        <v>0</v>
      </c>
      <c r="H126" s="277">
        <v>0</v>
      </c>
      <c r="I126" s="277">
        <v>0</v>
      </c>
      <c r="J126" s="277">
        <v>0</v>
      </c>
      <c r="K126" s="277">
        <v>0</v>
      </c>
      <c r="L126" s="277">
        <v>0</v>
      </c>
      <c r="M126" s="277">
        <v>0</v>
      </c>
      <c r="N126" s="277">
        <v>0</v>
      </c>
      <c r="O126" s="277">
        <v>0</v>
      </c>
      <c r="P126" s="277">
        <v>0</v>
      </c>
      <c r="Q126" s="277">
        <v>0</v>
      </c>
      <c r="R126" s="288">
        <f t="shared" si="70"/>
        <v>0</v>
      </c>
      <c r="U126" s="404"/>
      <c r="V126" s="286" t="s">
        <v>37</v>
      </c>
      <c r="W126" s="277">
        <v>0</v>
      </c>
      <c r="X126" s="277">
        <v>0</v>
      </c>
      <c r="Y126" s="277">
        <v>0</v>
      </c>
      <c r="Z126" s="277">
        <v>0</v>
      </c>
      <c r="AA126" s="277">
        <v>0</v>
      </c>
      <c r="AB126" s="277">
        <v>0</v>
      </c>
      <c r="AC126" s="277">
        <v>0</v>
      </c>
      <c r="AD126" s="277">
        <v>0</v>
      </c>
      <c r="AE126" s="277">
        <v>0</v>
      </c>
      <c r="AF126" s="277">
        <v>0</v>
      </c>
      <c r="AG126" s="277">
        <v>0</v>
      </c>
      <c r="AH126" s="277">
        <v>0</v>
      </c>
      <c r="AI126" s="277">
        <v>0</v>
      </c>
      <c r="AJ126" s="277">
        <v>0</v>
      </c>
      <c r="AK126" s="277">
        <v>0</v>
      </c>
      <c r="AL126" s="288">
        <f t="shared" si="71"/>
        <v>0</v>
      </c>
    </row>
    <row r="127" spans="1:38" ht="14.4" customHeight="1">
      <c r="A127" s="404"/>
      <c r="B127" s="286" t="s">
        <v>38</v>
      </c>
      <c r="C127" s="277">
        <v>0</v>
      </c>
      <c r="D127" s="277">
        <v>0</v>
      </c>
      <c r="E127" s="277">
        <v>0</v>
      </c>
      <c r="F127" s="277">
        <v>0</v>
      </c>
      <c r="G127" s="277">
        <v>0</v>
      </c>
      <c r="H127" s="277">
        <v>0</v>
      </c>
      <c r="I127" s="277">
        <v>0</v>
      </c>
      <c r="J127" s="277">
        <v>0</v>
      </c>
      <c r="K127" s="277">
        <v>0</v>
      </c>
      <c r="L127" s="277">
        <v>0</v>
      </c>
      <c r="M127" s="277">
        <v>0</v>
      </c>
      <c r="N127" s="277">
        <v>0</v>
      </c>
      <c r="O127" s="277">
        <f>O118*$F$17</f>
        <v>39.216103918384093</v>
      </c>
      <c r="P127" s="277">
        <v>0</v>
      </c>
      <c r="Q127" s="277">
        <v>0</v>
      </c>
      <c r="R127" s="288">
        <f t="shared" si="70"/>
        <v>39.216103918384093</v>
      </c>
      <c r="U127" s="404"/>
      <c r="V127" s="286" t="s">
        <v>38</v>
      </c>
      <c r="W127" s="277">
        <v>0</v>
      </c>
      <c r="X127" s="277">
        <v>0</v>
      </c>
      <c r="Y127" s="277">
        <v>0</v>
      </c>
      <c r="Z127" s="277">
        <v>0</v>
      </c>
      <c r="AA127" s="277">
        <v>0</v>
      </c>
      <c r="AB127" s="277">
        <v>0</v>
      </c>
      <c r="AC127" s="277">
        <v>0</v>
      </c>
      <c r="AD127" s="277">
        <v>0</v>
      </c>
      <c r="AE127" s="277">
        <v>0</v>
      </c>
      <c r="AF127" s="277">
        <v>0</v>
      </c>
      <c r="AG127" s="277">
        <v>0</v>
      </c>
      <c r="AH127" s="277">
        <v>0</v>
      </c>
      <c r="AI127" s="277">
        <f>AI118*$F$17</f>
        <v>35.625917204246804</v>
      </c>
      <c r="AJ127" s="277">
        <v>0</v>
      </c>
      <c r="AK127" s="277">
        <v>0</v>
      </c>
      <c r="AL127" s="288">
        <f t="shared" si="71"/>
        <v>35.625917204246804</v>
      </c>
    </row>
    <row r="128" spans="1:38" ht="14.4" customHeight="1">
      <c r="A128" s="404"/>
      <c r="B128" s="286" t="s">
        <v>39</v>
      </c>
      <c r="C128" s="277">
        <v>0</v>
      </c>
      <c r="D128" s="277">
        <v>0</v>
      </c>
      <c r="E128" s="277">
        <v>0</v>
      </c>
      <c r="F128" s="277">
        <v>0</v>
      </c>
      <c r="G128" s="277">
        <v>0</v>
      </c>
      <c r="H128" s="277">
        <v>0</v>
      </c>
      <c r="I128" s="277">
        <v>0</v>
      </c>
      <c r="J128" s="277">
        <v>0</v>
      </c>
      <c r="K128" s="277">
        <v>0</v>
      </c>
      <c r="L128" s="277">
        <v>0</v>
      </c>
      <c r="M128" s="277">
        <v>0</v>
      </c>
      <c r="N128" s="277">
        <v>0</v>
      </c>
      <c r="O128" s="277">
        <f>O118*$F$18</f>
        <v>211.13173867694118</v>
      </c>
      <c r="P128" s="277">
        <f>P119*$R$18</f>
        <v>45.055634479947024</v>
      </c>
      <c r="Q128" s="277">
        <v>0</v>
      </c>
      <c r="R128" s="288">
        <f t="shared" si="70"/>
        <v>256.18737315688821</v>
      </c>
      <c r="S128" s="293"/>
      <c r="U128" s="404"/>
      <c r="V128" s="286" t="s">
        <v>39</v>
      </c>
      <c r="W128" s="277">
        <v>0</v>
      </c>
      <c r="X128" s="277">
        <v>0</v>
      </c>
      <c r="Y128" s="277">
        <v>0</v>
      </c>
      <c r="Z128" s="277">
        <v>0</v>
      </c>
      <c r="AA128" s="277">
        <v>0</v>
      </c>
      <c r="AB128" s="277">
        <v>0</v>
      </c>
      <c r="AC128" s="277">
        <v>0</v>
      </c>
      <c r="AD128" s="277">
        <v>0</v>
      </c>
      <c r="AE128" s="277">
        <v>0</v>
      </c>
      <c r="AF128" s="277">
        <v>0</v>
      </c>
      <c r="AG128" s="277">
        <v>0</v>
      </c>
      <c r="AH128" s="277">
        <v>0</v>
      </c>
      <c r="AI128" s="277">
        <f>AI118*$F$18</f>
        <v>191.80288426783923</v>
      </c>
      <c r="AJ128" s="277">
        <f>AJ119*$R$18</f>
        <v>45.055634479947024</v>
      </c>
      <c r="AK128" s="277">
        <v>0</v>
      </c>
      <c r="AL128" s="288">
        <f t="shared" si="71"/>
        <v>236.85851874778626</v>
      </c>
    </row>
    <row r="129" spans="1:38" ht="14.4" customHeight="1">
      <c r="A129" s="404"/>
      <c r="B129" s="281" t="s">
        <v>40</v>
      </c>
      <c r="C129" s="282">
        <f>SUM(C117:C128)</f>
        <v>0</v>
      </c>
      <c r="D129" s="282">
        <f t="shared" ref="D129:N129" si="74">SUM(D117:D128)</f>
        <v>0</v>
      </c>
      <c r="E129" s="282">
        <f t="shared" si="74"/>
        <v>0</v>
      </c>
      <c r="F129" s="282">
        <f t="shared" si="74"/>
        <v>0</v>
      </c>
      <c r="G129" s="282">
        <f t="shared" si="74"/>
        <v>0</v>
      </c>
      <c r="H129" s="282">
        <f t="shared" si="74"/>
        <v>1253.9392989610913</v>
      </c>
      <c r="I129" s="282">
        <f t="shared" si="74"/>
        <v>3664.5055460281101</v>
      </c>
      <c r="J129" s="282">
        <f t="shared" si="74"/>
        <v>577.47204557418672</v>
      </c>
      <c r="K129" s="282">
        <f t="shared" si="74"/>
        <v>1402.4321106801679</v>
      </c>
      <c r="L129" s="282">
        <f t="shared" si="74"/>
        <v>68.152984658422298</v>
      </c>
      <c r="M129" s="282">
        <f t="shared" si="74"/>
        <v>0</v>
      </c>
      <c r="N129" s="282">
        <f t="shared" si="74"/>
        <v>0</v>
      </c>
      <c r="O129" s="282">
        <f>-O139</f>
        <v>-3049.4924178285987</v>
      </c>
      <c r="P129" s="282">
        <f>-P131</f>
        <v>-489.49619710595232</v>
      </c>
      <c r="Q129" s="282">
        <f t="shared" ref="Q129" si="75">SUM(Q117:Q128)</f>
        <v>0</v>
      </c>
      <c r="R129" s="282">
        <f t="shared" si="70"/>
        <v>3427.5133709674283</v>
      </c>
      <c r="U129" s="404"/>
      <c r="V129" s="281" t="s">
        <v>40</v>
      </c>
      <c r="W129" s="282">
        <f>SUM(W117:W128)</f>
        <v>0</v>
      </c>
      <c r="X129" s="282">
        <f t="shared" ref="X129:AH129" si="76">SUM(X117:X128)</f>
        <v>0</v>
      </c>
      <c r="Y129" s="282">
        <f t="shared" si="76"/>
        <v>0</v>
      </c>
      <c r="Z129" s="282">
        <f t="shared" si="76"/>
        <v>0</v>
      </c>
      <c r="AA129" s="282">
        <f t="shared" si="76"/>
        <v>0</v>
      </c>
      <c r="AB129" s="282">
        <f t="shared" si="76"/>
        <v>1378.9621893315204</v>
      </c>
      <c r="AC129" s="282">
        <f t="shared" si="76"/>
        <v>3010.3484170168858</v>
      </c>
      <c r="AD129" s="282">
        <f t="shared" si="76"/>
        <v>524.60518072394814</v>
      </c>
      <c r="AE129" s="282">
        <f t="shared" si="76"/>
        <v>974.26676420161778</v>
      </c>
      <c r="AF129" s="282">
        <f t="shared" si="76"/>
        <v>63.118045148875765</v>
      </c>
      <c r="AG129" s="282">
        <f t="shared" si="76"/>
        <v>0</v>
      </c>
      <c r="AH129" s="282">
        <f t="shared" si="76"/>
        <v>0</v>
      </c>
      <c r="AI129" s="282">
        <f>-AI139</f>
        <v>-2770.3150883790458</v>
      </c>
      <c r="AJ129" s="282">
        <f>-AJ131</f>
        <v>-489.49619710595232</v>
      </c>
      <c r="AK129" s="282">
        <f t="shared" ref="AK129" si="77">SUM(AK117:AK128)</f>
        <v>0</v>
      </c>
      <c r="AL129" s="282">
        <f t="shared" si="71"/>
        <v>2691.4893109378495</v>
      </c>
    </row>
    <row r="130" spans="1:38" ht="14.4" customHeight="1">
      <c r="A130" s="404"/>
      <c r="B130" s="283"/>
      <c r="C130" s="284"/>
      <c r="D130" s="284"/>
      <c r="E130" s="291"/>
      <c r="F130" s="284"/>
      <c r="G130" s="284"/>
      <c r="H130" s="284"/>
      <c r="I130" s="291"/>
      <c r="J130" s="284"/>
      <c r="K130" s="284"/>
      <c r="L130" s="284"/>
      <c r="M130" s="292"/>
      <c r="N130" s="284"/>
      <c r="O130" s="284"/>
      <c r="P130" s="284"/>
      <c r="Q130" s="284"/>
      <c r="R130" s="284"/>
      <c r="U130" s="404"/>
      <c r="V130" s="283"/>
      <c r="W130" s="284"/>
      <c r="X130" s="284"/>
      <c r="Y130" s="291"/>
      <c r="Z130" s="284"/>
      <c r="AA130" s="284"/>
      <c r="AB130" s="284"/>
      <c r="AC130" s="291"/>
      <c r="AD130" s="284"/>
      <c r="AE130" s="284"/>
      <c r="AF130" s="284"/>
      <c r="AG130" s="292"/>
      <c r="AH130" s="284"/>
      <c r="AI130" s="284"/>
      <c r="AJ130" s="284"/>
      <c r="AK130" s="284"/>
      <c r="AL130" s="284"/>
    </row>
    <row r="131" spans="1:38" ht="14.4" customHeight="1">
      <c r="A131" s="404"/>
      <c r="B131" s="286" t="s">
        <v>41</v>
      </c>
      <c r="C131" s="277">
        <v>0</v>
      </c>
      <c r="D131" s="277">
        <v>0</v>
      </c>
      <c r="E131" s="277">
        <f>Industrie!$E$35</f>
        <v>312.9465514066473</v>
      </c>
      <c r="F131" s="277">
        <v>0</v>
      </c>
      <c r="G131" s="277">
        <v>0</v>
      </c>
      <c r="H131" s="277">
        <v>0</v>
      </c>
      <c r="I131" s="277">
        <f>Industrie!$E$38*$I$49/SUM($I$49:$N$49)</f>
        <v>26.863996764416999</v>
      </c>
      <c r="J131" s="277">
        <f>Industrie!$E$38*$J$49/SUM($I$49:$N$49)</f>
        <v>0</v>
      </c>
      <c r="K131" s="277">
        <f>Industrie!$E$38*$K$49/SUM($I$49:$N$49)</f>
        <v>0</v>
      </c>
      <c r="L131" s="277">
        <f>Industrie!$E$38*$L$49/SUM($I$49:$N$49)</f>
        <v>4.4802025610685865</v>
      </c>
      <c r="M131" s="277">
        <f>Industrie!$E$38*$M$49/SUM($I$49:$N$49)</f>
        <v>0</v>
      </c>
      <c r="N131" s="277">
        <f>Industrie!$E$38*$N$49/SUM($I$49:$N$49)</f>
        <v>9.1336268474654314E-2</v>
      </c>
      <c r="O131" s="277">
        <f>Industrie!$E$36</f>
        <v>333.52089215656525</v>
      </c>
      <c r="P131" s="277">
        <f>Industrie!$E$39</f>
        <v>489.49619710595232</v>
      </c>
      <c r="Q131" s="277">
        <v>0</v>
      </c>
      <c r="R131" s="288">
        <f>SUM(C131:Q131)</f>
        <v>1167.3991762631251</v>
      </c>
      <c r="U131" s="404"/>
      <c r="V131" s="286" t="s">
        <v>41</v>
      </c>
      <c r="W131" s="277">
        <v>0</v>
      </c>
      <c r="X131" s="277">
        <v>0</v>
      </c>
      <c r="Y131" s="277">
        <f>Industrie!$E$56</f>
        <v>193.05922262696924</v>
      </c>
      <c r="Z131" s="277">
        <v>0</v>
      </c>
      <c r="AA131" s="277">
        <v>0</v>
      </c>
      <c r="AB131" s="277">
        <v>0</v>
      </c>
      <c r="AC131" s="277">
        <f>Industrie!$E$62*$AC$49/SUM($I$49:$N$49)</f>
        <v>68.109853038202118</v>
      </c>
      <c r="AD131" s="277">
        <f>Industrie!$E$62*$AD$49/SUM($I$49:$N$49)</f>
        <v>0</v>
      </c>
      <c r="AE131" s="277">
        <f>Industrie!$E$62*$AE$49/SUM($I$49:$N$49)</f>
        <v>0</v>
      </c>
      <c r="AF131" s="277">
        <f>Industrie!$E$62*$AF$49/SUM($I$49:$N$49)</f>
        <v>11.358918060172735</v>
      </c>
      <c r="AG131" s="277">
        <f>Industrie!$E$62*$AG$49/SUM($I$49:$N$49)</f>
        <v>0</v>
      </c>
      <c r="AH131" s="277">
        <f>Industrie!$E$62*$AH$49/SUM($I$49:$N$49)</f>
        <v>0.23157015232768494</v>
      </c>
      <c r="AI131" s="277">
        <f>Industrie!$E$57</f>
        <v>369.91720188690329</v>
      </c>
      <c r="AJ131" s="277">
        <f>Industrie!$E$63</f>
        <v>489.49619710595232</v>
      </c>
      <c r="AK131" s="277">
        <v>0</v>
      </c>
      <c r="AL131" s="288">
        <f>SUM(W131:AK131)</f>
        <v>1132.1729628705275</v>
      </c>
    </row>
    <row r="132" spans="1:38" ht="14.4" customHeight="1">
      <c r="A132" s="404"/>
      <c r="B132" s="286" t="s">
        <v>42</v>
      </c>
      <c r="C132" s="277">
        <v>0</v>
      </c>
      <c r="D132" s="277">
        <v>0</v>
      </c>
      <c r="E132" s="277">
        <f>Transports!$G$44</f>
        <v>4528.0485040263038</v>
      </c>
      <c r="F132" s="277">
        <v>0</v>
      </c>
      <c r="G132" s="277">
        <v>0</v>
      </c>
      <c r="H132" s="277">
        <v>0</v>
      </c>
      <c r="I132" s="277">
        <v>0</v>
      </c>
      <c r="J132" s="277">
        <v>0</v>
      </c>
      <c r="K132" s="277">
        <v>0</v>
      </c>
      <c r="L132" s="277">
        <v>0</v>
      </c>
      <c r="M132" s="277">
        <v>0</v>
      </c>
      <c r="N132" s="277">
        <v>0</v>
      </c>
      <c r="O132" s="277">
        <f>Transports!$G$45</f>
        <v>171.0113652314941</v>
      </c>
      <c r="P132" s="277">
        <v>0</v>
      </c>
      <c r="Q132" s="277">
        <v>0</v>
      </c>
      <c r="R132" s="288">
        <f t="shared" ref="R132:R139" si="78">SUM(C132:Q132)</f>
        <v>4699.0598692577978</v>
      </c>
      <c r="U132" s="404"/>
      <c r="V132" s="286" t="s">
        <v>42</v>
      </c>
      <c r="W132" s="277">
        <v>0</v>
      </c>
      <c r="X132" s="277">
        <v>0</v>
      </c>
      <c r="Y132" s="277">
        <f>Transports!$G$71</f>
        <v>4100.6768513960842</v>
      </c>
      <c r="Z132" s="277">
        <v>0</v>
      </c>
      <c r="AA132" s="277">
        <v>0</v>
      </c>
      <c r="AB132" s="277">
        <v>0</v>
      </c>
      <c r="AC132" s="277">
        <v>0</v>
      </c>
      <c r="AD132" s="277">
        <v>0</v>
      </c>
      <c r="AE132" s="277">
        <v>0</v>
      </c>
      <c r="AF132" s="277">
        <v>0</v>
      </c>
      <c r="AG132" s="277">
        <v>0</v>
      </c>
      <c r="AH132" s="277">
        <v>0</v>
      </c>
      <c r="AI132" s="277">
        <f>Transports!$G$72</f>
        <v>295.83649734116176</v>
      </c>
      <c r="AJ132" s="277">
        <v>0</v>
      </c>
      <c r="AK132" s="277">
        <v>0</v>
      </c>
      <c r="AL132" s="288">
        <f t="shared" ref="AL132:AL139" si="79">SUM(W132:AK132)</f>
        <v>4396.5133487372459</v>
      </c>
    </row>
    <row r="133" spans="1:38" ht="14.4" customHeight="1">
      <c r="A133" s="404"/>
      <c r="B133" s="286" t="s">
        <v>43</v>
      </c>
      <c r="C133" s="277">
        <v>0</v>
      </c>
      <c r="D133" s="277">
        <v>0</v>
      </c>
      <c r="E133" s="277">
        <f>'Résidentiel-tertiaire'!$E$163</f>
        <v>99.224468258600027</v>
      </c>
      <c r="F133" s="277">
        <v>0</v>
      </c>
      <c r="G133" s="277">
        <v>0</v>
      </c>
      <c r="H133" s="277">
        <v>0</v>
      </c>
      <c r="I133" s="277">
        <f>'Résidentiel-tertiaire'!$E$164*$I$51/SUM($I$51:$N$51)</f>
        <v>0</v>
      </c>
      <c r="J133" s="277">
        <f>'Résidentiel-tertiaire'!$E$164*$J$51/SUM($I$51:$N$51)</f>
        <v>0</v>
      </c>
      <c r="K133" s="277">
        <f>'Résidentiel-tertiaire'!$E$164*$K$51/SUM($I$51:$N$51)</f>
        <v>0</v>
      </c>
      <c r="L133" s="277">
        <f>'Résidentiel-tertiaire'!$E$164*$L$51/SUM($I$51:$N$51)</f>
        <v>0</v>
      </c>
      <c r="M133" s="277">
        <f>'Résidentiel-tertiaire'!$E$164*$M$51/SUM($I$51:$N$51)</f>
        <v>0</v>
      </c>
      <c r="N133" s="277">
        <f>'Résidentiel-tertiaire'!$E$164*$N$51/SUM($I$51:$N$51)</f>
        <v>682.70748269232399</v>
      </c>
      <c r="O133" s="277">
        <f>'Résidentiel-tertiaire'!$E$165</f>
        <v>1326.5879995443263</v>
      </c>
      <c r="P133" s="277">
        <v>0</v>
      </c>
      <c r="Q133" s="277">
        <v>0</v>
      </c>
      <c r="R133" s="288">
        <f t="shared" si="78"/>
        <v>2108.5199504952502</v>
      </c>
      <c r="U133" s="404"/>
      <c r="V133" s="286" t="s">
        <v>43</v>
      </c>
      <c r="W133" s="277">
        <v>0</v>
      </c>
      <c r="X133" s="277">
        <v>0</v>
      </c>
      <c r="Y133" s="277">
        <f>'Résidentiel-tertiaire'!$E$177</f>
        <v>87.333333333333343</v>
      </c>
      <c r="Z133" s="277">
        <v>0</v>
      </c>
      <c r="AA133" s="277">
        <v>0</v>
      </c>
      <c r="AB133" s="277">
        <v>0</v>
      </c>
      <c r="AC133" s="277">
        <f>'Résidentiel-tertiaire'!$E$178*$AC$51/SUM($I$51:$N$51)</f>
        <v>0</v>
      </c>
      <c r="AD133" s="277">
        <f>'Résidentiel-tertiaire'!$E$178*$AD$51/SUM($I$51:$N$51)</f>
        <v>0</v>
      </c>
      <c r="AE133" s="277">
        <f>'Résidentiel-tertiaire'!$E$178*$AE$51/SUM($I$51:$N$51)</f>
        <v>0</v>
      </c>
      <c r="AF133" s="277">
        <f>'Résidentiel-tertiaire'!$E$178*$AF$51/SUM($I$51:$N$51)</f>
        <v>0</v>
      </c>
      <c r="AG133" s="277">
        <f>'Résidentiel-tertiaire'!$E$178*$AG$51/SUM($I$51:$N$51)</f>
        <v>0</v>
      </c>
      <c r="AH133" s="277">
        <f>'Résidentiel-tertiaire'!$E$178*$AH$51/SUM($I$51:$N$51)</f>
        <v>569.93655716343562</v>
      </c>
      <c r="AI133" s="277">
        <f>'Résidentiel-tertiaire'!$E$179</f>
        <v>1022.3516384251155</v>
      </c>
      <c r="AJ133" s="277">
        <v>0</v>
      </c>
      <c r="AK133" s="277">
        <v>0</v>
      </c>
      <c r="AL133" s="288">
        <f t="shared" si="79"/>
        <v>1679.6215289218844</v>
      </c>
    </row>
    <row r="134" spans="1:38" ht="14.4" customHeight="1">
      <c r="A134" s="404"/>
      <c r="B134" s="286" t="s">
        <v>44</v>
      </c>
      <c r="C134" s="277">
        <v>0</v>
      </c>
      <c r="D134" s="277">
        <v>0</v>
      </c>
      <c r="E134" s="277">
        <f>'Résidentiel-tertiaire'!$E$168</f>
        <v>336.10138731933773</v>
      </c>
      <c r="F134" s="277">
        <v>0</v>
      </c>
      <c r="G134" s="277">
        <v>0</v>
      </c>
      <c r="H134" s="277">
        <v>0</v>
      </c>
      <c r="I134" s="277">
        <f>'Résidentiel-tertiaire'!$E$169*$I$52/SUM($I$52:$N$52)</f>
        <v>0</v>
      </c>
      <c r="J134" s="277">
        <f>'Résidentiel-tertiaire'!$E$169*$J$52/SUM($I$52:$N$52)</f>
        <v>0</v>
      </c>
      <c r="K134" s="277">
        <f>'Résidentiel-tertiaire'!$E$169*$K$52/SUM($I$52:$N$52)</f>
        <v>0</v>
      </c>
      <c r="L134" s="277">
        <f>'Résidentiel-tertiaire'!$E$169*$L$52/SUM($I$52:$N$52)</f>
        <v>0</v>
      </c>
      <c r="M134" s="277">
        <f>'Résidentiel-tertiaire'!$E$169*$M$52/SUM($I$52:$N$52)</f>
        <v>0</v>
      </c>
      <c r="N134" s="277">
        <f>'Résidentiel-tertiaire'!$E$169*$N$52/SUM($I$52:$N$52)</f>
        <v>1.0093134754334467</v>
      </c>
      <c r="O134" s="277">
        <f>'Résidentiel-tertiaire'!$E$170</f>
        <v>1198.0550953395011</v>
      </c>
      <c r="P134" s="277">
        <v>0</v>
      </c>
      <c r="Q134" s="277">
        <v>0</v>
      </c>
      <c r="R134" s="288">
        <f t="shared" si="78"/>
        <v>1535.1657961342723</v>
      </c>
      <c r="U134" s="404"/>
      <c r="V134" s="286" t="s">
        <v>44</v>
      </c>
      <c r="W134" s="277">
        <v>0</v>
      </c>
      <c r="X134" s="277">
        <v>0</v>
      </c>
      <c r="Y134" s="277">
        <f>'Résidentiel-tertiaire'!$E$182</f>
        <v>186.66666666666669</v>
      </c>
      <c r="Z134" s="277">
        <v>0</v>
      </c>
      <c r="AA134" s="277">
        <v>0</v>
      </c>
      <c r="AB134" s="277">
        <v>0</v>
      </c>
      <c r="AC134" s="277">
        <f>'Résidentiel-tertiaire'!$E$183*$AC$52/SUM($I$52:$N$52)</f>
        <v>0</v>
      </c>
      <c r="AD134" s="277">
        <f>'Résidentiel-tertiaire'!$E$183*$AD$52/SUM($I$52:$N$52)</f>
        <v>0</v>
      </c>
      <c r="AE134" s="277">
        <f>'Résidentiel-tertiaire'!$E$183*$AE$52/SUM($I$52:$N$52)</f>
        <v>0</v>
      </c>
      <c r="AF134" s="277">
        <f>'Résidentiel-tertiaire'!$E$183*$AF$52/SUM($I$52:$N$52)</f>
        <v>0</v>
      </c>
      <c r="AG134" s="277">
        <f>'Résidentiel-tertiaire'!$E$183*$AG$52/SUM($I$52:$N$52)</f>
        <v>0</v>
      </c>
      <c r="AH134" s="277">
        <f>'Résidentiel-tertiaire'!$E$183*$AH$52/SUM($I$52:$N$52)</f>
        <v>0.88459385162582682</v>
      </c>
      <c r="AI134" s="277">
        <f>'Résidentiel-tertiaire'!$E$184</f>
        <v>1068.5720087903815</v>
      </c>
      <c r="AJ134" s="277">
        <v>0</v>
      </c>
      <c r="AK134" s="277">
        <v>0</v>
      </c>
      <c r="AL134" s="288">
        <f t="shared" si="79"/>
        <v>1256.123269308674</v>
      </c>
    </row>
    <row r="135" spans="1:38" ht="14.4" customHeight="1">
      <c r="A135" s="404"/>
      <c r="B135" s="286" t="s">
        <v>4</v>
      </c>
      <c r="C135" s="277">
        <v>0</v>
      </c>
      <c r="D135" s="277">
        <v>0</v>
      </c>
      <c r="E135" s="277">
        <f>Agriculture!$M$27</f>
        <v>103.61703433922996</v>
      </c>
      <c r="F135" s="277">
        <v>0</v>
      </c>
      <c r="G135" s="277">
        <v>0</v>
      </c>
      <c r="H135" s="277">
        <v>0</v>
      </c>
      <c r="I135" s="277">
        <v>0</v>
      </c>
      <c r="J135" s="277">
        <v>0</v>
      </c>
      <c r="K135" s="277">
        <v>0</v>
      </c>
      <c r="L135" s="277">
        <v>0</v>
      </c>
      <c r="M135" s="277">
        <v>0</v>
      </c>
      <c r="N135" s="277">
        <v>0</v>
      </c>
      <c r="O135" s="277">
        <f>Agriculture!$M$28</f>
        <v>20.317065556711757</v>
      </c>
      <c r="P135" s="277">
        <v>0</v>
      </c>
      <c r="Q135" s="277">
        <v>0</v>
      </c>
      <c r="R135" s="288">
        <f t="shared" si="78"/>
        <v>123.93409989594171</v>
      </c>
      <c r="U135" s="404"/>
      <c r="V135" s="286" t="s">
        <v>4</v>
      </c>
      <c r="W135" s="277">
        <v>0</v>
      </c>
      <c r="X135" s="277">
        <v>0</v>
      </c>
      <c r="Y135" s="277">
        <f>Agriculture!$Q$43</f>
        <v>65.806451612903231</v>
      </c>
      <c r="Z135" s="277">
        <v>0</v>
      </c>
      <c r="AA135" s="277">
        <v>0</v>
      </c>
      <c r="AB135" s="277">
        <v>0</v>
      </c>
      <c r="AC135" s="277">
        <v>0</v>
      </c>
      <c r="AD135" s="277">
        <v>0</v>
      </c>
      <c r="AE135" s="277">
        <f>Agriculture!$Q$45</f>
        <v>33.714290322580638</v>
      </c>
      <c r="AF135" s="277">
        <v>0</v>
      </c>
      <c r="AG135" s="277">
        <v>0</v>
      </c>
      <c r="AH135" s="277">
        <v>0</v>
      </c>
      <c r="AI135" s="277">
        <f>Agriculture!$Q$44</f>
        <v>13.63774193548387</v>
      </c>
      <c r="AJ135" s="277">
        <v>0</v>
      </c>
      <c r="AK135" s="277">
        <v>0</v>
      </c>
      <c r="AL135" s="288">
        <f t="shared" si="79"/>
        <v>113.15848387096774</v>
      </c>
    </row>
    <row r="136" spans="1:38" ht="14.4" customHeight="1">
      <c r="A136" s="404"/>
      <c r="B136" s="286" t="s">
        <v>410</v>
      </c>
      <c r="C136" s="277">
        <v>0</v>
      </c>
      <c r="D136" s="277">
        <v>0</v>
      </c>
      <c r="E136" s="277">
        <v>0</v>
      </c>
      <c r="F136" s="277">
        <v>0</v>
      </c>
      <c r="G136" s="277">
        <v>0</v>
      </c>
      <c r="H136" s="277">
        <v>0</v>
      </c>
      <c r="I136" s="277">
        <v>0</v>
      </c>
      <c r="J136" s="277">
        <v>0</v>
      </c>
      <c r="K136" s="277">
        <v>0</v>
      </c>
      <c r="L136" s="277">
        <v>0</v>
      </c>
      <c r="M136" s="277">
        <v>0</v>
      </c>
      <c r="N136" s="277">
        <v>0</v>
      </c>
      <c r="O136" s="277">
        <v>0</v>
      </c>
      <c r="P136" s="277">
        <v>0</v>
      </c>
      <c r="Q136" s="277">
        <v>0</v>
      </c>
      <c r="R136" s="288">
        <f t="shared" si="78"/>
        <v>0</v>
      </c>
      <c r="U136" s="404"/>
      <c r="V136" s="286" t="s">
        <v>410</v>
      </c>
      <c r="W136" s="277">
        <v>0</v>
      </c>
      <c r="X136" s="277">
        <v>0</v>
      </c>
      <c r="Y136" s="277">
        <v>0</v>
      </c>
      <c r="Z136" s="277">
        <v>0</v>
      </c>
      <c r="AA136" s="277">
        <v>0</v>
      </c>
      <c r="AB136" s="277">
        <v>0</v>
      </c>
      <c r="AC136" s="277">
        <v>0</v>
      </c>
      <c r="AD136" s="277">
        <v>0</v>
      </c>
      <c r="AE136" s="277">
        <v>0</v>
      </c>
      <c r="AF136" s="277">
        <v>0</v>
      </c>
      <c r="AG136" s="277">
        <v>0</v>
      </c>
      <c r="AH136" s="277">
        <v>0</v>
      </c>
      <c r="AI136" s="277">
        <v>0</v>
      </c>
      <c r="AJ136" s="277">
        <v>0</v>
      </c>
      <c r="AK136" s="277">
        <v>0</v>
      </c>
      <c r="AL136" s="288">
        <f t="shared" si="79"/>
        <v>0</v>
      </c>
    </row>
    <row r="137" spans="1:38" ht="14.4" customHeight="1">
      <c r="A137" s="404"/>
      <c r="B137" s="281" t="s">
        <v>45</v>
      </c>
      <c r="C137" s="282">
        <f>SUM(C131:C136)</f>
        <v>0</v>
      </c>
      <c r="D137" s="282">
        <f t="shared" ref="D137:Q137" si="80">SUM(D131:D136)</f>
        <v>0</v>
      </c>
      <c r="E137" s="282">
        <f t="shared" si="80"/>
        <v>5379.9379453501178</v>
      </c>
      <c r="F137" s="282">
        <f t="shared" si="80"/>
        <v>0</v>
      </c>
      <c r="G137" s="282">
        <f t="shared" si="80"/>
        <v>0</v>
      </c>
      <c r="H137" s="282">
        <f t="shared" si="80"/>
        <v>0</v>
      </c>
      <c r="I137" s="282">
        <f t="shared" si="80"/>
        <v>26.863996764416999</v>
      </c>
      <c r="J137" s="282">
        <f t="shared" si="80"/>
        <v>0</v>
      </c>
      <c r="K137" s="282">
        <f t="shared" si="80"/>
        <v>0</v>
      </c>
      <c r="L137" s="282">
        <f t="shared" si="80"/>
        <v>4.4802025610685865</v>
      </c>
      <c r="M137" s="282">
        <f t="shared" si="80"/>
        <v>0</v>
      </c>
      <c r="N137" s="282">
        <f t="shared" si="80"/>
        <v>683.80813243623209</v>
      </c>
      <c r="O137" s="282">
        <f t="shared" si="80"/>
        <v>3049.4924178285987</v>
      </c>
      <c r="P137" s="282">
        <f t="shared" si="80"/>
        <v>489.49619710595232</v>
      </c>
      <c r="Q137" s="282">
        <f t="shared" si="80"/>
        <v>0</v>
      </c>
      <c r="R137" s="282">
        <f t="shared" si="78"/>
        <v>9634.0788920463874</v>
      </c>
      <c r="U137" s="404"/>
      <c r="V137" s="281" t="s">
        <v>45</v>
      </c>
      <c r="W137" s="282">
        <f>SUM(W131:W136)</f>
        <v>0</v>
      </c>
      <c r="X137" s="282">
        <f t="shared" ref="X137:AK137" si="81">SUM(X131:X136)</f>
        <v>0</v>
      </c>
      <c r="Y137" s="282">
        <f t="shared" si="81"/>
        <v>4633.5425256359567</v>
      </c>
      <c r="Z137" s="282">
        <f t="shared" si="81"/>
        <v>0</v>
      </c>
      <c r="AA137" s="282">
        <f t="shared" si="81"/>
        <v>0</v>
      </c>
      <c r="AB137" s="282">
        <f t="shared" si="81"/>
        <v>0</v>
      </c>
      <c r="AC137" s="282">
        <f t="shared" si="81"/>
        <v>68.109853038202118</v>
      </c>
      <c r="AD137" s="282">
        <f t="shared" si="81"/>
        <v>0</v>
      </c>
      <c r="AE137" s="282">
        <f t="shared" si="81"/>
        <v>33.714290322580638</v>
      </c>
      <c r="AF137" s="282">
        <f t="shared" si="81"/>
        <v>11.358918060172735</v>
      </c>
      <c r="AG137" s="282">
        <f t="shared" si="81"/>
        <v>0</v>
      </c>
      <c r="AH137" s="282">
        <f t="shared" si="81"/>
        <v>571.05272116738911</v>
      </c>
      <c r="AI137" s="282">
        <f t="shared" si="81"/>
        <v>2770.3150883790458</v>
      </c>
      <c r="AJ137" s="282">
        <f t="shared" si="81"/>
        <v>489.49619710595232</v>
      </c>
      <c r="AK137" s="282">
        <f t="shared" si="81"/>
        <v>0</v>
      </c>
      <c r="AL137" s="282">
        <f t="shared" si="79"/>
        <v>8577.5895937092992</v>
      </c>
    </row>
    <row r="138" spans="1:38" ht="14.4" customHeight="1">
      <c r="A138" s="404"/>
      <c r="B138" s="276" t="s">
        <v>46</v>
      </c>
      <c r="C138" s="277">
        <v>0</v>
      </c>
      <c r="D138" s="277">
        <v>0</v>
      </c>
      <c r="E138" s="277">
        <f>Industrie!$E$37</f>
        <v>300.88298354219091</v>
      </c>
      <c r="F138" s="277">
        <v>0</v>
      </c>
      <c r="G138" s="277">
        <v>0</v>
      </c>
      <c r="H138" s="277">
        <v>0</v>
      </c>
      <c r="I138" s="277">
        <v>0</v>
      </c>
      <c r="J138" s="277">
        <v>0</v>
      </c>
      <c r="K138" s="277">
        <v>0</v>
      </c>
      <c r="L138" s="277">
        <v>0</v>
      </c>
      <c r="M138" s="277">
        <v>0</v>
      </c>
      <c r="N138" s="277">
        <v>0</v>
      </c>
      <c r="O138" s="277">
        <v>0</v>
      </c>
      <c r="P138" s="277">
        <v>0</v>
      </c>
      <c r="Q138" s="277">
        <v>0</v>
      </c>
      <c r="R138" s="288">
        <f t="shared" si="78"/>
        <v>300.88298354219091</v>
      </c>
      <c r="U138" s="404"/>
      <c r="V138" s="276" t="s">
        <v>46</v>
      </c>
      <c r="W138" s="277">
        <v>0</v>
      </c>
      <c r="X138" s="277">
        <v>0</v>
      </c>
      <c r="Y138" s="277">
        <f>Industrie!$E$59</f>
        <v>300.88298354219091</v>
      </c>
      <c r="Z138" s="277">
        <v>0</v>
      </c>
      <c r="AA138" s="277">
        <v>0</v>
      </c>
      <c r="AB138" s="277">
        <v>0</v>
      </c>
      <c r="AC138" s="277">
        <v>0</v>
      </c>
      <c r="AD138" s="277">
        <v>0</v>
      </c>
      <c r="AE138" s="277">
        <v>0</v>
      </c>
      <c r="AF138" s="277">
        <v>0</v>
      </c>
      <c r="AG138" s="277">
        <v>0</v>
      </c>
      <c r="AH138" s="277">
        <v>0</v>
      </c>
      <c r="AI138" s="277">
        <v>0</v>
      </c>
      <c r="AJ138" s="277">
        <v>0</v>
      </c>
      <c r="AK138" s="277">
        <v>0</v>
      </c>
      <c r="AL138" s="288">
        <f t="shared" si="79"/>
        <v>300.88298354219091</v>
      </c>
    </row>
    <row r="139" spans="1:38" ht="14.4" customHeight="1">
      <c r="A139" s="404"/>
      <c r="B139" s="281" t="s">
        <v>47</v>
      </c>
      <c r="C139" s="282">
        <f>C138+C137</f>
        <v>0</v>
      </c>
      <c r="D139" s="282">
        <f t="shared" ref="D139:Q139" si="82">D138+D137</f>
        <v>0</v>
      </c>
      <c r="E139" s="282">
        <f t="shared" si="82"/>
        <v>5680.820928892309</v>
      </c>
      <c r="F139" s="282">
        <f t="shared" si="82"/>
        <v>0</v>
      </c>
      <c r="G139" s="282">
        <f t="shared" si="82"/>
        <v>0</v>
      </c>
      <c r="H139" s="282">
        <f t="shared" si="82"/>
        <v>0</v>
      </c>
      <c r="I139" s="282">
        <f t="shared" si="82"/>
        <v>26.863996764416999</v>
      </c>
      <c r="J139" s="282">
        <f t="shared" si="82"/>
        <v>0</v>
      </c>
      <c r="K139" s="282">
        <f t="shared" si="82"/>
        <v>0</v>
      </c>
      <c r="L139" s="282">
        <f t="shared" si="82"/>
        <v>4.4802025610685865</v>
      </c>
      <c r="M139" s="282">
        <f t="shared" si="82"/>
        <v>0</v>
      </c>
      <c r="N139" s="282">
        <f t="shared" si="82"/>
        <v>683.80813243623209</v>
      </c>
      <c r="O139" s="282">
        <f t="shared" si="82"/>
        <v>3049.4924178285987</v>
      </c>
      <c r="P139" s="282">
        <f t="shared" si="82"/>
        <v>489.49619710595232</v>
      </c>
      <c r="Q139" s="282">
        <f t="shared" si="82"/>
        <v>0</v>
      </c>
      <c r="R139" s="282">
        <f t="shared" si="78"/>
        <v>9934.9618755885786</v>
      </c>
      <c r="U139" s="404"/>
      <c r="V139" s="281" t="s">
        <v>47</v>
      </c>
      <c r="W139" s="282">
        <f>W138+W137</f>
        <v>0</v>
      </c>
      <c r="X139" s="282">
        <f t="shared" ref="X139:AK139" si="83">X138+X137</f>
        <v>0</v>
      </c>
      <c r="Y139" s="282">
        <f t="shared" si="83"/>
        <v>4934.4255091781479</v>
      </c>
      <c r="Z139" s="282">
        <f t="shared" si="83"/>
        <v>0</v>
      </c>
      <c r="AA139" s="282">
        <f t="shared" si="83"/>
        <v>0</v>
      </c>
      <c r="AB139" s="282">
        <f t="shared" si="83"/>
        <v>0</v>
      </c>
      <c r="AC139" s="282">
        <f t="shared" si="83"/>
        <v>68.109853038202118</v>
      </c>
      <c r="AD139" s="282">
        <f t="shared" si="83"/>
        <v>0</v>
      </c>
      <c r="AE139" s="282">
        <f t="shared" si="83"/>
        <v>33.714290322580638</v>
      </c>
      <c r="AF139" s="282">
        <f t="shared" si="83"/>
        <v>11.358918060172735</v>
      </c>
      <c r="AG139" s="282">
        <f t="shared" si="83"/>
        <v>0</v>
      </c>
      <c r="AH139" s="282">
        <f t="shared" si="83"/>
        <v>571.05272116738911</v>
      </c>
      <c r="AI139" s="282">
        <f t="shared" si="83"/>
        <v>2770.3150883790458</v>
      </c>
      <c r="AJ139" s="282">
        <f t="shared" si="83"/>
        <v>489.49619710595232</v>
      </c>
      <c r="AK139" s="282">
        <f t="shared" si="83"/>
        <v>0</v>
      </c>
      <c r="AL139" s="282">
        <f t="shared" si="79"/>
        <v>8878.4725772514903</v>
      </c>
    </row>
    <row r="148" spans="1:38" ht="14.4" customHeight="1">
      <c r="A148" s="404">
        <v>2035</v>
      </c>
      <c r="B148" s="408" t="s">
        <v>12</v>
      </c>
      <c r="C148" s="407" t="s">
        <v>14</v>
      </c>
      <c r="D148" s="407" t="s">
        <v>15</v>
      </c>
      <c r="E148" s="407" t="s">
        <v>16</v>
      </c>
      <c r="F148" s="407" t="s">
        <v>17</v>
      </c>
      <c r="G148" s="407" t="s">
        <v>395</v>
      </c>
      <c r="H148" s="407" t="s">
        <v>18</v>
      </c>
      <c r="I148" s="407" t="s">
        <v>19</v>
      </c>
      <c r="J148" s="407"/>
      <c r="K148" s="407"/>
      <c r="L148" s="407"/>
      <c r="M148" s="407"/>
      <c r="N148" s="407"/>
      <c r="O148" s="399" t="s">
        <v>396</v>
      </c>
      <c r="P148" s="399" t="s">
        <v>21</v>
      </c>
      <c r="Q148" s="399" t="s">
        <v>397</v>
      </c>
      <c r="R148" s="399" t="s">
        <v>23</v>
      </c>
      <c r="U148" s="404">
        <v>2035</v>
      </c>
      <c r="V148" s="405" t="s">
        <v>12</v>
      </c>
      <c r="W148" s="399" t="s">
        <v>14</v>
      </c>
      <c r="X148" s="399" t="s">
        <v>15</v>
      </c>
      <c r="Y148" s="399" t="s">
        <v>16</v>
      </c>
      <c r="Z148" s="399" t="s">
        <v>17</v>
      </c>
      <c r="AA148" s="399" t="s">
        <v>395</v>
      </c>
      <c r="AB148" s="399" t="s">
        <v>18</v>
      </c>
      <c r="AC148" s="401" t="s">
        <v>19</v>
      </c>
      <c r="AD148" s="402"/>
      <c r="AE148" s="402"/>
      <c r="AF148" s="402"/>
      <c r="AG148" s="402"/>
      <c r="AH148" s="403"/>
      <c r="AI148" s="399" t="s">
        <v>396</v>
      </c>
      <c r="AJ148" s="399" t="s">
        <v>21</v>
      </c>
      <c r="AK148" s="399" t="s">
        <v>397</v>
      </c>
      <c r="AL148" s="399" t="s">
        <v>23</v>
      </c>
    </row>
    <row r="149" spans="1:38" ht="45.6">
      <c r="A149" s="404"/>
      <c r="B149" s="408"/>
      <c r="C149" s="407"/>
      <c r="D149" s="407"/>
      <c r="E149" s="407"/>
      <c r="F149" s="407"/>
      <c r="G149" s="407"/>
      <c r="H149" s="407"/>
      <c r="I149" s="274" t="s">
        <v>384</v>
      </c>
      <c r="J149" s="274" t="s">
        <v>7</v>
      </c>
      <c r="K149" s="274" t="s">
        <v>385</v>
      </c>
      <c r="L149" s="274" t="s">
        <v>398</v>
      </c>
      <c r="M149" s="275" t="s">
        <v>399</v>
      </c>
      <c r="N149" s="274" t="s">
        <v>400</v>
      </c>
      <c r="O149" s="399"/>
      <c r="P149" s="399"/>
      <c r="Q149" s="399"/>
      <c r="R149" s="399"/>
      <c r="U149" s="404"/>
      <c r="V149" s="406"/>
      <c r="W149" s="400"/>
      <c r="X149" s="400"/>
      <c r="Y149" s="400"/>
      <c r="Z149" s="400"/>
      <c r="AA149" s="400"/>
      <c r="AB149" s="400"/>
      <c r="AC149" s="274" t="s">
        <v>384</v>
      </c>
      <c r="AD149" s="274" t="s">
        <v>7</v>
      </c>
      <c r="AE149" s="274" t="s">
        <v>385</v>
      </c>
      <c r="AF149" s="274" t="s">
        <v>398</v>
      </c>
      <c r="AG149" s="275" t="s">
        <v>399</v>
      </c>
      <c r="AH149" s="274" t="s">
        <v>400</v>
      </c>
      <c r="AI149" s="400"/>
      <c r="AJ149" s="400"/>
      <c r="AK149" s="400"/>
      <c r="AL149" s="400"/>
    </row>
    <row r="150" spans="1:38" ht="14.4" customHeight="1">
      <c r="A150" s="404"/>
      <c r="B150" s="276" t="s">
        <v>24</v>
      </c>
      <c r="C150" s="277">
        <v>0</v>
      </c>
      <c r="D150" s="278">
        <v>0</v>
      </c>
      <c r="E150" s="278">
        <v>0</v>
      </c>
      <c r="F150" s="277">
        <v>0</v>
      </c>
      <c r="G150" s="278">
        <v>0</v>
      </c>
      <c r="H150" s="278">
        <f>H156</f>
        <v>1328.8948582241999</v>
      </c>
      <c r="I150" s="278">
        <f>$I$27</f>
        <v>1181.9392943361693</v>
      </c>
      <c r="J150" s="278">
        <f>J156</f>
        <v>577.47204557418661</v>
      </c>
      <c r="K150" s="278">
        <v>0</v>
      </c>
      <c r="L150" s="278">
        <f>L156</f>
        <v>73.530034907529341</v>
      </c>
      <c r="M150" s="278">
        <v>0</v>
      </c>
      <c r="N150" s="278">
        <f>N156</f>
        <v>726.13766878148795</v>
      </c>
      <c r="O150" s="279">
        <v>0</v>
      </c>
      <c r="P150" s="278">
        <v>0</v>
      </c>
      <c r="Q150" s="278">
        <v>0</v>
      </c>
      <c r="R150" s="280">
        <f>SUM(C150:Q150)</f>
        <v>3887.9739018235732</v>
      </c>
      <c r="U150" s="404"/>
      <c r="V150" s="276" t="s">
        <v>24</v>
      </c>
      <c r="W150" s="277">
        <v>0</v>
      </c>
      <c r="X150" s="278">
        <v>0</v>
      </c>
      <c r="Y150" s="278">
        <v>0</v>
      </c>
      <c r="Z150" s="277">
        <v>0</v>
      </c>
      <c r="AA150" s="278">
        <v>0</v>
      </c>
      <c r="AB150" s="278">
        <f>AB156</f>
        <v>1489.3632368093063</v>
      </c>
      <c r="AC150" s="278">
        <f>$I$27</f>
        <v>1181.9392943361693</v>
      </c>
      <c r="AD150" s="278">
        <f>AD156</f>
        <v>524.60518072394814</v>
      </c>
      <c r="AE150" s="278">
        <v>0</v>
      </c>
      <c r="AF150" s="278">
        <f>AF156</f>
        <v>80.906758306559013</v>
      </c>
      <c r="AG150" s="278">
        <v>0</v>
      </c>
      <c r="AH150" s="278">
        <f>AH156</f>
        <v>546.78530801344266</v>
      </c>
      <c r="AI150" s="279">
        <v>0</v>
      </c>
      <c r="AJ150" s="278">
        <v>0</v>
      </c>
      <c r="AK150" s="278">
        <v>0</v>
      </c>
      <c r="AL150" s="280">
        <f>SUM(W150:AK150)</f>
        <v>3823.5997781894257</v>
      </c>
    </row>
    <row r="151" spans="1:38" ht="14.4" customHeight="1">
      <c r="A151" s="404"/>
      <c r="B151" s="276" t="s">
        <v>28</v>
      </c>
      <c r="C151" s="277">
        <f>C156</f>
        <v>0</v>
      </c>
      <c r="D151" s="278">
        <f>D156</f>
        <v>0</v>
      </c>
      <c r="E151" s="278">
        <f>E156</f>
        <v>5161.1614035743269</v>
      </c>
      <c r="F151" s="277">
        <v>0</v>
      </c>
      <c r="G151" s="278">
        <v>0</v>
      </c>
      <c r="H151" s="278">
        <v>0</v>
      </c>
      <c r="I151" s="278">
        <f>I156-$I$27</f>
        <v>2997.1491493201593</v>
      </c>
      <c r="J151" s="278">
        <v>0</v>
      </c>
      <c r="K151" s="278">
        <f>K156</f>
        <v>1611.5884060986903</v>
      </c>
      <c r="L151" s="278">
        <v>0</v>
      </c>
      <c r="M151" s="278">
        <v>0</v>
      </c>
      <c r="N151" s="278">
        <v>0</v>
      </c>
      <c r="O151" s="279">
        <v>0</v>
      </c>
      <c r="P151" s="278">
        <v>0</v>
      </c>
      <c r="Q151" s="278">
        <v>0</v>
      </c>
      <c r="R151" s="280">
        <f t="shared" ref="R151:R156" si="84">SUM(C151:Q151)</f>
        <v>9769.8989589931771</v>
      </c>
      <c r="U151" s="404"/>
      <c r="V151" s="276" t="s">
        <v>28</v>
      </c>
      <c r="W151" s="277">
        <f>W156</f>
        <v>0</v>
      </c>
      <c r="X151" s="278">
        <f>X156</f>
        <v>0</v>
      </c>
      <c r="Y151" s="278">
        <f>Y156</f>
        <v>3593.8620049351371</v>
      </c>
      <c r="Z151" s="277">
        <v>0</v>
      </c>
      <c r="AA151" s="278">
        <v>0</v>
      </c>
      <c r="AB151" s="278">
        <v>0</v>
      </c>
      <c r="AC151" s="278">
        <f>AC156-$I$27</f>
        <v>2442.7112728040956</v>
      </c>
      <c r="AD151" s="278">
        <v>0</v>
      </c>
      <c r="AE151" s="278">
        <f>AE156</f>
        <v>1218.5167794952702</v>
      </c>
      <c r="AF151" s="278">
        <v>0</v>
      </c>
      <c r="AG151" s="278">
        <v>0</v>
      </c>
      <c r="AH151" s="278">
        <v>0</v>
      </c>
      <c r="AI151" s="279">
        <v>0</v>
      </c>
      <c r="AJ151" s="278">
        <v>0</v>
      </c>
      <c r="AK151" s="278">
        <v>0</v>
      </c>
      <c r="AL151" s="280">
        <f t="shared" ref="AL151:AL156" si="85">SUM(W151:AK151)</f>
        <v>7255.0900572345035</v>
      </c>
    </row>
    <row r="152" spans="1:38" ht="14.4" customHeight="1">
      <c r="A152" s="404"/>
      <c r="B152" s="276" t="s">
        <v>29</v>
      </c>
      <c r="C152" s="277">
        <v>0</v>
      </c>
      <c r="D152" s="278">
        <v>0</v>
      </c>
      <c r="E152" s="278">
        <v>0</v>
      </c>
      <c r="F152" s="277">
        <v>0</v>
      </c>
      <c r="G152" s="278">
        <v>0</v>
      </c>
      <c r="H152" s="278">
        <v>0</v>
      </c>
      <c r="I152" s="278">
        <v>0</v>
      </c>
      <c r="J152" s="278">
        <v>0</v>
      </c>
      <c r="K152" s="278">
        <v>0</v>
      </c>
      <c r="L152" s="278">
        <v>0</v>
      </c>
      <c r="M152" s="278">
        <v>0</v>
      </c>
      <c r="N152" s="278">
        <v>0</v>
      </c>
      <c r="O152" s="279">
        <v>0</v>
      </c>
      <c r="P152" s="278">
        <v>0</v>
      </c>
      <c r="Q152" s="278">
        <v>0</v>
      </c>
      <c r="R152" s="280">
        <f t="shared" si="84"/>
        <v>0</v>
      </c>
      <c r="U152" s="404"/>
      <c r="V152" s="276" t="s">
        <v>29</v>
      </c>
      <c r="W152" s="277">
        <v>0</v>
      </c>
      <c r="X152" s="278">
        <v>0</v>
      </c>
      <c r="Y152" s="278">
        <v>0</v>
      </c>
      <c r="Z152" s="277">
        <v>0</v>
      </c>
      <c r="AA152" s="278">
        <v>0</v>
      </c>
      <c r="AB152" s="278">
        <v>0</v>
      </c>
      <c r="AC152" s="278">
        <v>0</v>
      </c>
      <c r="AD152" s="278">
        <v>0</v>
      </c>
      <c r="AE152" s="278">
        <v>0</v>
      </c>
      <c r="AF152" s="278">
        <v>0</v>
      </c>
      <c r="AG152" s="278">
        <v>0</v>
      </c>
      <c r="AH152" s="278">
        <v>0</v>
      </c>
      <c r="AI152" s="279">
        <v>0</v>
      </c>
      <c r="AJ152" s="278">
        <v>0</v>
      </c>
      <c r="AK152" s="278">
        <v>0</v>
      </c>
      <c r="AL152" s="280">
        <f t="shared" si="85"/>
        <v>0</v>
      </c>
    </row>
    <row r="153" spans="1:38" ht="14.4" customHeight="1">
      <c r="A153" s="404"/>
      <c r="B153" s="276" t="s">
        <v>30</v>
      </c>
      <c r="C153" s="277">
        <v>0</v>
      </c>
      <c r="D153" s="278">
        <v>0</v>
      </c>
      <c r="E153" s="278">
        <v>0</v>
      </c>
      <c r="F153" s="277">
        <v>0</v>
      </c>
      <c r="G153" s="278">
        <v>0</v>
      </c>
      <c r="H153" s="278">
        <v>0</v>
      </c>
      <c r="I153" s="278">
        <v>0</v>
      </c>
      <c r="J153" s="278">
        <v>0</v>
      </c>
      <c r="K153" s="278">
        <v>0</v>
      </c>
      <c r="L153" s="278">
        <v>0</v>
      </c>
      <c r="M153" s="278">
        <v>0</v>
      </c>
      <c r="N153" s="278">
        <v>0</v>
      </c>
      <c r="O153" s="279">
        <v>0</v>
      </c>
      <c r="P153" s="278">
        <v>0</v>
      </c>
      <c r="Q153" s="278">
        <v>0</v>
      </c>
      <c r="R153" s="280">
        <f t="shared" si="84"/>
        <v>0</v>
      </c>
      <c r="U153" s="404"/>
      <c r="V153" s="276" t="s">
        <v>30</v>
      </c>
      <c r="W153" s="277">
        <v>0</v>
      </c>
      <c r="X153" s="278">
        <v>0</v>
      </c>
      <c r="Y153" s="278">
        <v>0</v>
      </c>
      <c r="Z153" s="277">
        <v>0</v>
      </c>
      <c r="AA153" s="278">
        <v>0</v>
      </c>
      <c r="AB153" s="278">
        <v>0</v>
      </c>
      <c r="AC153" s="278">
        <v>0</v>
      </c>
      <c r="AD153" s="278">
        <v>0</v>
      </c>
      <c r="AE153" s="278">
        <v>0</v>
      </c>
      <c r="AF153" s="278">
        <v>0</v>
      </c>
      <c r="AG153" s="278">
        <v>0</v>
      </c>
      <c r="AH153" s="278">
        <v>0</v>
      </c>
      <c r="AI153" s="279">
        <v>0</v>
      </c>
      <c r="AJ153" s="278">
        <v>0</v>
      </c>
      <c r="AK153" s="278">
        <v>0</v>
      </c>
      <c r="AL153" s="280">
        <f t="shared" si="85"/>
        <v>0</v>
      </c>
    </row>
    <row r="154" spans="1:38" ht="14.4" customHeight="1">
      <c r="A154" s="404"/>
      <c r="B154" s="276" t="s">
        <v>31</v>
      </c>
      <c r="C154" s="277">
        <v>0</v>
      </c>
      <c r="D154" s="278">
        <v>0</v>
      </c>
      <c r="E154" s="278">
        <v>0</v>
      </c>
      <c r="F154" s="277">
        <v>0</v>
      </c>
      <c r="G154" s="278">
        <v>0</v>
      </c>
      <c r="H154" s="278">
        <v>0</v>
      </c>
      <c r="I154" s="278">
        <v>0</v>
      </c>
      <c r="J154" s="278">
        <v>0</v>
      </c>
      <c r="K154" s="278">
        <v>0</v>
      </c>
      <c r="L154" s="278">
        <v>0</v>
      </c>
      <c r="M154" s="278">
        <v>0</v>
      </c>
      <c r="N154" s="278">
        <v>0</v>
      </c>
      <c r="O154" s="279">
        <v>0</v>
      </c>
      <c r="P154" s="278">
        <v>0</v>
      </c>
      <c r="Q154" s="278">
        <v>0</v>
      </c>
      <c r="R154" s="280">
        <f t="shared" si="84"/>
        <v>0</v>
      </c>
      <c r="U154" s="404"/>
      <c r="V154" s="276" t="s">
        <v>31</v>
      </c>
      <c r="W154" s="277">
        <v>0</v>
      </c>
      <c r="X154" s="278">
        <v>0</v>
      </c>
      <c r="Y154" s="278">
        <v>0</v>
      </c>
      <c r="Z154" s="277">
        <v>0</v>
      </c>
      <c r="AA154" s="278">
        <v>0</v>
      </c>
      <c r="AB154" s="278">
        <v>0</v>
      </c>
      <c r="AC154" s="278">
        <v>0</v>
      </c>
      <c r="AD154" s="278">
        <v>0</v>
      </c>
      <c r="AE154" s="278">
        <v>0</v>
      </c>
      <c r="AF154" s="278">
        <v>0</v>
      </c>
      <c r="AG154" s="278">
        <v>0</v>
      </c>
      <c r="AH154" s="278">
        <v>0</v>
      </c>
      <c r="AI154" s="279">
        <v>0</v>
      </c>
      <c r="AJ154" s="278">
        <v>0</v>
      </c>
      <c r="AK154" s="278">
        <v>0</v>
      </c>
      <c r="AL154" s="280">
        <f t="shared" si="85"/>
        <v>0</v>
      </c>
    </row>
    <row r="155" spans="1:38" ht="14.4" customHeight="1">
      <c r="A155" s="404"/>
      <c r="B155" s="276" t="s">
        <v>32</v>
      </c>
      <c r="C155" s="277">
        <v>0</v>
      </c>
      <c r="D155" s="278">
        <v>0</v>
      </c>
      <c r="E155" s="278">
        <v>0</v>
      </c>
      <c r="F155" s="277">
        <v>0</v>
      </c>
      <c r="G155" s="278">
        <v>0</v>
      </c>
      <c r="H155" s="278">
        <v>0</v>
      </c>
      <c r="I155" s="278">
        <v>0</v>
      </c>
      <c r="J155" s="278">
        <v>0</v>
      </c>
      <c r="K155" s="278">
        <v>0</v>
      </c>
      <c r="L155" s="278">
        <v>0</v>
      </c>
      <c r="M155" s="278">
        <v>0</v>
      </c>
      <c r="N155" s="278">
        <v>0</v>
      </c>
      <c r="O155" s="279">
        <v>0</v>
      </c>
      <c r="P155" s="278">
        <v>0</v>
      </c>
      <c r="Q155" s="278">
        <v>0</v>
      </c>
      <c r="R155" s="280">
        <f t="shared" si="84"/>
        <v>0</v>
      </c>
      <c r="U155" s="404"/>
      <c r="V155" s="276" t="s">
        <v>32</v>
      </c>
      <c r="W155" s="277">
        <v>0</v>
      </c>
      <c r="X155" s="278">
        <v>0</v>
      </c>
      <c r="Y155" s="278">
        <v>0</v>
      </c>
      <c r="Z155" s="277">
        <v>0</v>
      </c>
      <c r="AA155" s="278">
        <v>0</v>
      </c>
      <c r="AB155" s="278">
        <v>0</v>
      </c>
      <c r="AC155" s="278">
        <v>0</v>
      </c>
      <c r="AD155" s="278">
        <v>0</v>
      </c>
      <c r="AE155" s="278">
        <v>0</v>
      </c>
      <c r="AF155" s="278">
        <v>0</v>
      </c>
      <c r="AG155" s="278">
        <v>0</v>
      </c>
      <c r="AH155" s="278">
        <v>0</v>
      </c>
      <c r="AI155" s="279">
        <v>0</v>
      </c>
      <c r="AJ155" s="278">
        <v>0</v>
      </c>
      <c r="AK155" s="278">
        <v>0</v>
      </c>
      <c r="AL155" s="280">
        <f t="shared" si="85"/>
        <v>0</v>
      </c>
    </row>
    <row r="156" spans="1:38" ht="14.4" customHeight="1">
      <c r="A156" s="404"/>
      <c r="B156" s="281" t="s">
        <v>401</v>
      </c>
      <c r="C156" s="282">
        <f>C180+C178</f>
        <v>0</v>
      </c>
      <c r="D156" s="282">
        <f>D170+D180</f>
        <v>0</v>
      </c>
      <c r="E156" s="282">
        <f>E170+E180</f>
        <v>5161.1614035743269</v>
      </c>
      <c r="F156" s="282">
        <f t="shared" ref="F156:G156" si="86">SUM(F150:F155)</f>
        <v>0</v>
      </c>
      <c r="G156" s="282">
        <f t="shared" si="86"/>
        <v>0</v>
      </c>
      <c r="H156" s="282">
        <f>H170</f>
        <v>1328.8948582241999</v>
      </c>
      <c r="I156" s="282">
        <f>I170+I178</f>
        <v>4179.0884436563283</v>
      </c>
      <c r="J156" s="282">
        <f>J170+J180</f>
        <v>577.47204557418661</v>
      </c>
      <c r="K156" s="282">
        <f>K170+K180</f>
        <v>1611.5884060986903</v>
      </c>
      <c r="L156" s="282">
        <f>L170+L180</f>
        <v>73.530034907529341</v>
      </c>
      <c r="M156" s="282">
        <f t="shared" ref="M156" si="87">SUM(M150:M155)</f>
        <v>0</v>
      </c>
      <c r="N156" s="282">
        <f>N170+N180</f>
        <v>726.13766878148795</v>
      </c>
      <c r="O156" s="282">
        <f t="shared" ref="O156:Q156" si="88">SUM(O150:O155)</f>
        <v>0</v>
      </c>
      <c r="P156" s="282">
        <f t="shared" si="88"/>
        <v>0</v>
      </c>
      <c r="Q156" s="282">
        <f t="shared" si="88"/>
        <v>0</v>
      </c>
      <c r="R156" s="282">
        <f t="shared" si="84"/>
        <v>13657.872860816749</v>
      </c>
      <c r="U156" s="404"/>
      <c r="V156" s="281" t="s">
        <v>401</v>
      </c>
      <c r="W156" s="282">
        <f>W180+W178</f>
        <v>0</v>
      </c>
      <c r="X156" s="282">
        <f>X170+X180</f>
        <v>0</v>
      </c>
      <c r="Y156" s="282">
        <f>Y170+Y180</f>
        <v>3593.8620049351371</v>
      </c>
      <c r="Z156" s="282">
        <f t="shared" ref="Z156:AA156" si="89">SUM(Z150:Z155)</f>
        <v>0</v>
      </c>
      <c r="AA156" s="282">
        <f t="shared" si="89"/>
        <v>0</v>
      </c>
      <c r="AB156" s="282">
        <f>AB170</f>
        <v>1489.3632368093063</v>
      </c>
      <c r="AC156" s="282">
        <f>AC170+AC178</f>
        <v>3624.6505671402651</v>
      </c>
      <c r="AD156" s="282">
        <f>AD170</f>
        <v>524.60518072394814</v>
      </c>
      <c r="AE156" s="282">
        <f>AE170+AE180</f>
        <v>1218.5167794952702</v>
      </c>
      <c r="AF156" s="282">
        <f>AF170+AF180</f>
        <v>80.906758306559013</v>
      </c>
      <c r="AG156" s="282">
        <f t="shared" ref="AG156" si="90">SUM(AG150:AG155)</f>
        <v>0</v>
      </c>
      <c r="AH156" s="282">
        <f>AH170+AH180</f>
        <v>546.78530801344266</v>
      </c>
      <c r="AI156" s="282">
        <f t="shared" ref="AI156:AK156" si="91">SUM(AI150:AI155)</f>
        <v>0</v>
      </c>
      <c r="AJ156" s="282">
        <f t="shared" si="91"/>
        <v>0</v>
      </c>
      <c r="AK156" s="282">
        <f t="shared" si="91"/>
        <v>0</v>
      </c>
      <c r="AL156" s="282">
        <f t="shared" si="85"/>
        <v>11078.689835423927</v>
      </c>
    </row>
    <row r="157" spans="1:38" ht="14.4" customHeight="1">
      <c r="A157" s="404"/>
      <c r="B157" s="283"/>
      <c r="C157" s="284"/>
      <c r="D157" s="252"/>
      <c r="E157" s="285"/>
      <c r="F157" s="284"/>
      <c r="G157" s="284"/>
      <c r="H157" s="284"/>
      <c r="I157" s="284"/>
      <c r="J157" s="284"/>
      <c r="K157" s="284"/>
      <c r="L157" s="284"/>
      <c r="M157" s="284"/>
      <c r="N157" s="284"/>
      <c r="O157" s="293"/>
      <c r="P157" s="284"/>
      <c r="Q157" s="284"/>
      <c r="R157" s="284"/>
      <c r="U157" s="404"/>
      <c r="V157" s="283"/>
      <c r="W157" s="284"/>
      <c r="X157" s="252"/>
      <c r="Y157" s="285"/>
      <c r="Z157" s="284"/>
      <c r="AA157" s="284"/>
      <c r="AB157" s="284"/>
      <c r="AC157" s="284"/>
      <c r="AD157" s="284"/>
      <c r="AE157" s="284"/>
      <c r="AF157" s="284"/>
      <c r="AG157" s="284"/>
      <c r="AH157" s="284"/>
      <c r="AI157" s="293"/>
      <c r="AJ157" s="284"/>
      <c r="AK157" s="284"/>
      <c r="AL157" s="284"/>
    </row>
    <row r="158" spans="1:38" ht="14.4" customHeight="1">
      <c r="A158" s="404"/>
      <c r="B158" s="286" t="s">
        <v>402</v>
      </c>
      <c r="C158" s="277">
        <v>0</v>
      </c>
      <c r="D158" s="287">
        <v>0</v>
      </c>
      <c r="E158" s="287">
        <v>0</v>
      </c>
      <c r="F158" s="277">
        <v>0</v>
      </c>
      <c r="G158" s="277">
        <v>0</v>
      </c>
      <c r="H158" s="277">
        <v>0</v>
      </c>
      <c r="I158" s="277">
        <v>0</v>
      </c>
      <c r="J158" s="277">
        <v>0</v>
      </c>
      <c r="K158" s="277">
        <v>0</v>
      </c>
      <c r="L158" s="277">
        <v>0</v>
      </c>
      <c r="M158" s="277">
        <v>0</v>
      </c>
      <c r="N158" s="277">
        <v>0</v>
      </c>
      <c r="O158" s="277">
        <v>0</v>
      </c>
      <c r="P158" s="277">
        <v>0</v>
      </c>
      <c r="Q158" s="277">
        <v>0</v>
      </c>
      <c r="R158" s="288">
        <f>SUM(C158:Q158)</f>
        <v>0</v>
      </c>
      <c r="U158" s="404"/>
      <c r="V158" s="286" t="s">
        <v>402</v>
      </c>
      <c r="W158" s="277">
        <v>0</v>
      </c>
      <c r="X158" s="287">
        <v>0</v>
      </c>
      <c r="Y158" s="287">
        <v>0</v>
      </c>
      <c r="Z158" s="277">
        <v>0</v>
      </c>
      <c r="AA158" s="277">
        <v>0</v>
      </c>
      <c r="AB158" s="277">
        <v>0</v>
      </c>
      <c r="AC158" s="277">
        <v>0</v>
      </c>
      <c r="AD158" s="277">
        <v>0</v>
      </c>
      <c r="AE158" s="277">
        <v>0</v>
      </c>
      <c r="AF158" s="277">
        <v>0</v>
      </c>
      <c r="AG158" s="277">
        <v>0</v>
      </c>
      <c r="AH158" s="277">
        <v>0</v>
      </c>
      <c r="AI158" s="277">
        <v>0</v>
      </c>
      <c r="AJ158" s="277">
        <v>0</v>
      </c>
      <c r="AK158" s="277">
        <v>0</v>
      </c>
      <c r="AL158" s="288">
        <f>SUM(W158:AK158)</f>
        <v>0</v>
      </c>
    </row>
    <row r="159" spans="1:38" ht="14.4" customHeight="1">
      <c r="A159" s="404"/>
      <c r="B159" s="286" t="s">
        <v>403</v>
      </c>
      <c r="C159" s="277">
        <f>$O$159*'Prod Energie'!$F$32/(-$J$13)</f>
        <v>0</v>
      </c>
      <c r="D159" s="277">
        <v>0</v>
      </c>
      <c r="E159" s="277">
        <f>O159*'Prod Energie'!$F$33/(-$K$13)</f>
        <v>0</v>
      </c>
      <c r="F159" s="277">
        <v>0</v>
      </c>
      <c r="G159" s="277">
        <v>0</v>
      </c>
      <c r="H159" s="277">
        <f>(O159)*('Prod Energie'!$F$34+'Prod Energie'!$F$39+'Prod Energie'!$F$40)/(-$L$13)</f>
        <v>1328.8948582241999</v>
      </c>
      <c r="I159" s="289">
        <f>(O159)*('Prod Energie'!$F$38)/(-$M$13)</f>
        <v>3507.574766214796</v>
      </c>
      <c r="J159" s="289">
        <f>(O159)*('Prod Energie'!$F$36)/(-$N$13)</f>
        <v>577.47204557418661</v>
      </c>
      <c r="K159" s="289">
        <f>(O159)*('Prod Energie'!$F$37)/(-$O$13)</f>
        <v>1611.5884060986903</v>
      </c>
      <c r="L159" s="289">
        <f>(O159)*('Prod Energie'!$F$41)/(-P13)</f>
        <v>54.997337673732069</v>
      </c>
      <c r="M159" s="289">
        <v>0</v>
      </c>
      <c r="N159" s="289">
        <f>(O159)*'Prod Energie'!F35/(-$Q$13)</f>
        <v>0</v>
      </c>
      <c r="O159" s="277">
        <f>O170/(1+$F$17+$F$18)</f>
        <v>-3640.5473479835086</v>
      </c>
      <c r="P159" s="277">
        <v>0</v>
      </c>
      <c r="Q159" s="277">
        <v>0</v>
      </c>
      <c r="R159" s="288">
        <f t="shared" ref="R159:R170" si="92">SUM(C159:Q159)</f>
        <v>3439.9800658020954</v>
      </c>
      <c r="U159" s="404"/>
      <c r="V159" s="286" t="s">
        <v>403</v>
      </c>
      <c r="W159" s="277">
        <f>AI159*'Prod Energie'!$F$53/(-$J$13)</f>
        <v>0</v>
      </c>
      <c r="X159" s="277">
        <v>0</v>
      </c>
      <c r="Y159" s="277">
        <f>AI159*'Prod Energie'!$F$54/(-$K$13)</f>
        <v>0</v>
      </c>
      <c r="Z159" s="277">
        <v>0</v>
      </c>
      <c r="AA159" s="277">
        <v>0</v>
      </c>
      <c r="AB159" s="277">
        <f>(AI159)*('Prod Energie'!$F$55+'Prod Energie'!$F$60+'Prod Energie'!$F$61)/(-$L$13)</f>
        <v>1489.3632368093063</v>
      </c>
      <c r="AC159" s="289">
        <f>(AI159)*'Prod Energie'!$F$59/(-$M$13)</f>
        <v>2878.7146135466696</v>
      </c>
      <c r="AD159" s="289">
        <f>(AI159)*('Prod Energie'!$F$57)/(-$N$13)</f>
        <v>524.60518072394814</v>
      </c>
      <c r="AE159" s="289">
        <f>(AI159)*('Prod Energie'!$F$58)/(-$O$13)</f>
        <v>1169.4778117533347</v>
      </c>
      <c r="AF159" s="289">
        <f>(AI159)*('Prod Energie'!$F$62)/(-$P$13)</f>
        <v>49.962398164185544</v>
      </c>
      <c r="AG159" s="289">
        <v>0</v>
      </c>
      <c r="AH159" s="289">
        <f>(AI159)*'Prod Energie'!F138/(-$Q$13)</f>
        <v>0</v>
      </c>
      <c r="AI159" s="277">
        <f>AI170/(1+$F$17+$F$18)</f>
        <v>-3378.4371570159101</v>
      </c>
      <c r="AJ159" s="277">
        <v>0</v>
      </c>
      <c r="AK159" s="277">
        <v>0</v>
      </c>
      <c r="AL159" s="288">
        <f t="shared" ref="AL159:AL170" si="93">SUM(W159:AK159)</f>
        <v>2733.6860839815336</v>
      </c>
    </row>
    <row r="160" spans="1:38" ht="14.4" customHeight="1">
      <c r="A160" s="404"/>
      <c r="B160" s="286" t="s">
        <v>404</v>
      </c>
      <c r="C160" s="277">
        <v>0</v>
      </c>
      <c r="D160" s="277">
        <v>0</v>
      </c>
      <c r="E160" s="277">
        <v>0</v>
      </c>
      <c r="F160" s="277">
        <v>0</v>
      </c>
      <c r="G160" s="277">
        <v>0</v>
      </c>
      <c r="H160" s="277">
        <v>0</v>
      </c>
      <c r="I160" s="289">
        <f>$P$160*$L$18*V$17</f>
        <v>643.28354782782321</v>
      </c>
      <c r="J160" s="289">
        <f t="shared" ref="J160:N160" si="94">$P$160*$L$18*W$17</f>
        <v>0</v>
      </c>
      <c r="K160" s="289">
        <f t="shared" si="94"/>
        <v>0</v>
      </c>
      <c r="L160" s="289">
        <f t="shared" si="94"/>
        <v>13.824659926326877</v>
      </c>
      <c r="M160" s="289">
        <f t="shared" si="94"/>
        <v>0</v>
      </c>
      <c r="N160" s="289">
        <f t="shared" si="94"/>
        <v>0</v>
      </c>
      <c r="O160" s="277">
        <v>0</v>
      </c>
      <c r="P160" s="277">
        <f>P170/(1+$R$18)</f>
        <v>-561.73575448400675</v>
      </c>
      <c r="Q160" s="277">
        <v>0</v>
      </c>
      <c r="R160" s="288">
        <f t="shared" si="92"/>
        <v>95.372453270143296</v>
      </c>
      <c r="U160" s="404"/>
      <c r="V160" s="286" t="s">
        <v>404</v>
      </c>
      <c r="W160" s="277">
        <v>0</v>
      </c>
      <c r="X160" s="277">
        <v>0</v>
      </c>
      <c r="Y160" s="277">
        <v>0</v>
      </c>
      <c r="Z160" s="277">
        <v>0</v>
      </c>
      <c r="AA160" s="277">
        <v>0</v>
      </c>
      <c r="AB160" s="277">
        <v>0</v>
      </c>
      <c r="AC160" s="289">
        <f>$AJ$160*$L$18*V$17</f>
        <v>643.28354782782321</v>
      </c>
      <c r="AD160" s="289">
        <f t="shared" ref="AD160:AH160" si="95">$AJ$160*$L$18*W$17</f>
        <v>0</v>
      </c>
      <c r="AE160" s="289">
        <f t="shared" si="95"/>
        <v>0</v>
      </c>
      <c r="AF160" s="289">
        <f t="shared" si="95"/>
        <v>13.824659926326877</v>
      </c>
      <c r="AG160" s="289">
        <f t="shared" si="95"/>
        <v>0</v>
      </c>
      <c r="AH160" s="289">
        <f t="shared" si="95"/>
        <v>0</v>
      </c>
      <c r="AI160" s="277">
        <v>0</v>
      </c>
      <c r="AJ160" s="277">
        <f>AJ170/(1+$R$18)</f>
        <v>-561.73575448400675</v>
      </c>
      <c r="AK160" s="277">
        <v>0</v>
      </c>
      <c r="AL160" s="288">
        <f t="shared" si="93"/>
        <v>95.372453270143296</v>
      </c>
    </row>
    <row r="161" spans="1:38" ht="14.4" customHeight="1">
      <c r="A161" s="404"/>
      <c r="B161" s="286" t="s">
        <v>405</v>
      </c>
      <c r="C161" s="277">
        <v>0</v>
      </c>
      <c r="D161" s="277">
        <v>0</v>
      </c>
      <c r="E161" s="277">
        <v>0</v>
      </c>
      <c r="F161" s="277">
        <v>0</v>
      </c>
      <c r="G161" s="277">
        <v>0</v>
      </c>
      <c r="H161" s="277">
        <v>0</v>
      </c>
      <c r="I161" s="290">
        <v>0</v>
      </c>
      <c r="J161" s="290">
        <v>0</v>
      </c>
      <c r="K161" s="290">
        <v>0</v>
      </c>
      <c r="L161" s="290">
        <v>0</v>
      </c>
      <c r="M161" s="290">
        <v>0</v>
      </c>
      <c r="N161" s="290">
        <v>0</v>
      </c>
      <c r="O161" s="277">
        <v>0</v>
      </c>
      <c r="P161" s="277">
        <v>0</v>
      </c>
      <c r="Q161" s="277">
        <v>0</v>
      </c>
      <c r="R161" s="288">
        <f t="shared" si="92"/>
        <v>0</v>
      </c>
      <c r="U161" s="404"/>
      <c r="V161" s="286" t="s">
        <v>405</v>
      </c>
      <c r="W161" s="277">
        <v>0</v>
      </c>
      <c r="X161" s="277">
        <v>0</v>
      </c>
      <c r="Y161" s="277">
        <v>0</v>
      </c>
      <c r="Z161" s="277">
        <v>0</v>
      </c>
      <c r="AA161" s="277">
        <v>0</v>
      </c>
      <c r="AB161" s="277">
        <v>0</v>
      </c>
      <c r="AC161" s="290">
        <v>0</v>
      </c>
      <c r="AD161" s="290">
        <v>0</v>
      </c>
      <c r="AE161" s="290">
        <v>0</v>
      </c>
      <c r="AF161" s="290">
        <v>0</v>
      </c>
      <c r="AG161" s="290">
        <v>0</v>
      </c>
      <c r="AH161" s="290">
        <v>0</v>
      </c>
      <c r="AI161" s="277">
        <v>0</v>
      </c>
      <c r="AJ161" s="277">
        <v>0</v>
      </c>
      <c r="AK161" s="277">
        <v>0</v>
      </c>
      <c r="AL161" s="288">
        <f t="shared" si="93"/>
        <v>0</v>
      </c>
    </row>
    <row r="162" spans="1:38" ht="14.4" customHeight="1">
      <c r="A162" s="404"/>
      <c r="B162" s="286" t="s">
        <v>406</v>
      </c>
      <c r="C162" s="277">
        <v>0</v>
      </c>
      <c r="D162" s="277">
        <v>0</v>
      </c>
      <c r="E162" s="277">
        <v>0</v>
      </c>
      <c r="F162" s="277">
        <v>0</v>
      </c>
      <c r="G162" s="277">
        <v>0</v>
      </c>
      <c r="H162" s="277">
        <v>0</v>
      </c>
      <c r="I162" s="277">
        <v>0</v>
      </c>
      <c r="J162" s="277">
        <v>0</v>
      </c>
      <c r="K162" s="277">
        <v>0</v>
      </c>
      <c r="L162" s="277">
        <v>0</v>
      </c>
      <c r="M162" s="277">
        <v>0</v>
      </c>
      <c r="N162" s="277">
        <v>0</v>
      </c>
      <c r="O162" s="277">
        <v>0</v>
      </c>
      <c r="P162" s="277">
        <v>0</v>
      </c>
      <c r="Q162" s="277">
        <v>0</v>
      </c>
      <c r="R162" s="288">
        <f t="shared" si="92"/>
        <v>0</v>
      </c>
      <c r="U162" s="404"/>
      <c r="V162" s="286" t="s">
        <v>406</v>
      </c>
      <c r="W162" s="277">
        <v>0</v>
      </c>
      <c r="X162" s="277">
        <v>0</v>
      </c>
      <c r="Y162" s="277">
        <v>0</v>
      </c>
      <c r="Z162" s="277">
        <v>0</v>
      </c>
      <c r="AA162" s="277">
        <v>0</v>
      </c>
      <c r="AB162" s="277">
        <v>0</v>
      </c>
      <c r="AC162" s="277">
        <v>0</v>
      </c>
      <c r="AD162" s="277">
        <v>0</v>
      </c>
      <c r="AE162" s="277">
        <v>0</v>
      </c>
      <c r="AF162" s="277">
        <v>0</v>
      </c>
      <c r="AG162" s="277">
        <v>0</v>
      </c>
      <c r="AH162" s="277">
        <v>0</v>
      </c>
      <c r="AI162" s="277">
        <v>0</v>
      </c>
      <c r="AJ162" s="277">
        <v>0</v>
      </c>
      <c r="AK162" s="277">
        <v>0</v>
      </c>
      <c r="AL162" s="288">
        <f t="shared" si="93"/>
        <v>0</v>
      </c>
    </row>
    <row r="163" spans="1:38" ht="14.4" customHeight="1">
      <c r="A163" s="404"/>
      <c r="B163" s="286" t="s">
        <v>36</v>
      </c>
      <c r="C163" s="277">
        <v>0</v>
      </c>
      <c r="D163" s="277">
        <v>0</v>
      </c>
      <c r="E163" s="277">
        <v>0</v>
      </c>
      <c r="F163" s="277">
        <v>0</v>
      </c>
      <c r="G163" s="277">
        <v>0</v>
      </c>
      <c r="H163" s="277">
        <v>0</v>
      </c>
      <c r="I163" s="277">
        <v>0</v>
      </c>
      <c r="J163" s="277">
        <v>0</v>
      </c>
      <c r="K163" s="277">
        <v>0</v>
      </c>
      <c r="L163" s="277">
        <v>0</v>
      </c>
      <c r="M163" s="277">
        <v>0</v>
      </c>
      <c r="N163" s="277">
        <v>0</v>
      </c>
      <c r="O163" s="277">
        <v>0</v>
      </c>
      <c r="P163" s="277">
        <v>0</v>
      </c>
      <c r="Q163" s="277">
        <v>0</v>
      </c>
      <c r="R163" s="288">
        <f t="shared" si="92"/>
        <v>0</v>
      </c>
      <c r="U163" s="404"/>
      <c r="V163" s="286" t="s">
        <v>36</v>
      </c>
      <c r="W163" s="277">
        <v>0</v>
      </c>
      <c r="X163" s="277">
        <v>0</v>
      </c>
      <c r="Y163" s="277">
        <v>0</v>
      </c>
      <c r="Z163" s="277">
        <v>0</v>
      </c>
      <c r="AA163" s="277">
        <v>0</v>
      </c>
      <c r="AB163" s="277">
        <v>0</v>
      </c>
      <c r="AC163" s="277">
        <v>0</v>
      </c>
      <c r="AD163" s="277">
        <v>0</v>
      </c>
      <c r="AE163" s="277">
        <v>0</v>
      </c>
      <c r="AF163" s="277">
        <v>0</v>
      </c>
      <c r="AG163" s="277">
        <v>0</v>
      </c>
      <c r="AH163" s="277">
        <v>0</v>
      </c>
      <c r="AI163" s="277">
        <v>0</v>
      </c>
      <c r="AJ163" s="277">
        <v>0</v>
      </c>
      <c r="AK163" s="277">
        <v>0</v>
      </c>
      <c r="AL163" s="288">
        <f t="shared" si="93"/>
        <v>0</v>
      </c>
    </row>
    <row r="164" spans="1:38" ht="14.4" customHeight="1">
      <c r="A164" s="404"/>
      <c r="B164" s="286" t="s">
        <v>407</v>
      </c>
      <c r="C164" s="277">
        <v>0</v>
      </c>
      <c r="D164" s="277">
        <v>0</v>
      </c>
      <c r="E164" s="277">
        <v>0</v>
      </c>
      <c r="F164" s="277">
        <v>0</v>
      </c>
      <c r="G164" s="277">
        <v>0</v>
      </c>
      <c r="H164" s="277">
        <v>0</v>
      </c>
      <c r="I164" s="277">
        <v>0</v>
      </c>
      <c r="J164" s="277">
        <v>0</v>
      </c>
      <c r="K164" s="277">
        <v>0</v>
      </c>
      <c r="L164" s="277">
        <v>0</v>
      </c>
      <c r="M164" s="277">
        <v>0</v>
      </c>
      <c r="N164" s="277">
        <v>0</v>
      </c>
      <c r="O164" s="277">
        <v>0</v>
      </c>
      <c r="P164" s="277">
        <v>0</v>
      </c>
      <c r="Q164" s="277">
        <v>0</v>
      </c>
      <c r="R164" s="288">
        <f t="shared" si="92"/>
        <v>0</v>
      </c>
      <c r="U164" s="404"/>
      <c r="V164" s="286" t="s">
        <v>407</v>
      </c>
      <c r="W164" s="277">
        <v>0</v>
      </c>
      <c r="X164" s="277">
        <v>0</v>
      </c>
      <c r="Y164" s="277">
        <v>0</v>
      </c>
      <c r="Z164" s="277">
        <v>0</v>
      </c>
      <c r="AA164" s="277">
        <v>0</v>
      </c>
      <c r="AB164" s="277">
        <v>0</v>
      </c>
      <c r="AC164" s="277">
        <v>0</v>
      </c>
      <c r="AD164" s="277">
        <v>0</v>
      </c>
      <c r="AE164" s="277">
        <v>0</v>
      </c>
      <c r="AF164" s="277">
        <v>0</v>
      </c>
      <c r="AG164" s="277">
        <v>0</v>
      </c>
      <c r="AH164" s="277">
        <v>0</v>
      </c>
      <c r="AI164" s="277">
        <v>0</v>
      </c>
      <c r="AJ164" s="277">
        <v>0</v>
      </c>
      <c r="AK164" s="277">
        <v>0</v>
      </c>
      <c r="AL164" s="288">
        <f t="shared" si="93"/>
        <v>0</v>
      </c>
    </row>
    <row r="165" spans="1:38" ht="14.4" customHeight="1">
      <c r="A165" s="404"/>
      <c r="B165" s="286" t="s">
        <v>408</v>
      </c>
      <c r="C165" s="277">
        <v>0</v>
      </c>
      <c r="D165" s="277">
        <v>0</v>
      </c>
      <c r="E165" s="277">
        <v>0</v>
      </c>
      <c r="F165" s="277">
        <v>0</v>
      </c>
      <c r="G165" s="277">
        <v>0</v>
      </c>
      <c r="H165" s="277">
        <v>0</v>
      </c>
      <c r="I165" s="277">
        <v>0</v>
      </c>
      <c r="J165" s="277">
        <v>0</v>
      </c>
      <c r="K165" s="277">
        <v>0</v>
      </c>
      <c r="L165" s="277">
        <v>0</v>
      </c>
      <c r="M165" s="277">
        <v>0</v>
      </c>
      <c r="N165" s="277">
        <v>0</v>
      </c>
      <c r="O165" s="277">
        <v>0</v>
      </c>
      <c r="P165" s="277">
        <v>0</v>
      </c>
      <c r="Q165" s="277">
        <v>0</v>
      </c>
      <c r="R165" s="288">
        <f t="shared" si="92"/>
        <v>0</v>
      </c>
      <c r="U165" s="404"/>
      <c r="V165" s="286" t="s">
        <v>408</v>
      </c>
      <c r="W165" s="277">
        <v>0</v>
      </c>
      <c r="X165" s="277">
        <v>0</v>
      </c>
      <c r="Y165" s="277">
        <v>0</v>
      </c>
      <c r="Z165" s="277">
        <v>0</v>
      </c>
      <c r="AA165" s="277">
        <v>0</v>
      </c>
      <c r="AB165" s="277">
        <v>0</v>
      </c>
      <c r="AC165" s="277">
        <v>0</v>
      </c>
      <c r="AD165" s="277">
        <v>0</v>
      </c>
      <c r="AE165" s="277">
        <v>0</v>
      </c>
      <c r="AF165" s="277">
        <v>0</v>
      </c>
      <c r="AG165" s="277">
        <v>0</v>
      </c>
      <c r="AH165" s="277">
        <v>0</v>
      </c>
      <c r="AI165" s="277">
        <v>0</v>
      </c>
      <c r="AJ165" s="277">
        <v>0</v>
      </c>
      <c r="AK165" s="277">
        <v>0</v>
      </c>
      <c r="AL165" s="288">
        <f t="shared" si="93"/>
        <v>0</v>
      </c>
    </row>
    <row r="166" spans="1:38" ht="14.4" customHeight="1">
      <c r="A166" s="404"/>
      <c r="B166" s="286" t="s">
        <v>409</v>
      </c>
      <c r="C166" s="277">
        <v>0</v>
      </c>
      <c r="D166" s="277">
        <v>0</v>
      </c>
      <c r="E166" s="277">
        <v>0</v>
      </c>
      <c r="F166" s="277">
        <v>0</v>
      </c>
      <c r="G166" s="277">
        <v>0</v>
      </c>
      <c r="H166" s="277">
        <v>0</v>
      </c>
      <c r="I166" s="277">
        <v>0</v>
      </c>
      <c r="J166" s="277">
        <v>0</v>
      </c>
      <c r="K166" s="277">
        <v>0</v>
      </c>
      <c r="L166" s="277">
        <v>0</v>
      </c>
      <c r="M166" s="277">
        <v>0</v>
      </c>
      <c r="N166" s="277">
        <v>0</v>
      </c>
      <c r="O166" s="277">
        <v>0</v>
      </c>
      <c r="P166" s="277">
        <v>0</v>
      </c>
      <c r="Q166" s="277">
        <v>0</v>
      </c>
      <c r="R166" s="288">
        <f t="shared" si="92"/>
        <v>0</v>
      </c>
      <c r="U166" s="404"/>
      <c r="V166" s="286" t="s">
        <v>409</v>
      </c>
      <c r="W166" s="277">
        <v>0</v>
      </c>
      <c r="X166" s="277">
        <v>0</v>
      </c>
      <c r="Y166" s="277">
        <v>0</v>
      </c>
      <c r="Z166" s="277">
        <v>0</v>
      </c>
      <c r="AA166" s="277">
        <v>0</v>
      </c>
      <c r="AB166" s="277">
        <v>0</v>
      </c>
      <c r="AC166" s="277">
        <v>0</v>
      </c>
      <c r="AD166" s="277">
        <v>0</v>
      </c>
      <c r="AE166" s="277">
        <v>0</v>
      </c>
      <c r="AF166" s="277">
        <v>0</v>
      </c>
      <c r="AG166" s="277">
        <v>0</v>
      </c>
      <c r="AH166" s="277">
        <v>0</v>
      </c>
      <c r="AI166" s="277">
        <v>0</v>
      </c>
      <c r="AJ166" s="277">
        <v>0</v>
      </c>
      <c r="AK166" s="277">
        <v>0</v>
      </c>
      <c r="AL166" s="288">
        <f t="shared" si="93"/>
        <v>0</v>
      </c>
    </row>
    <row r="167" spans="1:38" ht="14.4" customHeight="1">
      <c r="A167" s="404"/>
      <c r="B167" s="286" t="s">
        <v>37</v>
      </c>
      <c r="C167" s="277">
        <v>0</v>
      </c>
      <c r="D167" s="277">
        <v>0</v>
      </c>
      <c r="E167" s="277">
        <v>0</v>
      </c>
      <c r="F167" s="277">
        <v>0</v>
      </c>
      <c r="G167" s="277">
        <v>0</v>
      </c>
      <c r="H167" s="277">
        <v>0</v>
      </c>
      <c r="I167" s="277">
        <v>0</v>
      </c>
      <c r="J167" s="277">
        <v>0</v>
      </c>
      <c r="K167" s="277">
        <v>0</v>
      </c>
      <c r="L167" s="277">
        <v>0</v>
      </c>
      <c r="M167" s="277">
        <v>0</v>
      </c>
      <c r="N167" s="277">
        <v>0</v>
      </c>
      <c r="O167" s="277">
        <v>0</v>
      </c>
      <c r="P167" s="277">
        <v>0</v>
      </c>
      <c r="Q167" s="277">
        <v>0</v>
      </c>
      <c r="R167" s="288">
        <f t="shared" si="92"/>
        <v>0</v>
      </c>
      <c r="U167" s="404"/>
      <c r="V167" s="286" t="s">
        <v>37</v>
      </c>
      <c r="W167" s="277">
        <v>0</v>
      </c>
      <c r="X167" s="277">
        <v>0</v>
      </c>
      <c r="Y167" s="277">
        <v>0</v>
      </c>
      <c r="Z167" s="277">
        <v>0</v>
      </c>
      <c r="AA167" s="277">
        <v>0</v>
      </c>
      <c r="AB167" s="277">
        <v>0</v>
      </c>
      <c r="AC167" s="277">
        <v>0</v>
      </c>
      <c r="AD167" s="277">
        <v>0</v>
      </c>
      <c r="AE167" s="277">
        <v>0</v>
      </c>
      <c r="AF167" s="277">
        <v>0</v>
      </c>
      <c r="AG167" s="277">
        <v>0</v>
      </c>
      <c r="AH167" s="277">
        <v>0</v>
      </c>
      <c r="AI167" s="277">
        <v>0</v>
      </c>
      <c r="AJ167" s="277">
        <v>0</v>
      </c>
      <c r="AK167" s="277">
        <v>0</v>
      </c>
      <c r="AL167" s="288">
        <f t="shared" si="93"/>
        <v>0</v>
      </c>
    </row>
    <row r="168" spans="1:38" ht="14.4" customHeight="1">
      <c r="A168" s="404"/>
      <c r="B168" s="286" t="s">
        <v>38</v>
      </c>
      <c r="C168" s="277">
        <v>0</v>
      </c>
      <c r="D168" s="277">
        <v>0</v>
      </c>
      <c r="E168" s="277">
        <v>0</v>
      </c>
      <c r="F168" s="277">
        <v>0</v>
      </c>
      <c r="G168" s="277">
        <v>0</v>
      </c>
      <c r="H168" s="277">
        <v>0</v>
      </c>
      <c r="I168" s="277">
        <v>0</v>
      </c>
      <c r="J168" s="277">
        <v>0</v>
      </c>
      <c r="K168" s="277">
        <v>0</v>
      </c>
      <c r="L168" s="277">
        <v>0</v>
      </c>
      <c r="M168" s="277">
        <v>0</v>
      </c>
      <c r="N168" s="277">
        <v>0</v>
      </c>
      <c r="O168" s="277">
        <f>O159*$F$17</f>
        <v>43.265149780304135</v>
      </c>
      <c r="P168" s="277">
        <v>0</v>
      </c>
      <c r="Q168" s="277">
        <v>0</v>
      </c>
      <c r="R168" s="288">
        <f t="shared" si="92"/>
        <v>43.265149780304135</v>
      </c>
      <c r="U168" s="404"/>
      <c r="V168" s="286" t="s">
        <v>38</v>
      </c>
      <c r="W168" s="277">
        <v>0</v>
      </c>
      <c r="X168" s="277">
        <v>0</v>
      </c>
      <c r="Y168" s="277">
        <v>0</v>
      </c>
      <c r="Z168" s="277">
        <v>0</v>
      </c>
      <c r="AA168" s="277">
        <v>0</v>
      </c>
      <c r="AB168" s="277">
        <v>0</v>
      </c>
      <c r="AC168" s="277">
        <v>0</v>
      </c>
      <c r="AD168" s="277">
        <v>0</v>
      </c>
      <c r="AE168" s="277">
        <v>0</v>
      </c>
      <c r="AF168" s="277">
        <v>0</v>
      </c>
      <c r="AG168" s="277">
        <v>0</v>
      </c>
      <c r="AH168" s="277">
        <v>0</v>
      </c>
      <c r="AI168" s="277">
        <f>AI159*$F$17</f>
        <v>40.150168546111807</v>
      </c>
      <c r="AJ168" s="277">
        <v>0</v>
      </c>
      <c r="AK168" s="277">
        <v>0</v>
      </c>
      <c r="AL168" s="288">
        <f t="shared" si="93"/>
        <v>40.150168546111807</v>
      </c>
    </row>
    <row r="169" spans="1:38" ht="14.4" customHeight="1">
      <c r="A169" s="404"/>
      <c r="B169" s="286" t="s">
        <v>39</v>
      </c>
      <c r="C169" s="277">
        <v>0</v>
      </c>
      <c r="D169" s="277">
        <v>0</v>
      </c>
      <c r="E169" s="277">
        <v>0</v>
      </c>
      <c r="F169" s="277">
        <v>0</v>
      </c>
      <c r="G169" s="277">
        <v>0</v>
      </c>
      <c r="H169" s="277">
        <v>0</v>
      </c>
      <c r="I169" s="277">
        <v>0</v>
      </c>
      <c r="J169" s="277">
        <v>0</v>
      </c>
      <c r="K169" s="277">
        <v>0</v>
      </c>
      <c r="L169" s="277">
        <v>0</v>
      </c>
      <c r="M169" s="277">
        <v>0</v>
      </c>
      <c r="N169" s="277">
        <v>0</v>
      </c>
      <c r="O169" s="277">
        <f>O159*$F$18</f>
        <v>232.93099988323081</v>
      </c>
      <c r="P169" s="277">
        <f>P160*$R$18</f>
        <v>47.346878885928213</v>
      </c>
      <c r="Q169" s="277">
        <v>0</v>
      </c>
      <c r="R169" s="288">
        <f t="shared" si="92"/>
        <v>280.27787876915903</v>
      </c>
      <c r="U169" s="404"/>
      <c r="V169" s="286" t="s">
        <v>39</v>
      </c>
      <c r="W169" s="277">
        <v>0</v>
      </c>
      <c r="X169" s="277">
        <v>0</v>
      </c>
      <c r="Y169" s="277">
        <v>0</v>
      </c>
      <c r="Z169" s="277">
        <v>0</v>
      </c>
      <c r="AA169" s="277">
        <v>0</v>
      </c>
      <c r="AB169" s="277">
        <v>0</v>
      </c>
      <c r="AC169" s="277">
        <v>0</v>
      </c>
      <c r="AD169" s="277">
        <v>0</v>
      </c>
      <c r="AE169" s="277">
        <v>0</v>
      </c>
      <c r="AF169" s="277">
        <v>0</v>
      </c>
      <c r="AG169" s="277">
        <v>0</v>
      </c>
      <c r="AH169" s="277">
        <v>0</v>
      </c>
      <c r="AI169" s="277">
        <f>AI159*$F$18</f>
        <v>216.16055768709109</v>
      </c>
      <c r="AJ169" s="277">
        <f>AJ160*$R$18</f>
        <v>47.346878885928213</v>
      </c>
      <c r="AK169" s="277">
        <v>0</v>
      </c>
      <c r="AL169" s="288">
        <f t="shared" si="93"/>
        <v>263.50743657301928</v>
      </c>
    </row>
    <row r="170" spans="1:38" ht="14.4" customHeight="1">
      <c r="A170" s="404"/>
      <c r="B170" s="281" t="s">
        <v>40</v>
      </c>
      <c r="C170" s="282">
        <f>SUM(C158:C169)</f>
        <v>0</v>
      </c>
      <c r="D170" s="282">
        <f t="shared" ref="D170:N170" si="96">SUM(D158:D169)</f>
        <v>0</v>
      </c>
      <c r="E170" s="282">
        <f t="shared" si="96"/>
        <v>0</v>
      </c>
      <c r="F170" s="282">
        <f t="shared" si="96"/>
        <v>0</v>
      </c>
      <c r="G170" s="282">
        <f t="shared" si="96"/>
        <v>0</v>
      </c>
      <c r="H170" s="282">
        <f t="shared" si="96"/>
        <v>1328.8948582241999</v>
      </c>
      <c r="I170" s="282">
        <f t="shared" si="96"/>
        <v>4150.858314042619</v>
      </c>
      <c r="J170" s="282">
        <f t="shared" si="96"/>
        <v>577.47204557418661</v>
      </c>
      <c r="K170" s="282">
        <f t="shared" si="96"/>
        <v>1611.5884060986903</v>
      </c>
      <c r="L170" s="282">
        <f t="shared" si="96"/>
        <v>68.82199760005895</v>
      </c>
      <c r="M170" s="282">
        <f t="shared" si="96"/>
        <v>0</v>
      </c>
      <c r="N170" s="282">
        <f t="shared" si="96"/>
        <v>0</v>
      </c>
      <c r="O170" s="282">
        <f>-O180</f>
        <v>-3364.3511983199737</v>
      </c>
      <c r="P170" s="282">
        <f>-P172</f>
        <v>-514.38887559807858</v>
      </c>
      <c r="Q170" s="282">
        <f t="shared" ref="Q170" si="97">SUM(Q158:Q169)</f>
        <v>0</v>
      </c>
      <c r="R170" s="282">
        <f t="shared" si="92"/>
        <v>3858.8955476217016</v>
      </c>
      <c r="U170" s="404"/>
      <c r="V170" s="281" t="s">
        <v>40</v>
      </c>
      <c r="W170" s="282">
        <f>SUM(W158:W169)</f>
        <v>0</v>
      </c>
      <c r="X170" s="282">
        <f t="shared" ref="X170:AH170" si="98">SUM(X158:X169)</f>
        <v>0</v>
      </c>
      <c r="Y170" s="282">
        <f t="shared" si="98"/>
        <v>0</v>
      </c>
      <c r="Z170" s="282">
        <f t="shared" si="98"/>
        <v>0</v>
      </c>
      <c r="AA170" s="282">
        <f t="shared" si="98"/>
        <v>0</v>
      </c>
      <c r="AB170" s="282">
        <f t="shared" si="98"/>
        <v>1489.3632368093063</v>
      </c>
      <c r="AC170" s="282">
        <f t="shared" si="98"/>
        <v>3521.9981613744931</v>
      </c>
      <c r="AD170" s="282">
        <f t="shared" si="98"/>
        <v>524.60518072394814</v>
      </c>
      <c r="AE170" s="282">
        <f t="shared" si="98"/>
        <v>1169.4778117533347</v>
      </c>
      <c r="AF170" s="282">
        <f t="shared" si="98"/>
        <v>63.787058090512417</v>
      </c>
      <c r="AG170" s="282">
        <f t="shared" si="98"/>
        <v>0</v>
      </c>
      <c r="AH170" s="282">
        <f t="shared" si="98"/>
        <v>0</v>
      </c>
      <c r="AI170" s="282">
        <f>-AI180</f>
        <v>-3122.1264307827073</v>
      </c>
      <c r="AJ170" s="282">
        <f>-AJ172</f>
        <v>-514.38887559807858</v>
      </c>
      <c r="AK170" s="282">
        <f t="shared" ref="AK170" si="99">SUM(AK158:AK169)</f>
        <v>0</v>
      </c>
      <c r="AL170" s="282">
        <f t="shared" si="93"/>
        <v>3132.7161423708085</v>
      </c>
    </row>
    <row r="171" spans="1:38" ht="14.4" customHeight="1">
      <c r="A171" s="404"/>
      <c r="B171" s="283"/>
      <c r="C171" s="284"/>
      <c r="D171" s="284"/>
      <c r="E171" s="291"/>
      <c r="F171" s="284"/>
      <c r="G171" s="284"/>
      <c r="H171" s="284"/>
      <c r="I171" s="291"/>
      <c r="J171" s="284"/>
      <c r="K171" s="284"/>
      <c r="L171" s="284"/>
      <c r="M171" s="292"/>
      <c r="N171" s="284"/>
      <c r="O171" s="284"/>
      <c r="P171" s="284"/>
      <c r="Q171" s="284"/>
      <c r="R171" s="284"/>
      <c r="U171" s="404"/>
      <c r="V171" s="283"/>
      <c r="W171" s="284"/>
      <c r="X171" s="284"/>
      <c r="Y171" s="291"/>
      <c r="Z171" s="284"/>
      <c r="AA171" s="284"/>
      <c r="AB171" s="284"/>
      <c r="AC171" s="291"/>
      <c r="AD171" s="284"/>
      <c r="AE171" s="284"/>
      <c r="AF171" s="284"/>
      <c r="AG171" s="292"/>
      <c r="AH171" s="284"/>
      <c r="AI171" s="284"/>
      <c r="AJ171" s="284"/>
      <c r="AK171" s="284"/>
      <c r="AL171" s="284"/>
    </row>
    <row r="172" spans="1:38" ht="14.4" customHeight="1">
      <c r="A172" s="404"/>
      <c r="B172" s="286" t="s">
        <v>41</v>
      </c>
      <c r="C172" s="277">
        <v>0</v>
      </c>
      <c r="D172" s="277">
        <v>0</v>
      </c>
      <c r="E172" s="277">
        <f>Industrie!$F$35</f>
        <v>323.36168396024226</v>
      </c>
      <c r="F172" s="277">
        <v>0</v>
      </c>
      <c r="G172" s="277">
        <v>0</v>
      </c>
      <c r="H172" s="277">
        <v>0</v>
      </c>
      <c r="I172" s="277">
        <f>Industrie!$F$38*$I$49/SUM($I$49:$N$49)</f>
        <v>28.230129613709405</v>
      </c>
      <c r="J172" s="277">
        <f>Industrie!$F$38*$J$49/SUM($I$49:$N$49)</f>
        <v>0</v>
      </c>
      <c r="K172" s="277">
        <f>Industrie!$F$38*$K$49/SUM($I$49:$N$49)</f>
        <v>0</v>
      </c>
      <c r="L172" s="277">
        <f>Industrie!$F$38*$L$49/SUM($I$49:$N$49)</f>
        <v>4.7080373074703887</v>
      </c>
      <c r="M172" s="277">
        <f>Industrie!$F$38*$M$49/SUM($I$49:$N$49)</f>
        <v>0</v>
      </c>
      <c r="N172" s="277">
        <f>Industrie!$F$38*$N$49/SUM($I$49:$N$49)</f>
        <v>9.5981053008737174E-2</v>
      </c>
      <c r="O172" s="277">
        <f>Industrie!$F$36</f>
        <v>344.62075660814747</v>
      </c>
      <c r="P172" s="277">
        <f>Industrie!$F$39</f>
        <v>514.38887559807858</v>
      </c>
      <c r="Q172" s="277">
        <v>0</v>
      </c>
      <c r="R172" s="288">
        <f>SUM(C172:Q172)</f>
        <v>1215.4054641406569</v>
      </c>
      <c r="U172" s="404"/>
      <c r="V172" s="286" t="s">
        <v>41</v>
      </c>
      <c r="W172" s="277">
        <v>0</v>
      </c>
      <c r="X172" s="277">
        <v>0</v>
      </c>
      <c r="Y172" s="277">
        <f>Industrie!$F$56</f>
        <v>130.63045671189141</v>
      </c>
      <c r="Z172" s="277">
        <v>0</v>
      </c>
      <c r="AA172" s="277">
        <v>0</v>
      </c>
      <c r="AB172" s="277">
        <v>0</v>
      </c>
      <c r="AC172" s="277">
        <f>Industrie!$F$62*$AC$49/SUM($I$49:$N$49)</f>
        <v>102.65240576577229</v>
      </c>
      <c r="AD172" s="277">
        <f>Industrie!$F$62*$AD$49/SUM($I$49:$N$49)</f>
        <v>0</v>
      </c>
      <c r="AE172" s="277">
        <f>Industrie!$F$62*$AE$49/SUM($I$49:$N$49)</f>
        <v>0</v>
      </c>
      <c r="AF172" s="277">
        <f>Industrie!$F$62*$AF$49/SUM($I$49:$N$49)</f>
        <v>17.119700216046592</v>
      </c>
      <c r="AG172" s="277">
        <f>Industrie!$F$62*$AG$49/SUM($I$49:$N$49)</f>
        <v>0</v>
      </c>
      <c r="AH172" s="277">
        <f>Industrie!$F$62*$AH$49/SUM($I$49:$N$49)</f>
        <v>0.34901313363060948</v>
      </c>
      <c r="AI172" s="277">
        <f>Industrie!$F$57</f>
        <v>396.03805681631343</v>
      </c>
      <c r="AJ172" s="277">
        <f>Industrie!$F$63</f>
        <v>514.38887559807858</v>
      </c>
      <c r="AK172" s="277">
        <v>0</v>
      </c>
      <c r="AL172" s="288">
        <f>SUM(W172:AK172)</f>
        <v>1161.178508241733</v>
      </c>
    </row>
    <row r="173" spans="1:38" ht="14.4" customHeight="1">
      <c r="A173" s="404"/>
      <c r="B173" s="286" t="s">
        <v>42</v>
      </c>
      <c r="C173" s="277">
        <v>0</v>
      </c>
      <c r="D173" s="277">
        <v>0</v>
      </c>
      <c r="E173" s="277">
        <f>Transports!$H$44</f>
        <v>3959.7601930089972</v>
      </c>
      <c r="F173" s="277">
        <v>0</v>
      </c>
      <c r="G173" s="277">
        <v>0</v>
      </c>
      <c r="H173" s="277">
        <v>0</v>
      </c>
      <c r="I173" s="277">
        <v>0</v>
      </c>
      <c r="J173" s="277">
        <v>0</v>
      </c>
      <c r="K173" s="277">
        <v>0</v>
      </c>
      <c r="L173" s="277">
        <v>0</v>
      </c>
      <c r="M173" s="277">
        <v>0</v>
      </c>
      <c r="N173" s="277">
        <v>0</v>
      </c>
      <c r="O173" s="277">
        <f>Transports!$H$45</f>
        <v>334.89736315986852</v>
      </c>
      <c r="P173" s="277">
        <v>0</v>
      </c>
      <c r="Q173" s="277">
        <v>0</v>
      </c>
      <c r="R173" s="288">
        <f t="shared" ref="R173:R180" si="100">SUM(C173:Q173)</f>
        <v>4294.657556168866</v>
      </c>
      <c r="U173" s="404"/>
      <c r="V173" s="286" t="s">
        <v>42</v>
      </c>
      <c r="W173" s="277">
        <v>0</v>
      </c>
      <c r="X173" s="277">
        <v>0</v>
      </c>
      <c r="Y173" s="277">
        <f>Transports!$H$71</f>
        <v>2892.1927217606208</v>
      </c>
      <c r="Z173" s="277">
        <v>0</v>
      </c>
      <c r="AA173" s="277">
        <v>0</v>
      </c>
      <c r="AB173" s="277">
        <v>0</v>
      </c>
      <c r="AC173" s="277">
        <v>0</v>
      </c>
      <c r="AD173" s="277">
        <v>0</v>
      </c>
      <c r="AE173" s="277">
        <v>0</v>
      </c>
      <c r="AF173" s="277">
        <v>0</v>
      </c>
      <c r="AG173" s="277">
        <v>0</v>
      </c>
      <c r="AH173" s="277">
        <v>0</v>
      </c>
      <c r="AI173" s="277">
        <f>Transports!$H$72</f>
        <v>699.07120418567956</v>
      </c>
      <c r="AJ173" s="277">
        <v>0</v>
      </c>
      <c r="AK173" s="277">
        <v>0</v>
      </c>
      <c r="AL173" s="288">
        <f t="shared" ref="AL173:AL180" si="101">SUM(W173:AK173)</f>
        <v>3591.2639259463003</v>
      </c>
    </row>
    <row r="174" spans="1:38" ht="14.4" customHeight="1">
      <c r="A174" s="404"/>
      <c r="B174" s="286" t="s">
        <v>43</v>
      </c>
      <c r="C174" s="277">
        <v>0</v>
      </c>
      <c r="D174" s="277">
        <v>0</v>
      </c>
      <c r="E174" s="277">
        <f>'Résidentiel-tertiaire'!$F$163</f>
        <v>105.36889992015332</v>
      </c>
      <c r="F174" s="277">
        <v>0</v>
      </c>
      <c r="G174" s="277">
        <v>0</v>
      </c>
      <c r="H174" s="277">
        <v>0</v>
      </c>
      <c r="I174" s="277">
        <f>'Résidentiel-tertiaire'!$F$164*$I$51/SUM($I$51:$N$51)</f>
        <v>0</v>
      </c>
      <c r="J174" s="277">
        <f>'Résidentiel-tertiaire'!$F$164*$J$51/SUM($I$51:$N$51)</f>
        <v>0</v>
      </c>
      <c r="K174" s="277">
        <f>'Résidentiel-tertiaire'!$F$164*$K$51/SUM($I$51:$N$51)</f>
        <v>0</v>
      </c>
      <c r="L174" s="277">
        <f>'Résidentiel-tertiaire'!$F$164*$L$51/SUM($I$51:$N$51)</f>
        <v>0</v>
      </c>
      <c r="M174" s="277">
        <f>'Résidentiel-tertiaire'!$F$164*$M$51/SUM($I$51:$N$51)</f>
        <v>0</v>
      </c>
      <c r="N174" s="277">
        <f>'Résidentiel-tertiaire'!$F$164*$N$51/SUM($I$51:$N$51)</f>
        <v>724.98384401583746</v>
      </c>
      <c r="O174" s="277">
        <f>'Résidentiel-tertiaire'!$F$165</f>
        <v>1408.7363793672673</v>
      </c>
      <c r="P174" s="277">
        <v>0</v>
      </c>
      <c r="Q174" s="277">
        <v>0</v>
      </c>
      <c r="R174" s="288">
        <f t="shared" si="100"/>
        <v>2239.089123303258</v>
      </c>
      <c r="U174" s="404"/>
      <c r="V174" s="286" t="s">
        <v>43</v>
      </c>
      <c r="W174" s="277">
        <v>0</v>
      </c>
      <c r="X174" s="277">
        <v>0</v>
      </c>
      <c r="Y174" s="277">
        <f>'Résidentiel-tertiaire'!$F$177</f>
        <v>65.500000000000014</v>
      </c>
      <c r="Z174" s="277">
        <v>0</v>
      </c>
      <c r="AA174" s="277">
        <v>0</v>
      </c>
      <c r="AB174" s="277">
        <v>0</v>
      </c>
      <c r="AC174" s="277">
        <f>'Résidentiel-tertiaire'!$F$178*$AC$51/SUM($I$51:$N$51)</f>
        <v>0</v>
      </c>
      <c r="AD174" s="277">
        <f>'Résidentiel-tertiaire'!$F$178*$AD$51/SUM($I$51:$N$51)</f>
        <v>0</v>
      </c>
      <c r="AE174" s="277">
        <f>'Résidentiel-tertiaire'!$F$178*$AE$51/SUM($I$51:$N$51)</f>
        <v>0</v>
      </c>
      <c r="AF174" s="277">
        <f>'Résidentiel-tertiaire'!$F$178*$AF$51/SUM($I$51:$N$51)</f>
        <v>0</v>
      </c>
      <c r="AG174" s="277">
        <f>'Résidentiel-tertiaire'!$F$178*$AG$51/SUM($I$51:$N$51)</f>
        <v>0</v>
      </c>
      <c r="AH174" s="277">
        <f>'Résidentiel-tertiaire'!$F$178*$AH$51/SUM($I$51:$N$51)</f>
        <v>545.61921733129645</v>
      </c>
      <c r="AI174" s="277">
        <f>'Résidentiel-tertiaire'!$F$179</f>
        <v>996.8383219854112</v>
      </c>
      <c r="AJ174" s="277">
        <v>0</v>
      </c>
      <c r="AK174" s="277">
        <v>0</v>
      </c>
      <c r="AL174" s="288">
        <f t="shared" si="101"/>
        <v>1607.9575393167077</v>
      </c>
    </row>
    <row r="175" spans="1:38" ht="14.4" customHeight="1">
      <c r="A175" s="404"/>
      <c r="B175" s="286" t="s">
        <v>44</v>
      </c>
      <c r="C175" s="277">
        <v>0</v>
      </c>
      <c r="D175" s="277">
        <v>0</v>
      </c>
      <c r="E175" s="277">
        <f>'Résidentiel-tertiaire'!$F$168</f>
        <v>352.26195630971876</v>
      </c>
      <c r="F175" s="277">
        <v>0</v>
      </c>
      <c r="G175" s="277">
        <v>0</v>
      </c>
      <c r="H175" s="277">
        <v>0</v>
      </c>
      <c r="I175" s="277">
        <f>'Résidentiel-tertiaire'!$F$169*$I$52/SUM($I$52:$N$52)</f>
        <v>0</v>
      </c>
      <c r="J175" s="277">
        <f>'Résidentiel-tertiaire'!$F$169*$J$52/SUM($I$52:$N$52)</f>
        <v>0</v>
      </c>
      <c r="K175" s="277">
        <f>'Résidentiel-tertiaire'!$F$169*$K$52/SUM($I$52:$N$52)</f>
        <v>0</v>
      </c>
      <c r="L175" s="277">
        <f>'Résidentiel-tertiaire'!$F$169*$L$52/SUM($I$52:$N$52)</f>
        <v>0</v>
      </c>
      <c r="M175" s="277">
        <f>'Résidentiel-tertiaire'!$F$169*$M$52/SUM($I$52:$N$52)</f>
        <v>0</v>
      </c>
      <c r="N175" s="277">
        <f>'Résidentiel-tertiaire'!$F$169*$N$52/SUM($I$52:$N$52)</f>
        <v>1.0578437126417981</v>
      </c>
      <c r="O175" s="277">
        <f>'Résidentiel-tertiaire'!$F$170</f>
        <v>1255.6604869058142</v>
      </c>
      <c r="P175" s="277">
        <v>0</v>
      </c>
      <c r="Q175" s="277">
        <v>0</v>
      </c>
      <c r="R175" s="288">
        <f t="shared" si="100"/>
        <v>1608.9802869281748</v>
      </c>
      <c r="U175" s="404"/>
      <c r="V175" s="286" t="s">
        <v>44</v>
      </c>
      <c r="W175" s="277">
        <v>0</v>
      </c>
      <c r="X175" s="277">
        <v>0</v>
      </c>
      <c r="Y175" s="277">
        <f>'Résidentiel-tertiaire'!$F$182</f>
        <v>140.00000000000003</v>
      </c>
      <c r="Z175" s="277">
        <v>0</v>
      </c>
      <c r="AA175" s="277">
        <v>0</v>
      </c>
      <c r="AB175" s="277">
        <v>0</v>
      </c>
      <c r="AC175" s="277">
        <f>'Résidentiel-tertiaire'!$F$183*$AC$52/SUM($I$52:$N$52)</f>
        <v>0</v>
      </c>
      <c r="AD175" s="277">
        <f>'Résidentiel-tertiaire'!$F$183*$AD$52/SUM($I$52:$N$52)</f>
        <v>0</v>
      </c>
      <c r="AE175" s="277">
        <f>'Résidentiel-tertiaire'!$F$183*$AE$52/SUM($I$52:$N$52)</f>
        <v>0</v>
      </c>
      <c r="AF175" s="277">
        <f>'Résidentiel-tertiaire'!$F$183*$AF$52/SUM($I$52:$N$52)</f>
        <v>0</v>
      </c>
      <c r="AG175" s="277">
        <f>'Résidentiel-tertiaire'!$F$183*$AG$52/SUM($I$52:$N$52)</f>
        <v>0</v>
      </c>
      <c r="AH175" s="277">
        <f>'Résidentiel-tertiaire'!$F$183*$AH$52/SUM($I$52:$N$52)</f>
        <v>0.8170775485156383</v>
      </c>
      <c r="AI175" s="277">
        <f>'Résidentiel-tertiaire'!$F$184</f>
        <v>1019.4330413436907</v>
      </c>
      <c r="AJ175" s="277">
        <v>0</v>
      </c>
      <c r="AK175" s="277">
        <v>0</v>
      </c>
      <c r="AL175" s="288">
        <f t="shared" si="101"/>
        <v>1160.2501188922063</v>
      </c>
    </row>
    <row r="176" spans="1:38" ht="14.4" customHeight="1">
      <c r="A176" s="404"/>
      <c r="B176" s="286" t="s">
        <v>4</v>
      </c>
      <c r="C176" s="277">
        <v>0</v>
      </c>
      <c r="D176" s="277">
        <v>0</v>
      </c>
      <c r="E176" s="277">
        <f>Agriculture!$P$27</f>
        <v>104.22468262226846</v>
      </c>
      <c r="F176" s="277">
        <v>0</v>
      </c>
      <c r="G176" s="277">
        <v>0</v>
      </c>
      <c r="H176" s="277">
        <v>0</v>
      </c>
      <c r="I176" s="277">
        <v>0</v>
      </c>
      <c r="J176" s="277">
        <v>0</v>
      </c>
      <c r="K176" s="277">
        <v>0</v>
      </c>
      <c r="L176" s="277">
        <v>0</v>
      </c>
      <c r="M176" s="277">
        <v>0</v>
      </c>
      <c r="N176" s="277">
        <v>0</v>
      </c>
      <c r="O176" s="277">
        <f>Agriculture!$P$28</f>
        <v>20.43621227887617</v>
      </c>
      <c r="P176" s="277">
        <v>0</v>
      </c>
      <c r="Q176" s="277">
        <v>0</v>
      </c>
      <c r="R176" s="288">
        <f t="shared" si="100"/>
        <v>124.66089490114463</v>
      </c>
      <c r="U176" s="404"/>
      <c r="V176" s="286" t="s">
        <v>4</v>
      </c>
      <c r="W176" s="277">
        <v>0</v>
      </c>
      <c r="X176" s="277">
        <v>0</v>
      </c>
      <c r="Y176" s="277">
        <f>Agriculture!$U$43</f>
        <v>49.354838709677416</v>
      </c>
      <c r="Z176" s="277">
        <v>0</v>
      </c>
      <c r="AA176" s="277">
        <v>0</v>
      </c>
      <c r="AB176" s="277">
        <v>0</v>
      </c>
      <c r="AC176" s="277">
        <v>0</v>
      </c>
      <c r="AD176" s="277">
        <v>0</v>
      </c>
      <c r="AE176" s="277">
        <f>Agriculture!$U$45</f>
        <v>49.03896774193548</v>
      </c>
      <c r="AF176" s="277">
        <v>0</v>
      </c>
      <c r="AG176" s="277">
        <v>0</v>
      </c>
      <c r="AH176" s="277">
        <v>0</v>
      </c>
      <c r="AI176" s="277">
        <f>Agriculture!$U$44</f>
        <v>10.745806451612903</v>
      </c>
      <c r="AJ176" s="277">
        <v>0</v>
      </c>
      <c r="AK176" s="277">
        <v>0</v>
      </c>
      <c r="AL176" s="288">
        <f t="shared" si="101"/>
        <v>109.13961290322581</v>
      </c>
    </row>
    <row r="177" spans="1:38" ht="14.4" customHeight="1">
      <c r="A177" s="404"/>
      <c r="B177" s="286" t="s">
        <v>410</v>
      </c>
      <c r="C177" s="277">
        <v>0</v>
      </c>
      <c r="D177" s="277">
        <v>0</v>
      </c>
      <c r="E177" s="277">
        <v>0</v>
      </c>
      <c r="F177" s="277">
        <v>0</v>
      </c>
      <c r="G177" s="277">
        <v>0</v>
      </c>
      <c r="H177" s="277">
        <v>0</v>
      </c>
      <c r="I177" s="277">
        <v>0</v>
      </c>
      <c r="J177" s="277">
        <v>0</v>
      </c>
      <c r="K177" s="277">
        <v>0</v>
      </c>
      <c r="L177" s="277">
        <v>0</v>
      </c>
      <c r="M177" s="277">
        <v>0</v>
      </c>
      <c r="N177" s="277">
        <v>0</v>
      </c>
      <c r="O177" s="277">
        <v>0</v>
      </c>
      <c r="P177" s="277">
        <v>0</v>
      </c>
      <c r="Q177" s="277">
        <v>0</v>
      </c>
      <c r="R177" s="288">
        <f t="shared" si="100"/>
        <v>0</v>
      </c>
      <c r="U177" s="404"/>
      <c r="V177" s="286" t="s">
        <v>410</v>
      </c>
      <c r="W177" s="277">
        <v>0</v>
      </c>
      <c r="X177" s="277">
        <v>0</v>
      </c>
      <c r="Y177" s="277">
        <v>0</v>
      </c>
      <c r="Z177" s="277">
        <v>0</v>
      </c>
      <c r="AA177" s="277">
        <v>0</v>
      </c>
      <c r="AB177" s="277">
        <v>0</v>
      </c>
      <c r="AC177" s="277">
        <v>0</v>
      </c>
      <c r="AD177" s="277">
        <v>0</v>
      </c>
      <c r="AE177" s="277">
        <v>0</v>
      </c>
      <c r="AF177" s="277">
        <v>0</v>
      </c>
      <c r="AG177" s="277">
        <v>0</v>
      </c>
      <c r="AH177" s="277">
        <v>0</v>
      </c>
      <c r="AI177" s="277">
        <v>0</v>
      </c>
      <c r="AJ177" s="277">
        <v>0</v>
      </c>
      <c r="AK177" s="277">
        <v>0</v>
      </c>
      <c r="AL177" s="288">
        <f t="shared" si="101"/>
        <v>0</v>
      </c>
    </row>
    <row r="178" spans="1:38" ht="14.4" customHeight="1">
      <c r="A178" s="404"/>
      <c r="B178" s="281" t="s">
        <v>45</v>
      </c>
      <c r="C178" s="282">
        <f>SUM(C172:C177)</f>
        <v>0</v>
      </c>
      <c r="D178" s="282">
        <f t="shared" ref="D178:Q178" si="102">SUM(D172:D177)</f>
        <v>0</v>
      </c>
      <c r="E178" s="282">
        <f t="shared" si="102"/>
        <v>4844.9774158213795</v>
      </c>
      <c r="F178" s="282">
        <f t="shared" si="102"/>
        <v>0</v>
      </c>
      <c r="G178" s="282">
        <f t="shared" si="102"/>
        <v>0</v>
      </c>
      <c r="H178" s="282">
        <f t="shared" si="102"/>
        <v>0</v>
      </c>
      <c r="I178" s="282">
        <f t="shared" si="102"/>
        <v>28.230129613709405</v>
      </c>
      <c r="J178" s="282">
        <f t="shared" si="102"/>
        <v>0</v>
      </c>
      <c r="K178" s="282">
        <f t="shared" si="102"/>
        <v>0</v>
      </c>
      <c r="L178" s="282">
        <f t="shared" si="102"/>
        <v>4.7080373074703887</v>
      </c>
      <c r="M178" s="282">
        <f t="shared" si="102"/>
        <v>0</v>
      </c>
      <c r="N178" s="282">
        <f t="shared" si="102"/>
        <v>726.13766878148795</v>
      </c>
      <c r="O178" s="282">
        <f t="shared" si="102"/>
        <v>3364.3511983199737</v>
      </c>
      <c r="P178" s="282">
        <f t="shared" si="102"/>
        <v>514.38887559807858</v>
      </c>
      <c r="Q178" s="282">
        <f t="shared" si="102"/>
        <v>0</v>
      </c>
      <c r="R178" s="282">
        <f t="shared" si="100"/>
        <v>9482.7933254421005</v>
      </c>
      <c r="U178" s="404"/>
      <c r="V178" s="281" t="s">
        <v>45</v>
      </c>
      <c r="W178" s="282">
        <f>SUM(W172:W177)</f>
        <v>0</v>
      </c>
      <c r="X178" s="282">
        <f t="shared" ref="X178:AK178" si="103">SUM(X172:X177)</f>
        <v>0</v>
      </c>
      <c r="Y178" s="282">
        <f t="shared" si="103"/>
        <v>3277.6780171821897</v>
      </c>
      <c r="Z178" s="282">
        <f t="shared" si="103"/>
        <v>0</v>
      </c>
      <c r="AA178" s="282">
        <f t="shared" si="103"/>
        <v>0</v>
      </c>
      <c r="AB178" s="282">
        <f t="shared" si="103"/>
        <v>0</v>
      </c>
      <c r="AC178" s="282">
        <f t="shared" si="103"/>
        <v>102.65240576577229</v>
      </c>
      <c r="AD178" s="282">
        <f t="shared" si="103"/>
        <v>0</v>
      </c>
      <c r="AE178" s="282">
        <f t="shared" si="103"/>
        <v>49.03896774193548</v>
      </c>
      <c r="AF178" s="282">
        <f t="shared" si="103"/>
        <v>17.119700216046592</v>
      </c>
      <c r="AG178" s="282">
        <f t="shared" si="103"/>
        <v>0</v>
      </c>
      <c r="AH178" s="282">
        <f t="shared" si="103"/>
        <v>546.78530801344266</v>
      </c>
      <c r="AI178" s="282">
        <f t="shared" si="103"/>
        <v>3122.1264307827073</v>
      </c>
      <c r="AJ178" s="282">
        <f t="shared" si="103"/>
        <v>514.38887559807858</v>
      </c>
      <c r="AK178" s="282">
        <f t="shared" si="103"/>
        <v>0</v>
      </c>
      <c r="AL178" s="282">
        <f t="shared" si="101"/>
        <v>7629.7897053001725</v>
      </c>
    </row>
    <row r="179" spans="1:38" ht="14.4" customHeight="1">
      <c r="A179" s="404"/>
      <c r="B179" s="276" t="s">
        <v>46</v>
      </c>
      <c r="C179" s="277">
        <v>0</v>
      </c>
      <c r="D179" s="277">
        <v>0</v>
      </c>
      <c r="E179" s="277">
        <f>Industrie!$F$37</f>
        <v>316.18398775294742</v>
      </c>
      <c r="F179" s="277">
        <v>0</v>
      </c>
      <c r="G179" s="277">
        <v>0</v>
      </c>
      <c r="H179" s="277">
        <v>0</v>
      </c>
      <c r="I179" s="277">
        <v>0</v>
      </c>
      <c r="J179" s="277">
        <v>0</v>
      </c>
      <c r="K179" s="277">
        <v>0</v>
      </c>
      <c r="L179" s="277">
        <v>0</v>
      </c>
      <c r="M179" s="277">
        <v>0</v>
      </c>
      <c r="N179" s="277">
        <v>0</v>
      </c>
      <c r="O179" s="277">
        <v>0</v>
      </c>
      <c r="P179" s="277">
        <v>0</v>
      </c>
      <c r="Q179" s="277">
        <v>0</v>
      </c>
      <c r="R179" s="288">
        <f t="shared" si="100"/>
        <v>316.18398775294742</v>
      </c>
      <c r="U179" s="404"/>
      <c r="V179" s="276" t="s">
        <v>46</v>
      </c>
      <c r="W179" s="277">
        <v>0</v>
      </c>
      <c r="X179" s="277">
        <v>0</v>
      </c>
      <c r="Y179" s="277">
        <f>Industrie!$F$59</f>
        <v>316.18398775294742</v>
      </c>
      <c r="Z179" s="277">
        <v>0</v>
      </c>
      <c r="AA179" s="277">
        <v>0</v>
      </c>
      <c r="AB179" s="277">
        <v>0</v>
      </c>
      <c r="AC179" s="277">
        <v>0</v>
      </c>
      <c r="AD179" s="277">
        <v>0</v>
      </c>
      <c r="AE179" s="277">
        <v>0</v>
      </c>
      <c r="AF179" s="277">
        <v>0</v>
      </c>
      <c r="AG179" s="277">
        <v>0</v>
      </c>
      <c r="AH179" s="277">
        <v>0</v>
      </c>
      <c r="AI179" s="277">
        <v>0</v>
      </c>
      <c r="AJ179" s="277">
        <v>0</v>
      </c>
      <c r="AK179" s="277">
        <v>0</v>
      </c>
      <c r="AL179" s="288">
        <f t="shared" si="101"/>
        <v>316.18398775294742</v>
      </c>
    </row>
    <row r="180" spans="1:38" ht="14.4" customHeight="1">
      <c r="A180" s="404"/>
      <c r="B180" s="281" t="s">
        <v>47</v>
      </c>
      <c r="C180" s="282">
        <f>C179+C178</f>
        <v>0</v>
      </c>
      <c r="D180" s="282">
        <f t="shared" ref="D180:Q180" si="104">D179+D178</f>
        <v>0</v>
      </c>
      <c r="E180" s="282">
        <f t="shared" si="104"/>
        <v>5161.1614035743269</v>
      </c>
      <c r="F180" s="282">
        <f t="shared" si="104"/>
        <v>0</v>
      </c>
      <c r="G180" s="282">
        <f t="shared" si="104"/>
        <v>0</v>
      </c>
      <c r="H180" s="282">
        <f t="shared" si="104"/>
        <v>0</v>
      </c>
      <c r="I180" s="282">
        <f t="shared" si="104"/>
        <v>28.230129613709405</v>
      </c>
      <c r="J180" s="282">
        <f t="shared" si="104"/>
        <v>0</v>
      </c>
      <c r="K180" s="282">
        <f t="shared" si="104"/>
        <v>0</v>
      </c>
      <c r="L180" s="282">
        <f t="shared" si="104"/>
        <v>4.7080373074703887</v>
      </c>
      <c r="M180" s="282">
        <f t="shared" si="104"/>
        <v>0</v>
      </c>
      <c r="N180" s="282">
        <f t="shared" si="104"/>
        <v>726.13766878148795</v>
      </c>
      <c r="O180" s="282">
        <f t="shared" si="104"/>
        <v>3364.3511983199737</v>
      </c>
      <c r="P180" s="282">
        <f t="shared" si="104"/>
        <v>514.38887559807858</v>
      </c>
      <c r="Q180" s="282">
        <f t="shared" si="104"/>
        <v>0</v>
      </c>
      <c r="R180" s="282">
        <f t="shared" si="100"/>
        <v>9798.9773131950478</v>
      </c>
      <c r="U180" s="404"/>
      <c r="V180" s="281" t="s">
        <v>47</v>
      </c>
      <c r="W180" s="282">
        <f>W179+W178</f>
        <v>0</v>
      </c>
      <c r="X180" s="282">
        <f t="shared" ref="X180:AK180" si="105">X179+X178</f>
        <v>0</v>
      </c>
      <c r="Y180" s="282">
        <f t="shared" si="105"/>
        <v>3593.8620049351371</v>
      </c>
      <c r="Z180" s="282">
        <f t="shared" si="105"/>
        <v>0</v>
      </c>
      <c r="AA180" s="282">
        <f t="shared" si="105"/>
        <v>0</v>
      </c>
      <c r="AB180" s="282">
        <f t="shared" si="105"/>
        <v>0</v>
      </c>
      <c r="AC180" s="282">
        <f t="shared" si="105"/>
        <v>102.65240576577229</v>
      </c>
      <c r="AD180" s="282">
        <f t="shared" si="105"/>
        <v>0</v>
      </c>
      <c r="AE180" s="282">
        <f t="shared" si="105"/>
        <v>49.03896774193548</v>
      </c>
      <c r="AF180" s="282">
        <f t="shared" si="105"/>
        <v>17.119700216046592</v>
      </c>
      <c r="AG180" s="282">
        <f t="shared" si="105"/>
        <v>0</v>
      </c>
      <c r="AH180" s="282">
        <f t="shared" si="105"/>
        <v>546.78530801344266</v>
      </c>
      <c r="AI180" s="282">
        <f t="shared" si="105"/>
        <v>3122.1264307827073</v>
      </c>
      <c r="AJ180" s="282">
        <f t="shared" si="105"/>
        <v>514.38887559807858</v>
      </c>
      <c r="AK180" s="282">
        <f t="shared" si="105"/>
        <v>0</v>
      </c>
      <c r="AL180" s="282">
        <f t="shared" si="101"/>
        <v>7945.9736930531199</v>
      </c>
    </row>
    <row r="189" spans="1:38" ht="14.4" customHeight="1">
      <c r="A189" s="404">
        <v>2040</v>
      </c>
      <c r="B189" s="408" t="s">
        <v>12</v>
      </c>
      <c r="C189" s="407" t="s">
        <v>14</v>
      </c>
      <c r="D189" s="407" t="s">
        <v>15</v>
      </c>
      <c r="E189" s="407" t="s">
        <v>16</v>
      </c>
      <c r="F189" s="407" t="s">
        <v>17</v>
      </c>
      <c r="G189" s="407" t="s">
        <v>395</v>
      </c>
      <c r="H189" s="407" t="s">
        <v>18</v>
      </c>
      <c r="I189" s="407" t="s">
        <v>19</v>
      </c>
      <c r="J189" s="407"/>
      <c r="K189" s="407"/>
      <c r="L189" s="407"/>
      <c r="M189" s="407"/>
      <c r="N189" s="407"/>
      <c r="O189" s="399" t="s">
        <v>396</v>
      </c>
      <c r="P189" s="399" t="s">
        <v>21</v>
      </c>
      <c r="Q189" s="399" t="s">
        <v>397</v>
      </c>
      <c r="R189" s="399" t="s">
        <v>23</v>
      </c>
      <c r="U189" s="404">
        <v>2040</v>
      </c>
      <c r="V189" s="405" t="s">
        <v>12</v>
      </c>
      <c r="W189" s="399" t="s">
        <v>14</v>
      </c>
      <c r="X189" s="399" t="s">
        <v>15</v>
      </c>
      <c r="Y189" s="399" t="s">
        <v>16</v>
      </c>
      <c r="Z189" s="399" t="s">
        <v>17</v>
      </c>
      <c r="AA189" s="399" t="s">
        <v>395</v>
      </c>
      <c r="AB189" s="399" t="s">
        <v>18</v>
      </c>
      <c r="AC189" s="401" t="s">
        <v>19</v>
      </c>
      <c r="AD189" s="402"/>
      <c r="AE189" s="402"/>
      <c r="AF189" s="402"/>
      <c r="AG189" s="402"/>
      <c r="AH189" s="403"/>
      <c r="AI189" s="399" t="s">
        <v>396</v>
      </c>
      <c r="AJ189" s="399" t="s">
        <v>21</v>
      </c>
      <c r="AK189" s="399" t="s">
        <v>397</v>
      </c>
      <c r="AL189" s="399" t="s">
        <v>23</v>
      </c>
    </row>
    <row r="190" spans="1:38" ht="45.6">
      <c r="A190" s="404"/>
      <c r="B190" s="408"/>
      <c r="C190" s="407"/>
      <c r="D190" s="407"/>
      <c r="E190" s="407"/>
      <c r="F190" s="407"/>
      <c r="G190" s="407"/>
      <c r="H190" s="407"/>
      <c r="I190" s="274" t="s">
        <v>384</v>
      </c>
      <c r="J190" s="274" t="s">
        <v>7</v>
      </c>
      <c r="K190" s="274" t="s">
        <v>385</v>
      </c>
      <c r="L190" s="274" t="s">
        <v>398</v>
      </c>
      <c r="M190" s="275" t="s">
        <v>399</v>
      </c>
      <c r="N190" s="274" t="s">
        <v>400</v>
      </c>
      <c r="O190" s="399"/>
      <c r="P190" s="399"/>
      <c r="Q190" s="399"/>
      <c r="R190" s="399"/>
      <c r="U190" s="404"/>
      <c r="V190" s="406"/>
      <c r="W190" s="400"/>
      <c r="X190" s="400"/>
      <c r="Y190" s="400"/>
      <c r="Z190" s="400"/>
      <c r="AA190" s="400"/>
      <c r="AB190" s="400"/>
      <c r="AC190" s="274" t="s">
        <v>384</v>
      </c>
      <c r="AD190" s="274" t="s">
        <v>7</v>
      </c>
      <c r="AE190" s="274" t="s">
        <v>385</v>
      </c>
      <c r="AF190" s="274" t="s">
        <v>398</v>
      </c>
      <c r="AG190" s="275" t="s">
        <v>399</v>
      </c>
      <c r="AH190" s="274" t="s">
        <v>400</v>
      </c>
      <c r="AI190" s="400"/>
      <c r="AJ190" s="400"/>
      <c r="AK190" s="400"/>
      <c r="AL190" s="399"/>
    </row>
    <row r="191" spans="1:38" ht="14.4" customHeight="1">
      <c r="A191" s="404"/>
      <c r="B191" s="276" t="s">
        <v>24</v>
      </c>
      <c r="C191" s="277">
        <v>0</v>
      </c>
      <c r="D191" s="278">
        <v>0</v>
      </c>
      <c r="E191" s="278">
        <v>0</v>
      </c>
      <c r="F191" s="277">
        <v>0</v>
      </c>
      <c r="G191" s="278">
        <v>0</v>
      </c>
      <c r="H191" s="278">
        <f>H197</f>
        <v>1409.7504860577712</v>
      </c>
      <c r="I191" s="278">
        <f>$I$27</f>
        <v>1181.9392943361693</v>
      </c>
      <c r="J191" s="278">
        <f>J197</f>
        <v>577.47204557418672</v>
      </c>
      <c r="K191" s="278">
        <v>0</v>
      </c>
      <c r="L191" s="278">
        <f>L197</f>
        <v>74.427044692699326</v>
      </c>
      <c r="M191" s="278">
        <v>0</v>
      </c>
      <c r="N191" s="278">
        <f>N197</f>
        <v>772.86522633959123</v>
      </c>
      <c r="O191" s="279">
        <v>0</v>
      </c>
      <c r="P191" s="278">
        <v>0</v>
      </c>
      <c r="Q191" s="278">
        <v>0</v>
      </c>
      <c r="R191" s="280">
        <f>SUM(C191:Q191)</f>
        <v>4016.4540970004177</v>
      </c>
      <c r="U191" s="404"/>
      <c r="V191" s="276" t="s">
        <v>24</v>
      </c>
      <c r="W191" s="277">
        <v>0</v>
      </c>
      <c r="X191" s="278">
        <v>0</v>
      </c>
      <c r="Y191" s="278">
        <v>0</v>
      </c>
      <c r="Z191" s="277">
        <v>0</v>
      </c>
      <c r="AA191" s="278">
        <v>0</v>
      </c>
      <c r="AB191" s="278">
        <f>AB197</f>
        <v>1600.2641884370307</v>
      </c>
      <c r="AC191" s="278">
        <f>$I$27</f>
        <v>1181.9392943361693</v>
      </c>
      <c r="AD191" s="278">
        <f>AD197</f>
        <v>524.60518072394814</v>
      </c>
      <c r="AE191" s="278">
        <v>0</v>
      </c>
      <c r="AF191" s="278">
        <f>AF197</f>
        <v>85.908841736699003</v>
      </c>
      <c r="AG191" s="278">
        <v>0</v>
      </c>
      <c r="AH191" s="278">
        <f>AH197</f>
        <v>522.48878615323099</v>
      </c>
      <c r="AI191" s="279">
        <v>0</v>
      </c>
      <c r="AJ191" s="278">
        <v>0</v>
      </c>
      <c r="AK191" s="278">
        <v>0</v>
      </c>
      <c r="AL191" s="280">
        <f>SUM(W191:AK191)</f>
        <v>3915.2062913870782</v>
      </c>
    </row>
    <row r="192" spans="1:38" ht="14.4" customHeight="1">
      <c r="A192" s="404"/>
      <c r="B192" s="276" t="s">
        <v>28</v>
      </c>
      <c r="C192" s="277">
        <f>C197</f>
        <v>0</v>
      </c>
      <c r="D192" s="278">
        <f>D197</f>
        <v>0</v>
      </c>
      <c r="E192" s="278">
        <f>E197</f>
        <v>4698.3814392888698</v>
      </c>
      <c r="F192" s="277">
        <v>0</v>
      </c>
      <c r="G192" s="278">
        <v>0</v>
      </c>
      <c r="H192" s="278">
        <v>0</v>
      </c>
      <c r="I192" s="278">
        <f>I197-$I$27</f>
        <v>3520.7064107622018</v>
      </c>
      <c r="J192" s="278">
        <v>0</v>
      </c>
      <c r="K192" s="278">
        <f>K197</f>
        <v>1837.2082766948943</v>
      </c>
      <c r="L192" s="278">
        <v>0</v>
      </c>
      <c r="M192" s="278">
        <v>0</v>
      </c>
      <c r="N192" s="278">
        <v>0</v>
      </c>
      <c r="O192" s="279">
        <v>0</v>
      </c>
      <c r="P192" s="278">
        <v>0</v>
      </c>
      <c r="Q192" s="278">
        <v>0</v>
      </c>
      <c r="R192" s="280">
        <f t="shared" ref="R192:R197" si="106">SUM(C192:Q192)</f>
        <v>10056.296126745965</v>
      </c>
      <c r="U192" s="404"/>
      <c r="V192" s="276" t="s">
        <v>28</v>
      </c>
      <c r="W192" s="277">
        <f>W197</f>
        <v>0</v>
      </c>
      <c r="X192" s="278">
        <f>X197</f>
        <v>0</v>
      </c>
      <c r="Y192" s="278">
        <f>Y197</f>
        <v>2399.5240212117678</v>
      </c>
      <c r="Z192" s="277">
        <v>0</v>
      </c>
      <c r="AA192" s="278">
        <v>0</v>
      </c>
      <c r="AB192" s="278">
        <v>0</v>
      </c>
      <c r="AC192" s="278">
        <f>AC197-$I$27</f>
        <v>2982.5235164494152</v>
      </c>
      <c r="AD192" s="278">
        <v>0</v>
      </c>
      <c r="AE192" s="278">
        <f>AE197</f>
        <v>1429.9364346011953</v>
      </c>
      <c r="AF192" s="278">
        <v>0</v>
      </c>
      <c r="AG192" s="278">
        <v>0</v>
      </c>
      <c r="AH192" s="278">
        <v>0</v>
      </c>
      <c r="AI192" s="279">
        <v>0</v>
      </c>
      <c r="AJ192" s="278">
        <v>0</v>
      </c>
      <c r="AK192" s="278">
        <v>0</v>
      </c>
      <c r="AL192" s="280">
        <f t="shared" ref="AL192:AL197" si="107">SUM(W192:AK192)</f>
        <v>6811.9839722623783</v>
      </c>
    </row>
    <row r="193" spans="1:38" ht="14.4" customHeight="1">
      <c r="A193" s="404"/>
      <c r="B193" s="276" t="s">
        <v>29</v>
      </c>
      <c r="C193" s="277">
        <v>0</v>
      </c>
      <c r="D193" s="278">
        <v>0</v>
      </c>
      <c r="E193" s="278">
        <v>0</v>
      </c>
      <c r="F193" s="277">
        <v>0</v>
      </c>
      <c r="G193" s="278">
        <v>0</v>
      </c>
      <c r="H193" s="278">
        <v>0</v>
      </c>
      <c r="I193" s="278">
        <v>0</v>
      </c>
      <c r="J193" s="278">
        <v>0</v>
      </c>
      <c r="K193" s="278">
        <v>0</v>
      </c>
      <c r="L193" s="278">
        <v>0</v>
      </c>
      <c r="M193" s="278">
        <v>0</v>
      </c>
      <c r="N193" s="278">
        <v>0</v>
      </c>
      <c r="O193" s="279">
        <v>0</v>
      </c>
      <c r="P193" s="278">
        <v>0</v>
      </c>
      <c r="Q193" s="278">
        <v>0</v>
      </c>
      <c r="R193" s="280">
        <f t="shared" si="106"/>
        <v>0</v>
      </c>
      <c r="U193" s="404"/>
      <c r="V193" s="276" t="s">
        <v>29</v>
      </c>
      <c r="W193" s="277">
        <v>0</v>
      </c>
      <c r="X193" s="278">
        <v>0</v>
      </c>
      <c r="Y193" s="278">
        <v>0</v>
      </c>
      <c r="Z193" s="277">
        <v>0</v>
      </c>
      <c r="AA193" s="278">
        <v>0</v>
      </c>
      <c r="AB193" s="278">
        <v>0</v>
      </c>
      <c r="AC193" s="278">
        <v>0</v>
      </c>
      <c r="AD193" s="278">
        <v>0</v>
      </c>
      <c r="AE193" s="278">
        <v>0</v>
      </c>
      <c r="AF193" s="278">
        <v>0</v>
      </c>
      <c r="AG193" s="278">
        <v>0</v>
      </c>
      <c r="AH193" s="278">
        <v>0</v>
      </c>
      <c r="AI193" s="279">
        <v>0</v>
      </c>
      <c r="AJ193" s="278">
        <v>0</v>
      </c>
      <c r="AK193" s="278">
        <v>0</v>
      </c>
      <c r="AL193" s="280">
        <f t="shared" si="107"/>
        <v>0</v>
      </c>
    </row>
    <row r="194" spans="1:38" ht="14.4" customHeight="1">
      <c r="A194" s="404"/>
      <c r="B194" s="276" t="s">
        <v>30</v>
      </c>
      <c r="C194" s="277">
        <v>0</v>
      </c>
      <c r="D194" s="278">
        <v>0</v>
      </c>
      <c r="E194" s="278">
        <v>0</v>
      </c>
      <c r="F194" s="277">
        <v>0</v>
      </c>
      <c r="G194" s="278">
        <v>0</v>
      </c>
      <c r="H194" s="278">
        <v>0</v>
      </c>
      <c r="I194" s="278">
        <v>0</v>
      </c>
      <c r="J194" s="278">
        <v>0</v>
      </c>
      <c r="K194" s="278">
        <v>0</v>
      </c>
      <c r="L194" s="278">
        <v>0</v>
      </c>
      <c r="M194" s="278">
        <v>0</v>
      </c>
      <c r="N194" s="278">
        <v>0</v>
      </c>
      <c r="O194" s="279">
        <v>0</v>
      </c>
      <c r="P194" s="278">
        <v>0</v>
      </c>
      <c r="Q194" s="278">
        <v>0</v>
      </c>
      <c r="R194" s="280">
        <f t="shared" si="106"/>
        <v>0</v>
      </c>
      <c r="U194" s="404"/>
      <c r="V194" s="276" t="s">
        <v>30</v>
      </c>
      <c r="W194" s="277">
        <v>0</v>
      </c>
      <c r="X194" s="278">
        <v>0</v>
      </c>
      <c r="Y194" s="278">
        <v>0</v>
      </c>
      <c r="Z194" s="277">
        <v>0</v>
      </c>
      <c r="AA194" s="278">
        <v>0</v>
      </c>
      <c r="AB194" s="278">
        <v>0</v>
      </c>
      <c r="AC194" s="278">
        <v>0</v>
      </c>
      <c r="AD194" s="278">
        <v>0</v>
      </c>
      <c r="AE194" s="278">
        <v>0</v>
      </c>
      <c r="AF194" s="278">
        <v>0</v>
      </c>
      <c r="AG194" s="278">
        <v>0</v>
      </c>
      <c r="AH194" s="278">
        <v>0</v>
      </c>
      <c r="AI194" s="279">
        <v>0</v>
      </c>
      <c r="AJ194" s="278">
        <v>0</v>
      </c>
      <c r="AK194" s="278">
        <v>0</v>
      </c>
      <c r="AL194" s="280">
        <f t="shared" si="107"/>
        <v>0</v>
      </c>
    </row>
    <row r="195" spans="1:38" ht="14.4" customHeight="1">
      <c r="A195" s="404"/>
      <c r="B195" s="276" t="s">
        <v>31</v>
      </c>
      <c r="C195" s="277">
        <v>0</v>
      </c>
      <c r="D195" s="278">
        <v>0</v>
      </c>
      <c r="E195" s="278">
        <v>0</v>
      </c>
      <c r="F195" s="277">
        <v>0</v>
      </c>
      <c r="G195" s="278">
        <v>0</v>
      </c>
      <c r="H195" s="278">
        <v>0</v>
      </c>
      <c r="I195" s="278">
        <v>0</v>
      </c>
      <c r="J195" s="278">
        <v>0</v>
      </c>
      <c r="K195" s="278">
        <v>0</v>
      </c>
      <c r="L195" s="278">
        <v>0</v>
      </c>
      <c r="M195" s="278">
        <v>0</v>
      </c>
      <c r="N195" s="278">
        <v>0</v>
      </c>
      <c r="O195" s="279">
        <v>0</v>
      </c>
      <c r="P195" s="278">
        <v>0</v>
      </c>
      <c r="Q195" s="278">
        <v>0</v>
      </c>
      <c r="R195" s="280">
        <f t="shared" si="106"/>
        <v>0</v>
      </c>
      <c r="U195" s="404"/>
      <c r="V195" s="276" t="s">
        <v>31</v>
      </c>
      <c r="W195" s="277">
        <v>0</v>
      </c>
      <c r="X195" s="278">
        <v>0</v>
      </c>
      <c r="Y195" s="278">
        <v>0</v>
      </c>
      <c r="Z195" s="277">
        <v>0</v>
      </c>
      <c r="AA195" s="278">
        <v>0</v>
      </c>
      <c r="AB195" s="278">
        <v>0</v>
      </c>
      <c r="AC195" s="278">
        <v>0</v>
      </c>
      <c r="AD195" s="278">
        <v>0</v>
      </c>
      <c r="AE195" s="278">
        <v>0</v>
      </c>
      <c r="AF195" s="278">
        <v>0</v>
      </c>
      <c r="AG195" s="278">
        <v>0</v>
      </c>
      <c r="AH195" s="278">
        <v>0</v>
      </c>
      <c r="AI195" s="279">
        <v>0</v>
      </c>
      <c r="AJ195" s="278">
        <v>0</v>
      </c>
      <c r="AK195" s="278">
        <v>0</v>
      </c>
      <c r="AL195" s="280">
        <f t="shared" si="107"/>
        <v>0</v>
      </c>
    </row>
    <row r="196" spans="1:38" ht="14.4" customHeight="1">
      <c r="A196" s="404"/>
      <c r="B196" s="276" t="s">
        <v>32</v>
      </c>
      <c r="C196" s="277">
        <v>0</v>
      </c>
      <c r="D196" s="278">
        <v>0</v>
      </c>
      <c r="E196" s="278">
        <v>0</v>
      </c>
      <c r="F196" s="277">
        <v>0</v>
      </c>
      <c r="G196" s="278">
        <v>0</v>
      </c>
      <c r="H196" s="278">
        <v>0</v>
      </c>
      <c r="I196" s="278">
        <v>0</v>
      </c>
      <c r="J196" s="278">
        <v>0</v>
      </c>
      <c r="K196" s="278">
        <v>0</v>
      </c>
      <c r="L196" s="278">
        <v>0</v>
      </c>
      <c r="M196" s="278">
        <v>0</v>
      </c>
      <c r="N196" s="278">
        <v>0</v>
      </c>
      <c r="O196" s="279">
        <v>0</v>
      </c>
      <c r="P196" s="278">
        <v>0</v>
      </c>
      <c r="Q196" s="278">
        <v>0</v>
      </c>
      <c r="R196" s="280">
        <f t="shared" si="106"/>
        <v>0</v>
      </c>
      <c r="U196" s="404"/>
      <c r="V196" s="276" t="s">
        <v>32</v>
      </c>
      <c r="W196" s="277">
        <v>0</v>
      </c>
      <c r="X196" s="278">
        <v>0</v>
      </c>
      <c r="Y196" s="278">
        <v>0</v>
      </c>
      <c r="Z196" s="277">
        <v>0</v>
      </c>
      <c r="AA196" s="278">
        <v>0</v>
      </c>
      <c r="AB196" s="278">
        <v>0</v>
      </c>
      <c r="AC196" s="278">
        <v>0</v>
      </c>
      <c r="AD196" s="278">
        <v>0</v>
      </c>
      <c r="AE196" s="278">
        <v>0</v>
      </c>
      <c r="AF196" s="278">
        <v>0</v>
      </c>
      <c r="AG196" s="278">
        <v>0</v>
      </c>
      <c r="AH196" s="278">
        <v>0</v>
      </c>
      <c r="AI196" s="279">
        <v>0</v>
      </c>
      <c r="AJ196" s="278">
        <v>0</v>
      </c>
      <c r="AK196" s="278">
        <v>0</v>
      </c>
      <c r="AL196" s="280">
        <f t="shared" si="107"/>
        <v>0</v>
      </c>
    </row>
    <row r="197" spans="1:38" ht="14.4" customHeight="1">
      <c r="A197" s="404"/>
      <c r="B197" s="281" t="s">
        <v>401</v>
      </c>
      <c r="C197" s="282">
        <f>C221+C219</f>
        <v>0</v>
      </c>
      <c r="D197" s="282">
        <f>D211+D221</f>
        <v>0</v>
      </c>
      <c r="E197" s="282">
        <f>E211+E221</f>
        <v>4698.3814392888698</v>
      </c>
      <c r="F197" s="282">
        <f t="shared" ref="F197:G197" si="108">SUM(F191:F196)</f>
        <v>0</v>
      </c>
      <c r="G197" s="282">
        <f t="shared" si="108"/>
        <v>0</v>
      </c>
      <c r="H197" s="282">
        <f>H211</f>
        <v>1409.7504860577712</v>
      </c>
      <c r="I197" s="282">
        <f>I211+I219</f>
        <v>4702.6457050983709</v>
      </c>
      <c r="J197" s="282">
        <f>J211+J221</f>
        <v>577.47204557418672</v>
      </c>
      <c r="K197" s="282">
        <f>K211+K221</f>
        <v>1837.2082766948943</v>
      </c>
      <c r="L197" s="282">
        <f>L211+L221</f>
        <v>74.427044692699326</v>
      </c>
      <c r="M197" s="282">
        <f t="shared" ref="M197" si="109">SUM(M191:M196)</f>
        <v>0</v>
      </c>
      <c r="N197" s="282">
        <f>N211+N221</f>
        <v>772.86522633959123</v>
      </c>
      <c r="O197" s="282">
        <f t="shared" ref="O197:Q197" si="110">SUM(O191:O196)</f>
        <v>0</v>
      </c>
      <c r="P197" s="282">
        <f t="shared" si="110"/>
        <v>0</v>
      </c>
      <c r="Q197" s="282">
        <f t="shared" si="110"/>
        <v>0</v>
      </c>
      <c r="R197" s="282">
        <f t="shared" si="106"/>
        <v>14072.750223746381</v>
      </c>
      <c r="U197" s="404"/>
      <c r="V197" s="281" t="s">
        <v>401</v>
      </c>
      <c r="W197" s="282">
        <f>W221+W219</f>
        <v>0</v>
      </c>
      <c r="X197" s="282">
        <f>X211+X221</f>
        <v>0</v>
      </c>
      <c r="Y197" s="282">
        <f>Y211+Y221</f>
        <v>2399.5240212117678</v>
      </c>
      <c r="Z197" s="282">
        <f t="shared" ref="Z197:AA197" si="111">SUM(Z191:Z196)</f>
        <v>0</v>
      </c>
      <c r="AA197" s="282">
        <f t="shared" si="111"/>
        <v>0</v>
      </c>
      <c r="AB197" s="282">
        <f>AB211</f>
        <v>1600.2641884370307</v>
      </c>
      <c r="AC197" s="282">
        <f>AC211+AC219</f>
        <v>4164.4628107855842</v>
      </c>
      <c r="AD197" s="282">
        <f>AD211</f>
        <v>524.60518072394814</v>
      </c>
      <c r="AE197" s="282">
        <f>AE211+AE221</f>
        <v>1429.9364346011953</v>
      </c>
      <c r="AF197" s="282">
        <f>AF211+AF221</f>
        <v>85.908841736699003</v>
      </c>
      <c r="AG197" s="282">
        <f t="shared" ref="AG197" si="112">SUM(AG191:AG196)</f>
        <v>0</v>
      </c>
      <c r="AH197" s="282">
        <f>AH211+AH221</f>
        <v>522.48878615323099</v>
      </c>
      <c r="AI197" s="282">
        <f t="shared" ref="AI197:AK197" si="113">SUM(AI191:AI196)</f>
        <v>0</v>
      </c>
      <c r="AJ197" s="282">
        <f t="shared" si="113"/>
        <v>0</v>
      </c>
      <c r="AK197" s="282">
        <f t="shared" si="113"/>
        <v>0</v>
      </c>
      <c r="AL197" s="282">
        <f t="shared" si="107"/>
        <v>10727.190263649456</v>
      </c>
    </row>
    <row r="198" spans="1:38" ht="14.4" customHeight="1">
      <c r="A198" s="404"/>
      <c r="B198" s="283"/>
      <c r="C198" s="284"/>
      <c r="D198" s="252"/>
      <c r="E198" s="285"/>
      <c r="F198" s="284"/>
      <c r="G198" s="284"/>
      <c r="H198" s="284"/>
      <c r="I198" s="284"/>
      <c r="J198" s="284"/>
      <c r="K198" s="284"/>
      <c r="L198" s="284"/>
      <c r="M198" s="284"/>
      <c r="N198" s="284"/>
      <c r="O198" s="293"/>
      <c r="P198" s="284"/>
      <c r="Q198" s="284"/>
      <c r="R198" s="284"/>
      <c r="U198" s="404"/>
      <c r="V198" s="283"/>
      <c r="W198" s="284"/>
      <c r="X198" s="252"/>
      <c r="Y198" s="285"/>
      <c r="Z198" s="284"/>
      <c r="AA198" s="284"/>
      <c r="AB198" s="284"/>
      <c r="AC198" s="284"/>
      <c r="AD198" s="284"/>
      <c r="AE198" s="284"/>
      <c r="AF198" s="284"/>
      <c r="AG198" s="284"/>
      <c r="AH198" s="284"/>
      <c r="AI198" s="293"/>
      <c r="AJ198" s="284"/>
      <c r="AK198" s="284"/>
      <c r="AL198" s="284"/>
    </row>
    <row r="199" spans="1:38" ht="14.4" customHeight="1">
      <c r="A199" s="404"/>
      <c r="B199" s="286" t="s">
        <v>402</v>
      </c>
      <c r="C199" s="277">
        <v>0</v>
      </c>
      <c r="D199" s="287">
        <v>0</v>
      </c>
      <c r="E199" s="287">
        <v>0</v>
      </c>
      <c r="F199" s="277">
        <v>0</v>
      </c>
      <c r="G199" s="277">
        <v>0</v>
      </c>
      <c r="H199" s="277">
        <v>0</v>
      </c>
      <c r="I199" s="277">
        <v>0</v>
      </c>
      <c r="J199" s="277">
        <v>0</v>
      </c>
      <c r="K199" s="277">
        <v>0</v>
      </c>
      <c r="L199" s="277">
        <v>0</v>
      </c>
      <c r="M199" s="277">
        <v>0</v>
      </c>
      <c r="N199" s="277">
        <v>0</v>
      </c>
      <c r="O199" s="277">
        <v>0</v>
      </c>
      <c r="P199" s="277">
        <v>0</v>
      </c>
      <c r="Q199" s="277">
        <v>0</v>
      </c>
      <c r="R199" s="288">
        <f>SUM(C199:Q199)</f>
        <v>0</v>
      </c>
      <c r="U199" s="404"/>
      <c r="V199" s="286" t="s">
        <v>402</v>
      </c>
      <c r="W199" s="277">
        <v>0</v>
      </c>
      <c r="X199" s="287">
        <v>0</v>
      </c>
      <c r="Y199" s="287">
        <v>0</v>
      </c>
      <c r="Z199" s="277">
        <v>0</v>
      </c>
      <c r="AA199" s="277">
        <v>0</v>
      </c>
      <c r="AB199" s="277">
        <v>0</v>
      </c>
      <c r="AC199" s="277">
        <v>0</v>
      </c>
      <c r="AD199" s="277">
        <v>0</v>
      </c>
      <c r="AE199" s="277">
        <v>0</v>
      </c>
      <c r="AF199" s="277">
        <v>0</v>
      </c>
      <c r="AG199" s="277">
        <v>0</v>
      </c>
      <c r="AH199" s="277">
        <v>0</v>
      </c>
      <c r="AI199" s="277">
        <v>0</v>
      </c>
      <c r="AJ199" s="277">
        <v>0</v>
      </c>
      <c r="AK199" s="277">
        <v>0</v>
      </c>
      <c r="AL199" s="288">
        <f>SUM(W199:AK199)</f>
        <v>0</v>
      </c>
    </row>
    <row r="200" spans="1:38" ht="14.4" customHeight="1">
      <c r="A200" s="404"/>
      <c r="B200" s="286" t="s">
        <v>403</v>
      </c>
      <c r="C200" s="277">
        <f>$O$200*'Prod Energie'!$G$32/(-$J$13)</f>
        <v>0</v>
      </c>
      <c r="D200" s="277">
        <v>0</v>
      </c>
      <c r="E200" s="277">
        <f>O200*'Prod Energie'!$G$33/(-$K$13)</f>
        <v>0</v>
      </c>
      <c r="F200" s="277">
        <v>0</v>
      </c>
      <c r="G200" s="277">
        <v>0</v>
      </c>
      <c r="H200" s="277">
        <f>(O200)*('Prod Energie'!$G$34+'Prod Energie'!$G$39+'Prod Energie'!$G$40)/(-$L$13)</f>
        <v>1409.7504860577712</v>
      </c>
      <c r="I200" s="289">
        <f>(O200)*('Prod Energie'!$G$38)/(-$M$13)</f>
        <v>3998.6297786888877</v>
      </c>
      <c r="J200" s="289">
        <f>(O200)*('Prod Energie'!$G$36)/(-$N$13)</f>
        <v>577.47204557418672</v>
      </c>
      <c r="K200" s="289">
        <f>(O200)*('Prod Energie'!$G$37)/(-$O$13)</f>
        <v>1837.2082766948943</v>
      </c>
      <c r="L200" s="289">
        <f>(O200)*('Prod Energie'!$G$41)/(-P13)</f>
        <v>54.997337673732069</v>
      </c>
      <c r="M200" s="289">
        <v>0</v>
      </c>
      <c r="N200" s="289">
        <f>(O200)*'Prod Energie'!G35/(-$Q$13)</f>
        <v>0</v>
      </c>
      <c r="O200" s="277">
        <f>O211/(1+$F$17+$F$18)</f>
        <v>-4008.0729290451982</v>
      </c>
      <c r="P200" s="277">
        <v>0</v>
      </c>
      <c r="Q200" s="277">
        <v>0</v>
      </c>
      <c r="R200" s="288">
        <f t="shared" ref="R200:R211" si="114">SUM(C200:Q200)</f>
        <v>3869.984995644274</v>
      </c>
      <c r="U200" s="404"/>
      <c r="V200" s="286" t="s">
        <v>403</v>
      </c>
      <c r="W200" s="277">
        <f>AI200*'Prod Energie'!$G$53/(-$J$13)</f>
        <v>0</v>
      </c>
      <c r="X200" s="277">
        <v>0</v>
      </c>
      <c r="Y200" s="277">
        <f>AI200*'Prod Energie'!$G$54/(-$K$13)</f>
        <v>0</v>
      </c>
      <c r="Z200" s="277">
        <v>0</v>
      </c>
      <c r="AA200" s="277">
        <v>0</v>
      </c>
      <c r="AB200" s="277">
        <f>(AI200)*('Prod Energie'!$G$55+'Prod Energie'!$G$60+'Prod Energie'!$G$61)/(-$L$13)</f>
        <v>1600.2641884370307</v>
      </c>
      <c r="AC200" s="289">
        <f>(AI200)*'Prod Energie'!$G$59/(-$M$13)</f>
        <v>3361.4099432366888</v>
      </c>
      <c r="AD200" s="289">
        <f>(AI200)*('Prod Energie'!$G$57)/(-$N$13)</f>
        <v>524.60518072394814</v>
      </c>
      <c r="AE200" s="289">
        <f>(AI200)*('Prod Energie'!$G$58)/(-$O$13)</f>
        <v>1365.5727894399049</v>
      </c>
      <c r="AF200" s="289">
        <f>(AI200)*('Prod Energie'!$G$62)/(-$P$13)</f>
        <v>49.962398164185544</v>
      </c>
      <c r="AG200" s="289">
        <v>0</v>
      </c>
      <c r="AH200" s="289">
        <f>(AI200)*'Prod Energie'!G179/(-$Q$13)</f>
        <v>0</v>
      </c>
      <c r="AI200" s="277">
        <f>AI211/(1+$F$17+$F$18)</f>
        <v>-3760.8542315942705</v>
      </c>
      <c r="AJ200" s="277">
        <v>0</v>
      </c>
      <c r="AK200" s="277">
        <v>0</v>
      </c>
      <c r="AL200" s="288">
        <f t="shared" ref="AL200:AL211" si="115">SUM(W200:AK200)</f>
        <v>3140.960268407488</v>
      </c>
    </row>
    <row r="201" spans="1:38" ht="14.4" customHeight="1">
      <c r="A201" s="404"/>
      <c r="B201" s="286" t="s">
        <v>404</v>
      </c>
      <c r="C201" s="277">
        <v>0</v>
      </c>
      <c r="D201" s="277">
        <v>0</v>
      </c>
      <c r="E201" s="277">
        <v>0</v>
      </c>
      <c r="F201" s="277">
        <v>0</v>
      </c>
      <c r="G201" s="277">
        <v>0</v>
      </c>
      <c r="H201" s="277">
        <v>0</v>
      </c>
      <c r="I201" s="289">
        <f>$P$201*$L$18*V$17</f>
        <v>674.41941703028965</v>
      </c>
      <c r="J201" s="289">
        <f t="shared" ref="J201:N201" si="116">$P$201*$L$18*W$17</f>
        <v>0</v>
      </c>
      <c r="K201" s="289">
        <f t="shared" si="116"/>
        <v>0</v>
      </c>
      <c r="L201" s="289">
        <f t="shared" si="116"/>
        <v>14.49379378601934</v>
      </c>
      <c r="M201" s="289">
        <f t="shared" si="116"/>
        <v>0</v>
      </c>
      <c r="N201" s="289">
        <f t="shared" si="116"/>
        <v>0</v>
      </c>
      <c r="O201" s="277">
        <v>0</v>
      </c>
      <c r="P201" s="277">
        <f>P211/(1+$R$18)</f>
        <v>-588.92459063102433</v>
      </c>
      <c r="Q201" s="277">
        <v>0</v>
      </c>
      <c r="R201" s="288">
        <f t="shared" si="114"/>
        <v>99.988620185284617</v>
      </c>
      <c r="U201" s="404"/>
      <c r="V201" s="286" t="s">
        <v>404</v>
      </c>
      <c r="W201" s="277">
        <v>0</v>
      </c>
      <c r="X201" s="277">
        <v>0</v>
      </c>
      <c r="Y201" s="277">
        <v>0</v>
      </c>
      <c r="Z201" s="277">
        <v>0</v>
      </c>
      <c r="AA201" s="277">
        <v>0</v>
      </c>
      <c r="AB201" s="277">
        <v>0</v>
      </c>
      <c r="AC201" s="289">
        <f>$AJ$201*$L$18*V$17</f>
        <v>674.41941703028965</v>
      </c>
      <c r="AD201" s="289">
        <f t="shared" ref="AD201:AH201" si="117">$AJ$201*$L$18*W$17</f>
        <v>0</v>
      </c>
      <c r="AE201" s="289">
        <f t="shared" si="117"/>
        <v>0</v>
      </c>
      <c r="AF201" s="289">
        <f t="shared" si="117"/>
        <v>14.49379378601934</v>
      </c>
      <c r="AG201" s="289">
        <f t="shared" si="117"/>
        <v>0</v>
      </c>
      <c r="AH201" s="289">
        <f t="shared" si="117"/>
        <v>0</v>
      </c>
      <c r="AI201" s="277">
        <v>0</v>
      </c>
      <c r="AJ201" s="277">
        <f>AJ211/(1+$R$18)</f>
        <v>-588.92459063102433</v>
      </c>
      <c r="AK201" s="277">
        <v>0</v>
      </c>
      <c r="AL201" s="288">
        <f t="shared" si="115"/>
        <v>99.988620185284617</v>
      </c>
    </row>
    <row r="202" spans="1:38" ht="14.4" customHeight="1">
      <c r="A202" s="404"/>
      <c r="B202" s="286" t="s">
        <v>405</v>
      </c>
      <c r="C202" s="277">
        <v>0</v>
      </c>
      <c r="D202" s="277">
        <v>0</v>
      </c>
      <c r="E202" s="277">
        <v>0</v>
      </c>
      <c r="F202" s="277">
        <v>0</v>
      </c>
      <c r="G202" s="277">
        <v>0</v>
      </c>
      <c r="H202" s="277">
        <v>0</v>
      </c>
      <c r="I202" s="290">
        <v>0</v>
      </c>
      <c r="J202" s="290">
        <v>0</v>
      </c>
      <c r="K202" s="290">
        <v>0</v>
      </c>
      <c r="L202" s="290">
        <v>0</v>
      </c>
      <c r="M202" s="290">
        <v>0</v>
      </c>
      <c r="N202" s="290">
        <v>0</v>
      </c>
      <c r="O202" s="277">
        <v>0</v>
      </c>
      <c r="P202" s="277">
        <v>0</v>
      </c>
      <c r="Q202" s="277">
        <v>0</v>
      </c>
      <c r="R202" s="288">
        <f t="shared" si="114"/>
        <v>0</v>
      </c>
      <c r="U202" s="404"/>
      <c r="V202" s="286" t="s">
        <v>405</v>
      </c>
      <c r="W202" s="277">
        <v>0</v>
      </c>
      <c r="X202" s="277">
        <v>0</v>
      </c>
      <c r="Y202" s="277">
        <v>0</v>
      </c>
      <c r="Z202" s="277">
        <v>0</v>
      </c>
      <c r="AA202" s="277">
        <v>0</v>
      </c>
      <c r="AB202" s="277">
        <v>0</v>
      </c>
      <c r="AC202" s="290">
        <v>0</v>
      </c>
      <c r="AD202" s="290">
        <v>0</v>
      </c>
      <c r="AE202" s="290">
        <v>0</v>
      </c>
      <c r="AF202" s="290">
        <v>0</v>
      </c>
      <c r="AG202" s="290">
        <v>0</v>
      </c>
      <c r="AH202" s="290">
        <v>0</v>
      </c>
      <c r="AI202" s="277">
        <v>0</v>
      </c>
      <c r="AJ202" s="277">
        <v>0</v>
      </c>
      <c r="AK202" s="277">
        <v>0</v>
      </c>
      <c r="AL202" s="288">
        <f t="shared" si="115"/>
        <v>0</v>
      </c>
    </row>
    <row r="203" spans="1:38" ht="14.4" customHeight="1">
      <c r="A203" s="404"/>
      <c r="B203" s="286" t="s">
        <v>406</v>
      </c>
      <c r="C203" s="277">
        <v>0</v>
      </c>
      <c r="D203" s="277">
        <v>0</v>
      </c>
      <c r="E203" s="277">
        <v>0</v>
      </c>
      <c r="F203" s="277">
        <v>0</v>
      </c>
      <c r="G203" s="277">
        <v>0</v>
      </c>
      <c r="H203" s="277">
        <v>0</v>
      </c>
      <c r="I203" s="277">
        <v>0</v>
      </c>
      <c r="J203" s="277">
        <v>0</v>
      </c>
      <c r="K203" s="277">
        <v>0</v>
      </c>
      <c r="L203" s="277">
        <v>0</v>
      </c>
      <c r="M203" s="277">
        <v>0</v>
      </c>
      <c r="N203" s="277">
        <v>0</v>
      </c>
      <c r="O203" s="277">
        <v>0</v>
      </c>
      <c r="P203" s="277">
        <v>0</v>
      </c>
      <c r="Q203" s="277">
        <v>0</v>
      </c>
      <c r="R203" s="288">
        <f t="shared" si="114"/>
        <v>0</v>
      </c>
      <c r="U203" s="404"/>
      <c r="V203" s="286" t="s">
        <v>406</v>
      </c>
      <c r="W203" s="277">
        <v>0</v>
      </c>
      <c r="X203" s="277">
        <v>0</v>
      </c>
      <c r="Y203" s="277">
        <v>0</v>
      </c>
      <c r="Z203" s="277">
        <v>0</v>
      </c>
      <c r="AA203" s="277">
        <v>0</v>
      </c>
      <c r="AB203" s="277">
        <v>0</v>
      </c>
      <c r="AC203" s="277">
        <v>0</v>
      </c>
      <c r="AD203" s="277">
        <v>0</v>
      </c>
      <c r="AE203" s="277">
        <v>0</v>
      </c>
      <c r="AF203" s="277">
        <v>0</v>
      </c>
      <c r="AG203" s="277">
        <v>0</v>
      </c>
      <c r="AH203" s="277">
        <v>0</v>
      </c>
      <c r="AI203" s="277">
        <v>0</v>
      </c>
      <c r="AJ203" s="277">
        <v>0</v>
      </c>
      <c r="AK203" s="277">
        <v>0</v>
      </c>
      <c r="AL203" s="288">
        <f t="shared" si="115"/>
        <v>0</v>
      </c>
    </row>
    <row r="204" spans="1:38" ht="14.4" customHeight="1">
      <c r="A204" s="404"/>
      <c r="B204" s="286" t="s">
        <v>36</v>
      </c>
      <c r="C204" s="277">
        <v>0</v>
      </c>
      <c r="D204" s="277">
        <v>0</v>
      </c>
      <c r="E204" s="277">
        <v>0</v>
      </c>
      <c r="F204" s="277">
        <v>0</v>
      </c>
      <c r="G204" s="277">
        <v>0</v>
      </c>
      <c r="H204" s="277">
        <v>0</v>
      </c>
      <c r="I204" s="277">
        <v>0</v>
      </c>
      <c r="J204" s="277">
        <v>0</v>
      </c>
      <c r="K204" s="277">
        <v>0</v>
      </c>
      <c r="L204" s="277">
        <v>0</v>
      </c>
      <c r="M204" s="277">
        <v>0</v>
      </c>
      <c r="N204" s="277">
        <v>0</v>
      </c>
      <c r="O204" s="277">
        <v>0</v>
      </c>
      <c r="P204" s="277">
        <v>0</v>
      </c>
      <c r="Q204" s="277">
        <v>0</v>
      </c>
      <c r="R204" s="288">
        <f t="shared" si="114"/>
        <v>0</v>
      </c>
      <c r="U204" s="404"/>
      <c r="V204" s="286" t="s">
        <v>36</v>
      </c>
      <c r="W204" s="277">
        <v>0</v>
      </c>
      <c r="X204" s="277">
        <v>0</v>
      </c>
      <c r="Y204" s="277">
        <v>0</v>
      </c>
      <c r="Z204" s="277">
        <v>0</v>
      </c>
      <c r="AA204" s="277">
        <v>0</v>
      </c>
      <c r="AB204" s="277">
        <v>0</v>
      </c>
      <c r="AC204" s="277">
        <v>0</v>
      </c>
      <c r="AD204" s="277">
        <v>0</v>
      </c>
      <c r="AE204" s="277">
        <v>0</v>
      </c>
      <c r="AF204" s="277">
        <v>0</v>
      </c>
      <c r="AG204" s="277">
        <v>0</v>
      </c>
      <c r="AH204" s="277">
        <v>0</v>
      </c>
      <c r="AI204" s="277">
        <v>0</v>
      </c>
      <c r="AJ204" s="277">
        <v>0</v>
      </c>
      <c r="AK204" s="277">
        <v>0</v>
      </c>
      <c r="AL204" s="288">
        <f t="shared" si="115"/>
        <v>0</v>
      </c>
    </row>
    <row r="205" spans="1:38" ht="14.4" customHeight="1">
      <c r="A205" s="404"/>
      <c r="B205" s="286" t="s">
        <v>407</v>
      </c>
      <c r="C205" s="277">
        <v>0</v>
      </c>
      <c r="D205" s="277">
        <v>0</v>
      </c>
      <c r="E205" s="277">
        <v>0</v>
      </c>
      <c r="F205" s="277">
        <v>0</v>
      </c>
      <c r="G205" s="277">
        <v>0</v>
      </c>
      <c r="H205" s="277">
        <v>0</v>
      </c>
      <c r="I205" s="277">
        <v>0</v>
      </c>
      <c r="J205" s="277">
        <v>0</v>
      </c>
      <c r="K205" s="277">
        <v>0</v>
      </c>
      <c r="L205" s="277">
        <v>0</v>
      </c>
      <c r="M205" s="277">
        <v>0</v>
      </c>
      <c r="N205" s="277">
        <v>0</v>
      </c>
      <c r="O205" s="277">
        <v>0</v>
      </c>
      <c r="P205" s="277">
        <v>0</v>
      </c>
      <c r="Q205" s="277">
        <v>0</v>
      </c>
      <c r="R205" s="288">
        <f t="shared" si="114"/>
        <v>0</v>
      </c>
      <c r="U205" s="404"/>
      <c r="V205" s="286" t="s">
        <v>407</v>
      </c>
      <c r="W205" s="277">
        <v>0</v>
      </c>
      <c r="X205" s="277">
        <v>0</v>
      </c>
      <c r="Y205" s="277">
        <v>0</v>
      </c>
      <c r="Z205" s="277">
        <v>0</v>
      </c>
      <c r="AA205" s="277">
        <v>0</v>
      </c>
      <c r="AB205" s="277">
        <v>0</v>
      </c>
      <c r="AC205" s="277">
        <v>0</v>
      </c>
      <c r="AD205" s="277">
        <v>0</v>
      </c>
      <c r="AE205" s="277">
        <v>0</v>
      </c>
      <c r="AF205" s="277">
        <v>0</v>
      </c>
      <c r="AG205" s="277">
        <v>0</v>
      </c>
      <c r="AH205" s="277">
        <v>0</v>
      </c>
      <c r="AI205" s="277">
        <v>0</v>
      </c>
      <c r="AJ205" s="277">
        <v>0</v>
      </c>
      <c r="AK205" s="277">
        <v>0</v>
      </c>
      <c r="AL205" s="288">
        <f t="shared" si="115"/>
        <v>0</v>
      </c>
    </row>
    <row r="206" spans="1:38" ht="14.4" customHeight="1">
      <c r="A206" s="404"/>
      <c r="B206" s="286" t="s">
        <v>408</v>
      </c>
      <c r="C206" s="277">
        <v>0</v>
      </c>
      <c r="D206" s="277">
        <v>0</v>
      </c>
      <c r="E206" s="277">
        <v>0</v>
      </c>
      <c r="F206" s="277">
        <v>0</v>
      </c>
      <c r="G206" s="277">
        <v>0</v>
      </c>
      <c r="H206" s="277">
        <v>0</v>
      </c>
      <c r="I206" s="277">
        <v>0</v>
      </c>
      <c r="J206" s="277">
        <v>0</v>
      </c>
      <c r="K206" s="277">
        <v>0</v>
      </c>
      <c r="L206" s="277">
        <v>0</v>
      </c>
      <c r="M206" s="277">
        <v>0</v>
      </c>
      <c r="N206" s="277">
        <v>0</v>
      </c>
      <c r="O206" s="277">
        <v>0</v>
      </c>
      <c r="P206" s="277">
        <v>0</v>
      </c>
      <c r="Q206" s="277">
        <v>0</v>
      </c>
      <c r="R206" s="288">
        <f t="shared" si="114"/>
        <v>0</v>
      </c>
      <c r="U206" s="404"/>
      <c r="V206" s="286" t="s">
        <v>408</v>
      </c>
      <c r="W206" s="277">
        <v>0</v>
      </c>
      <c r="X206" s="277">
        <v>0</v>
      </c>
      <c r="Y206" s="277">
        <v>0</v>
      </c>
      <c r="Z206" s="277">
        <v>0</v>
      </c>
      <c r="AA206" s="277">
        <v>0</v>
      </c>
      <c r="AB206" s="277">
        <v>0</v>
      </c>
      <c r="AC206" s="277">
        <v>0</v>
      </c>
      <c r="AD206" s="277">
        <v>0</v>
      </c>
      <c r="AE206" s="277">
        <v>0</v>
      </c>
      <c r="AF206" s="277">
        <v>0</v>
      </c>
      <c r="AG206" s="277">
        <v>0</v>
      </c>
      <c r="AH206" s="277">
        <v>0</v>
      </c>
      <c r="AI206" s="277">
        <v>0</v>
      </c>
      <c r="AJ206" s="277">
        <v>0</v>
      </c>
      <c r="AK206" s="277">
        <v>0</v>
      </c>
      <c r="AL206" s="288">
        <f t="shared" si="115"/>
        <v>0</v>
      </c>
    </row>
    <row r="207" spans="1:38" ht="14.4" customHeight="1">
      <c r="A207" s="404"/>
      <c r="B207" s="286" t="s">
        <v>409</v>
      </c>
      <c r="C207" s="277">
        <v>0</v>
      </c>
      <c r="D207" s="277">
        <v>0</v>
      </c>
      <c r="E207" s="277">
        <v>0</v>
      </c>
      <c r="F207" s="277">
        <v>0</v>
      </c>
      <c r="G207" s="277">
        <v>0</v>
      </c>
      <c r="H207" s="277">
        <v>0</v>
      </c>
      <c r="I207" s="277">
        <v>0</v>
      </c>
      <c r="J207" s="277">
        <v>0</v>
      </c>
      <c r="K207" s="277">
        <v>0</v>
      </c>
      <c r="L207" s="277">
        <v>0</v>
      </c>
      <c r="M207" s="277">
        <v>0</v>
      </c>
      <c r="N207" s="277">
        <v>0</v>
      </c>
      <c r="O207" s="277">
        <v>0</v>
      </c>
      <c r="P207" s="277">
        <v>0</v>
      </c>
      <c r="Q207" s="277">
        <v>0</v>
      </c>
      <c r="R207" s="288">
        <f t="shared" si="114"/>
        <v>0</v>
      </c>
      <c r="U207" s="404"/>
      <c r="V207" s="286" t="s">
        <v>409</v>
      </c>
      <c r="W207" s="277">
        <v>0</v>
      </c>
      <c r="X207" s="277">
        <v>0</v>
      </c>
      <c r="Y207" s="277">
        <v>0</v>
      </c>
      <c r="Z207" s="277">
        <v>0</v>
      </c>
      <c r="AA207" s="277">
        <v>0</v>
      </c>
      <c r="AB207" s="277">
        <v>0</v>
      </c>
      <c r="AC207" s="277">
        <v>0</v>
      </c>
      <c r="AD207" s="277">
        <v>0</v>
      </c>
      <c r="AE207" s="277">
        <v>0</v>
      </c>
      <c r="AF207" s="277">
        <v>0</v>
      </c>
      <c r="AG207" s="277">
        <v>0</v>
      </c>
      <c r="AH207" s="277">
        <v>0</v>
      </c>
      <c r="AI207" s="277">
        <v>0</v>
      </c>
      <c r="AJ207" s="277">
        <v>0</v>
      </c>
      <c r="AK207" s="277">
        <v>0</v>
      </c>
      <c r="AL207" s="288">
        <f t="shared" si="115"/>
        <v>0</v>
      </c>
    </row>
    <row r="208" spans="1:38" ht="14.4" customHeight="1">
      <c r="A208" s="404"/>
      <c r="B208" s="286" t="s">
        <v>37</v>
      </c>
      <c r="C208" s="277">
        <v>0</v>
      </c>
      <c r="D208" s="277">
        <v>0</v>
      </c>
      <c r="E208" s="277">
        <v>0</v>
      </c>
      <c r="F208" s="277">
        <v>0</v>
      </c>
      <c r="G208" s="277">
        <v>0</v>
      </c>
      <c r="H208" s="277">
        <v>0</v>
      </c>
      <c r="I208" s="277">
        <v>0</v>
      </c>
      <c r="J208" s="277">
        <v>0</v>
      </c>
      <c r="K208" s="277">
        <v>0</v>
      </c>
      <c r="L208" s="277">
        <v>0</v>
      </c>
      <c r="M208" s="277">
        <v>0</v>
      </c>
      <c r="N208" s="277">
        <v>0</v>
      </c>
      <c r="O208" s="277">
        <v>0</v>
      </c>
      <c r="P208" s="277">
        <v>0</v>
      </c>
      <c r="Q208" s="277">
        <v>0</v>
      </c>
      <c r="R208" s="288">
        <f t="shared" si="114"/>
        <v>0</v>
      </c>
      <c r="U208" s="404"/>
      <c r="V208" s="286" t="s">
        <v>37</v>
      </c>
      <c r="W208" s="277">
        <v>0</v>
      </c>
      <c r="X208" s="277">
        <v>0</v>
      </c>
      <c r="Y208" s="277">
        <v>0</v>
      </c>
      <c r="Z208" s="277">
        <v>0</v>
      </c>
      <c r="AA208" s="277">
        <v>0</v>
      </c>
      <c r="AB208" s="277">
        <v>0</v>
      </c>
      <c r="AC208" s="277">
        <v>0</v>
      </c>
      <c r="AD208" s="277">
        <v>0</v>
      </c>
      <c r="AE208" s="277">
        <v>0</v>
      </c>
      <c r="AF208" s="277">
        <v>0</v>
      </c>
      <c r="AG208" s="277">
        <v>0</v>
      </c>
      <c r="AH208" s="277">
        <v>0</v>
      </c>
      <c r="AI208" s="277">
        <v>0</v>
      </c>
      <c r="AJ208" s="277">
        <v>0</v>
      </c>
      <c r="AK208" s="277">
        <v>0</v>
      </c>
      <c r="AL208" s="288">
        <f t="shared" si="115"/>
        <v>0</v>
      </c>
    </row>
    <row r="209" spans="1:38" ht="14.4" customHeight="1">
      <c r="A209" s="404"/>
      <c r="B209" s="286" t="s">
        <v>38</v>
      </c>
      <c r="C209" s="277">
        <v>0</v>
      </c>
      <c r="D209" s="277">
        <v>0</v>
      </c>
      <c r="E209" s="277">
        <v>0</v>
      </c>
      <c r="F209" s="277">
        <v>0</v>
      </c>
      <c r="G209" s="277">
        <v>0</v>
      </c>
      <c r="H209" s="277">
        <v>0</v>
      </c>
      <c r="I209" s="277">
        <v>0</v>
      </c>
      <c r="J209" s="277">
        <v>0</v>
      </c>
      <c r="K209" s="277">
        <v>0</v>
      </c>
      <c r="L209" s="277">
        <v>0</v>
      </c>
      <c r="M209" s="277">
        <v>0</v>
      </c>
      <c r="N209" s="277">
        <v>0</v>
      </c>
      <c r="O209" s="277">
        <f>O200*$F$17</f>
        <v>47.632913139166881</v>
      </c>
      <c r="P209" s="277">
        <v>0</v>
      </c>
      <c r="Q209" s="277">
        <v>0</v>
      </c>
      <c r="R209" s="288">
        <f t="shared" si="114"/>
        <v>47.632913139166881</v>
      </c>
      <c r="U209" s="404"/>
      <c r="V209" s="286" t="s">
        <v>38</v>
      </c>
      <c r="W209" s="277">
        <v>0</v>
      </c>
      <c r="X209" s="277">
        <v>0</v>
      </c>
      <c r="Y209" s="277">
        <v>0</v>
      </c>
      <c r="Z209" s="277">
        <v>0</v>
      </c>
      <c r="AA209" s="277">
        <v>0</v>
      </c>
      <c r="AB209" s="277">
        <v>0</v>
      </c>
      <c r="AC209" s="277">
        <v>0</v>
      </c>
      <c r="AD209" s="277">
        <v>0</v>
      </c>
      <c r="AE209" s="277">
        <v>0</v>
      </c>
      <c r="AF209" s="277">
        <v>0</v>
      </c>
      <c r="AG209" s="277">
        <v>0</v>
      </c>
      <c r="AH209" s="277">
        <v>0</v>
      </c>
      <c r="AI209" s="277">
        <f>AI200*$F$17</f>
        <v>44.694906034375194</v>
      </c>
      <c r="AJ209" s="277">
        <v>0</v>
      </c>
      <c r="AK209" s="277">
        <v>0</v>
      </c>
      <c r="AL209" s="288">
        <f t="shared" si="115"/>
        <v>44.694906034375194</v>
      </c>
    </row>
    <row r="210" spans="1:38" ht="14.4" customHeight="1">
      <c r="A210" s="404"/>
      <c r="B210" s="286" t="s">
        <v>39</v>
      </c>
      <c r="C210" s="277">
        <v>0</v>
      </c>
      <c r="D210" s="277">
        <v>0</v>
      </c>
      <c r="E210" s="277">
        <v>0</v>
      </c>
      <c r="F210" s="277">
        <v>0</v>
      </c>
      <c r="G210" s="277">
        <v>0</v>
      </c>
      <c r="H210" s="277">
        <v>0</v>
      </c>
      <c r="I210" s="277">
        <v>0</v>
      </c>
      <c r="J210" s="277">
        <v>0</v>
      </c>
      <c r="K210" s="277">
        <v>0</v>
      </c>
      <c r="L210" s="277">
        <v>0</v>
      </c>
      <c r="M210" s="277">
        <v>0</v>
      </c>
      <c r="N210" s="277">
        <v>0</v>
      </c>
      <c r="O210" s="277">
        <f>O200*$F$18</f>
        <v>256.44617298674308</v>
      </c>
      <c r="P210" s="277">
        <f>P201*$R$18</f>
        <v>49.63853741367258</v>
      </c>
      <c r="Q210" s="277">
        <v>0</v>
      </c>
      <c r="R210" s="288">
        <f t="shared" si="114"/>
        <v>306.08471040041564</v>
      </c>
      <c r="U210" s="404"/>
      <c r="V210" s="286" t="s">
        <v>39</v>
      </c>
      <c r="W210" s="277">
        <v>0</v>
      </c>
      <c r="X210" s="277">
        <v>0</v>
      </c>
      <c r="Y210" s="277">
        <v>0</v>
      </c>
      <c r="Z210" s="277">
        <v>0</v>
      </c>
      <c r="AA210" s="277">
        <v>0</v>
      </c>
      <c r="AB210" s="277">
        <v>0</v>
      </c>
      <c r="AC210" s="277">
        <v>0</v>
      </c>
      <c r="AD210" s="277">
        <v>0</v>
      </c>
      <c r="AE210" s="277">
        <v>0</v>
      </c>
      <c r="AF210" s="277">
        <v>0</v>
      </c>
      <c r="AG210" s="277">
        <v>0</v>
      </c>
      <c r="AH210" s="277">
        <v>0</v>
      </c>
      <c r="AI210" s="277">
        <f>AI200*$F$18</f>
        <v>240.62852446227859</v>
      </c>
      <c r="AJ210" s="277">
        <f>AJ201*$R$18</f>
        <v>49.63853741367258</v>
      </c>
      <c r="AK210" s="277">
        <v>0</v>
      </c>
      <c r="AL210" s="288">
        <f t="shared" si="115"/>
        <v>290.26706187595119</v>
      </c>
    </row>
    <row r="211" spans="1:38" ht="14.4" customHeight="1">
      <c r="A211" s="404"/>
      <c r="B211" s="281" t="s">
        <v>40</v>
      </c>
      <c r="C211" s="282">
        <f>SUM(C199:C210)</f>
        <v>0</v>
      </c>
      <c r="D211" s="282">
        <f t="shared" ref="D211:N211" si="118">SUM(D199:D210)</f>
        <v>0</v>
      </c>
      <c r="E211" s="282">
        <f t="shared" si="118"/>
        <v>0</v>
      </c>
      <c r="F211" s="282">
        <f t="shared" si="118"/>
        <v>0</v>
      </c>
      <c r="G211" s="282">
        <f t="shared" si="118"/>
        <v>0</v>
      </c>
      <c r="H211" s="282">
        <f t="shared" si="118"/>
        <v>1409.7504860577712</v>
      </c>
      <c r="I211" s="282">
        <f t="shared" si="118"/>
        <v>4673.0491957191771</v>
      </c>
      <c r="J211" s="282">
        <f t="shared" si="118"/>
        <v>577.47204557418672</v>
      </c>
      <c r="K211" s="282">
        <f t="shared" si="118"/>
        <v>1837.2082766948943</v>
      </c>
      <c r="L211" s="282">
        <f t="shared" si="118"/>
        <v>69.491131459751415</v>
      </c>
      <c r="M211" s="282">
        <f t="shared" si="118"/>
        <v>0</v>
      </c>
      <c r="N211" s="282">
        <f t="shared" si="118"/>
        <v>0</v>
      </c>
      <c r="O211" s="282">
        <f>-O221</f>
        <v>-3703.993842919288</v>
      </c>
      <c r="P211" s="282">
        <f>-P213</f>
        <v>-539.28605321735176</v>
      </c>
      <c r="Q211" s="282">
        <f t="shared" ref="Q211" si="119">SUM(Q199:Q210)</f>
        <v>0</v>
      </c>
      <c r="R211" s="282">
        <f t="shared" si="114"/>
        <v>4323.6912393691409</v>
      </c>
      <c r="U211" s="404"/>
      <c r="V211" s="281" t="s">
        <v>40</v>
      </c>
      <c r="W211" s="282">
        <f>SUM(W199:W210)</f>
        <v>0</v>
      </c>
      <c r="X211" s="282">
        <f t="shared" ref="X211:AH211" si="120">SUM(X199:X210)</f>
        <v>0</v>
      </c>
      <c r="Y211" s="282">
        <f t="shared" si="120"/>
        <v>0</v>
      </c>
      <c r="Z211" s="282">
        <f t="shared" si="120"/>
        <v>0</v>
      </c>
      <c r="AA211" s="282">
        <f t="shared" si="120"/>
        <v>0</v>
      </c>
      <c r="AB211" s="282">
        <f t="shared" si="120"/>
        <v>1600.2641884370307</v>
      </c>
      <c r="AC211" s="282">
        <f t="shared" si="120"/>
        <v>4035.8293602669783</v>
      </c>
      <c r="AD211" s="282">
        <f t="shared" si="120"/>
        <v>524.60518072394814</v>
      </c>
      <c r="AE211" s="282">
        <f t="shared" si="120"/>
        <v>1365.5727894399049</v>
      </c>
      <c r="AF211" s="282">
        <f t="shared" si="120"/>
        <v>64.456191950204882</v>
      </c>
      <c r="AG211" s="282">
        <f t="shared" si="120"/>
        <v>0</v>
      </c>
      <c r="AH211" s="282">
        <f t="shared" si="120"/>
        <v>0</v>
      </c>
      <c r="AI211" s="282">
        <f>-AI221</f>
        <v>-3475.5308010976164</v>
      </c>
      <c r="AJ211" s="282">
        <f>-AJ213</f>
        <v>-539.28605321735176</v>
      </c>
      <c r="AK211" s="282">
        <f t="shared" ref="AK211" si="121">SUM(AK199:AK210)</f>
        <v>0</v>
      </c>
      <c r="AL211" s="282">
        <f t="shared" si="115"/>
        <v>3575.9108565030992</v>
      </c>
    </row>
    <row r="212" spans="1:38" ht="14.4" customHeight="1">
      <c r="A212" s="404"/>
      <c r="B212" s="283"/>
      <c r="C212" s="284"/>
      <c r="D212" s="284"/>
      <c r="E212" s="291"/>
      <c r="F212" s="284"/>
      <c r="G212" s="284"/>
      <c r="H212" s="284"/>
      <c r="I212" s="291"/>
      <c r="J212" s="284"/>
      <c r="K212" s="284"/>
      <c r="L212" s="284"/>
      <c r="M212" s="292"/>
      <c r="N212" s="284"/>
      <c r="O212" s="284"/>
      <c r="P212" s="284"/>
      <c r="Q212" s="284"/>
      <c r="R212" s="284"/>
      <c r="U212" s="404"/>
      <c r="V212" s="283"/>
      <c r="W212" s="284"/>
      <c r="X212" s="284"/>
      <c r="Y212" s="291"/>
      <c r="Z212" s="284"/>
      <c r="AA212" s="284"/>
      <c r="AB212" s="284"/>
      <c r="AC212" s="291"/>
      <c r="AD212" s="284"/>
      <c r="AE212" s="284"/>
      <c r="AF212" s="284"/>
      <c r="AG212" s="292"/>
      <c r="AH212" s="284"/>
      <c r="AI212" s="284"/>
      <c r="AJ212" s="284"/>
      <c r="AK212" s="284"/>
      <c r="AL212" s="284"/>
    </row>
    <row r="213" spans="1:38" ht="14.4" customHeight="1">
      <c r="A213" s="404"/>
      <c r="B213" s="286" t="s">
        <v>41</v>
      </c>
      <c r="C213" s="277">
        <v>0</v>
      </c>
      <c r="D213" s="277">
        <v>0</v>
      </c>
      <c r="E213" s="277">
        <f>Industrie!$G$35</f>
        <v>333.2473398251438</v>
      </c>
      <c r="F213" s="277">
        <v>0</v>
      </c>
      <c r="G213" s="277">
        <v>0</v>
      </c>
      <c r="H213" s="277">
        <v>0</v>
      </c>
      <c r="I213" s="277">
        <f>Industrie!$G$38*$I$49/SUM($I$49:$N$49)</f>
        <v>29.596509379194078</v>
      </c>
      <c r="J213" s="277">
        <f>Industrie!$G$38*$J$49/SUM($I$49:$N$49)</f>
        <v>0</v>
      </c>
      <c r="K213" s="277">
        <f>Industrie!$G$38*$K$49/SUM($I$49:$N$49)</f>
        <v>0</v>
      </c>
      <c r="L213" s="277">
        <f>Industrie!$G$38*$L$49/SUM($I$49:$N$49)</f>
        <v>4.9359132329479118</v>
      </c>
      <c r="M213" s="277">
        <f>Industrie!$G$38*$M$49/SUM($I$49:$N$49)</f>
        <v>0</v>
      </c>
      <c r="N213" s="277">
        <f>Industrie!$G$38*$N$49/SUM($I$49:$N$49)</f>
        <v>0.10062667704573634</v>
      </c>
      <c r="O213" s="277">
        <f>Industrie!$G$36</f>
        <v>355.15633448492832</v>
      </c>
      <c r="P213" s="277">
        <f>Industrie!$G$39</f>
        <v>539.28605321735176</v>
      </c>
      <c r="Q213" s="277">
        <v>0</v>
      </c>
      <c r="R213" s="288">
        <f>SUM(C213:Q213)</f>
        <v>1262.3227768166116</v>
      </c>
      <c r="U213" s="404"/>
      <c r="V213" s="286" t="s">
        <v>41</v>
      </c>
      <c r="W213" s="277">
        <v>0</v>
      </c>
      <c r="X213" s="277">
        <v>0</v>
      </c>
      <c r="Y213" s="277">
        <f>Industrie!$G$56</f>
        <v>77.260265616387244</v>
      </c>
      <c r="Z213" s="277">
        <v>0</v>
      </c>
      <c r="AA213" s="277">
        <v>0</v>
      </c>
      <c r="AB213" s="277">
        <v>0</v>
      </c>
      <c r="AC213" s="277">
        <f>Industrie!$G$62*$AC$49/SUM($I$49:$N$49)</f>
        <v>128.63345051860625</v>
      </c>
      <c r="AD213" s="277">
        <f>Industrie!$G$62*$AD$49/SUM($I$49:$N$49)</f>
        <v>0</v>
      </c>
      <c r="AE213" s="277">
        <f>Industrie!$G$62*$AE$49/SUM($I$49:$N$49)</f>
        <v>0</v>
      </c>
      <c r="AF213" s="277">
        <f>Industrie!$G$62*$AF$49/SUM($I$49:$N$49)</f>
        <v>21.452649786494117</v>
      </c>
      <c r="AG213" s="277">
        <f>Industrie!$G$62*$AG$49/SUM($I$49:$N$49)</f>
        <v>0</v>
      </c>
      <c r="AH213" s="277">
        <f>Industrie!$G$62*$AH$49/SUM($I$49:$N$49)</f>
        <v>0.43734740866819621</v>
      </c>
      <c r="AI213" s="277">
        <f>Industrie!$G$57</f>
        <v>420.10799211726101</v>
      </c>
      <c r="AJ213" s="277">
        <f>Industrie!$G$63</f>
        <v>539.28605321735176</v>
      </c>
      <c r="AK213" s="277">
        <v>0</v>
      </c>
      <c r="AL213" s="288">
        <f>SUM(W213:AK213)</f>
        <v>1187.1777586647686</v>
      </c>
    </row>
    <row r="214" spans="1:38" ht="14.4" customHeight="1">
      <c r="A214" s="404"/>
      <c r="B214" s="286" t="s">
        <v>42</v>
      </c>
      <c r="C214" s="277">
        <v>0</v>
      </c>
      <c r="D214" s="277">
        <v>0</v>
      </c>
      <c r="E214" s="277">
        <f>Transports!$I$44</f>
        <v>3446.147310036411</v>
      </c>
      <c r="F214" s="277">
        <v>0</v>
      </c>
      <c r="G214" s="277">
        <v>0</v>
      </c>
      <c r="H214" s="277">
        <v>0</v>
      </c>
      <c r="I214" s="277">
        <v>0</v>
      </c>
      <c r="J214" s="277">
        <v>0</v>
      </c>
      <c r="K214" s="277">
        <v>0</v>
      </c>
      <c r="L214" s="277">
        <v>0</v>
      </c>
      <c r="M214" s="277">
        <v>0</v>
      </c>
      <c r="N214" s="277">
        <v>0</v>
      </c>
      <c r="O214" s="277">
        <f>Transports!$I$45</f>
        <v>507.87096767845344</v>
      </c>
      <c r="P214" s="277">
        <v>0</v>
      </c>
      <c r="Q214" s="277">
        <v>0</v>
      </c>
      <c r="R214" s="288">
        <f t="shared" ref="R214:R221" si="122">SUM(C214:Q214)</f>
        <v>3954.0182777148643</v>
      </c>
      <c r="U214" s="404"/>
      <c r="V214" s="286" t="s">
        <v>42</v>
      </c>
      <c r="W214" s="277">
        <v>0</v>
      </c>
      <c r="X214" s="277">
        <v>0</v>
      </c>
      <c r="Y214" s="277">
        <f>Transports!$I71</f>
        <v>1820.8727723067036</v>
      </c>
      <c r="Z214" s="277">
        <v>0</v>
      </c>
      <c r="AA214" s="277">
        <v>0</v>
      </c>
      <c r="AB214" s="277">
        <v>0</v>
      </c>
      <c r="AC214" s="277">
        <v>0</v>
      </c>
      <c r="AD214" s="277">
        <v>0</v>
      </c>
      <c r="AE214" s="277">
        <v>0</v>
      </c>
      <c r="AF214" s="277">
        <v>0</v>
      </c>
      <c r="AG214" s="277">
        <v>0</v>
      </c>
      <c r="AH214" s="277">
        <v>0</v>
      </c>
      <c r="AI214" s="277">
        <f>Transports!$I$72</f>
        <v>1105.9498585699062</v>
      </c>
      <c r="AJ214" s="277">
        <v>0</v>
      </c>
      <c r="AK214" s="277">
        <v>0</v>
      </c>
      <c r="AL214" s="288">
        <f t="shared" ref="AL214:AL221" si="123">SUM(W214:AK214)</f>
        <v>2926.8226308766098</v>
      </c>
    </row>
    <row r="215" spans="1:38" ht="14.4" customHeight="1">
      <c r="A215" s="404"/>
      <c r="B215" s="286" t="s">
        <v>43</v>
      </c>
      <c r="C215" s="277">
        <v>0</v>
      </c>
      <c r="D215" s="277">
        <v>0</v>
      </c>
      <c r="E215" s="277">
        <f>'Résidentiel-tertiaire'!$G$163</f>
        <v>112.15159027012658</v>
      </c>
      <c r="F215" s="277">
        <v>0</v>
      </c>
      <c r="G215" s="277">
        <v>0</v>
      </c>
      <c r="H215" s="277">
        <v>0</v>
      </c>
      <c r="I215" s="277">
        <f>'Résidentiel-tertiaire'!$G$164*$I$51/SUM($I$51:$N$51)</f>
        <v>0</v>
      </c>
      <c r="J215" s="277">
        <f>'Résidentiel-tertiaire'!$G$164*$J$51/SUM($I$51:$N$51)</f>
        <v>0</v>
      </c>
      <c r="K215" s="277">
        <f>'Résidentiel-tertiaire'!$G$164*$K$51/SUM($I$51:$N$51)</f>
        <v>0</v>
      </c>
      <c r="L215" s="277">
        <f>'Résidentiel-tertiaire'!$G$164*$L$51/SUM($I$51:$N$51)</f>
        <v>0</v>
      </c>
      <c r="M215" s="277">
        <f>'Résidentiel-tertiaire'!$G$164*$M$51/SUM($I$51:$N$51)</f>
        <v>0</v>
      </c>
      <c r="N215" s="277">
        <f>'Résidentiel-tertiaire'!$G$164*$N$51/SUM($I$51:$N$51)</f>
        <v>771.65170261945775</v>
      </c>
      <c r="O215" s="277">
        <f>'Résidentiel-tertiaire'!$G$165</f>
        <v>1499.4180003506053</v>
      </c>
      <c r="P215" s="277">
        <v>0</v>
      </c>
      <c r="Q215" s="277">
        <v>0</v>
      </c>
      <c r="R215" s="288">
        <f t="shared" si="122"/>
        <v>2383.2212932401899</v>
      </c>
      <c r="U215" s="404"/>
      <c r="V215" s="286" t="s">
        <v>43</v>
      </c>
      <c r="W215" s="277">
        <v>0</v>
      </c>
      <c r="X215" s="277">
        <v>0</v>
      </c>
      <c r="Y215" s="277">
        <f>'Résidentiel-tertiaire'!$G$177</f>
        <v>43.666666666666686</v>
      </c>
      <c r="Z215" s="277">
        <v>0</v>
      </c>
      <c r="AA215" s="277">
        <v>0</v>
      </c>
      <c r="AB215" s="277">
        <v>0</v>
      </c>
      <c r="AC215" s="277">
        <f>'Résidentiel-tertiaire'!$G$178*$AC$51/SUM($I$51:$N$51)</f>
        <v>0</v>
      </c>
      <c r="AD215" s="277">
        <f>'Résidentiel-tertiaire'!$G$178*$AD$51/SUM($I$51:$N$51)</f>
        <v>0</v>
      </c>
      <c r="AE215" s="277">
        <f>'Résidentiel-tertiaire'!$G$178*$AE$51/SUM($I$51:$N$51)</f>
        <v>0</v>
      </c>
      <c r="AF215" s="277">
        <f>'Résidentiel-tertiaire'!$G$178*$AF$51/SUM($I$51:$N$51)</f>
        <v>0</v>
      </c>
      <c r="AG215" s="277">
        <f>'Résidentiel-tertiaire'!$G$178*$AG$51/SUM($I$51:$N$51)</f>
        <v>0</v>
      </c>
      <c r="AH215" s="277">
        <f>'Résidentiel-tertiaire'!$G$178*$AH$51/SUM($I$51:$N$51)</f>
        <v>521.3018774991574</v>
      </c>
      <c r="AI215" s="277">
        <f>'Résidentiel-tertiaire'!$G$179</f>
        <v>971.3250055457072</v>
      </c>
      <c r="AJ215" s="277">
        <v>0</v>
      </c>
      <c r="AK215" s="277">
        <v>0</v>
      </c>
      <c r="AL215" s="288">
        <f t="shared" si="123"/>
        <v>1536.2935497115313</v>
      </c>
    </row>
    <row r="216" spans="1:38" ht="14.4" customHeight="1">
      <c r="A216" s="404"/>
      <c r="B216" s="286" t="s">
        <v>44</v>
      </c>
      <c r="C216" s="277">
        <v>0</v>
      </c>
      <c r="D216" s="277">
        <v>0</v>
      </c>
      <c r="E216" s="277">
        <f>'Résidentiel-tertiaire'!$G$168</f>
        <v>370.59471534821949</v>
      </c>
      <c r="F216" s="277">
        <v>0</v>
      </c>
      <c r="G216" s="277">
        <v>0</v>
      </c>
      <c r="H216" s="277">
        <v>0</v>
      </c>
      <c r="I216" s="277">
        <f>'Résidentiel-tertiaire'!$G$169*$I$52/SUM($I$52:$N$52)</f>
        <v>0</v>
      </c>
      <c r="J216" s="277">
        <f>'Résidentiel-tertiaire'!$G$169*$J$52/SUM($I$52:$N$52)</f>
        <v>0</v>
      </c>
      <c r="K216" s="277">
        <f>'Résidentiel-tertiaire'!$G$169*$K$52/SUM($I$52:$N$52)</f>
        <v>0</v>
      </c>
      <c r="L216" s="277">
        <f>'Résidentiel-tertiaire'!$G$169*$L$52/SUM($I$52:$N$52)</f>
        <v>0</v>
      </c>
      <c r="M216" s="277">
        <f>'Résidentiel-tertiaire'!$G$169*$M$52/SUM($I$52:$N$52)</f>
        <v>0</v>
      </c>
      <c r="N216" s="277">
        <f>'Résidentiel-tertiaire'!$G$169*$N$52/SUM($I$52:$N$52)</f>
        <v>1.1128970430877463</v>
      </c>
      <c r="O216" s="277">
        <f>'Résidentiel-tertiaire'!$G$170</f>
        <v>1321.0087901451548</v>
      </c>
      <c r="P216" s="277">
        <v>0</v>
      </c>
      <c r="Q216" s="277">
        <v>0</v>
      </c>
      <c r="R216" s="288">
        <f t="shared" si="122"/>
        <v>1692.7164025364621</v>
      </c>
      <c r="U216" s="404"/>
      <c r="V216" s="286" t="s">
        <v>44</v>
      </c>
      <c r="W216" s="277">
        <v>0</v>
      </c>
      <c r="X216" s="277">
        <v>0</v>
      </c>
      <c r="Y216" s="277">
        <f>'Résidentiel-tertiaire'!$G$182</f>
        <v>93.333333333333371</v>
      </c>
      <c r="Z216" s="277">
        <v>0</v>
      </c>
      <c r="AA216" s="277">
        <v>0</v>
      </c>
      <c r="AB216" s="277">
        <v>0</v>
      </c>
      <c r="AC216" s="277">
        <f>'Résidentiel-tertiaire'!$G$183*$AC$52/SUM($I$52:$N$52)</f>
        <v>0</v>
      </c>
      <c r="AD216" s="277">
        <f>'Résidentiel-tertiaire'!$G$183*$AD$52/SUM($I$52:$N$52)</f>
        <v>0</v>
      </c>
      <c r="AE216" s="277">
        <f>'Résidentiel-tertiaire'!$G$183*$AE$52/SUM($I$52:$N$52)</f>
        <v>0</v>
      </c>
      <c r="AF216" s="277">
        <f>'Résidentiel-tertiaire'!$G$183*$AF$52/SUM($I$52:$N$52)</f>
        <v>0</v>
      </c>
      <c r="AG216" s="277">
        <f>'Résidentiel-tertiaire'!$G$183*$AG$52/SUM($I$52:$N$52)</f>
        <v>0</v>
      </c>
      <c r="AH216" s="277">
        <f>'Résidentiel-tertiaire'!$G$183*$AH$52/SUM($I$52:$N$52)</f>
        <v>0.74956124540544988</v>
      </c>
      <c r="AI216" s="277">
        <f>'Résidentiel-tertiaire'!$G$184</f>
        <v>970.29407389699998</v>
      </c>
      <c r="AJ216" s="277">
        <v>0</v>
      </c>
      <c r="AK216" s="277">
        <v>0</v>
      </c>
      <c r="AL216" s="288">
        <f t="shared" si="123"/>
        <v>1064.3769684757387</v>
      </c>
    </row>
    <row r="217" spans="1:38" ht="14.4" customHeight="1">
      <c r="A217" s="404"/>
      <c r="B217" s="286" t="s">
        <v>4</v>
      </c>
      <c r="C217" s="277">
        <v>0</v>
      </c>
      <c r="D217" s="277">
        <v>0</v>
      </c>
      <c r="E217" s="277">
        <f>Agriculture!$S$27</f>
        <v>104.75272632674297</v>
      </c>
      <c r="F217" s="277">
        <v>0</v>
      </c>
      <c r="G217" s="277">
        <v>0</v>
      </c>
      <c r="H217" s="277">
        <v>0</v>
      </c>
      <c r="I217" s="277">
        <v>0</v>
      </c>
      <c r="J217" s="277">
        <v>0</v>
      </c>
      <c r="K217" s="277">
        <v>0</v>
      </c>
      <c r="L217" s="277">
        <v>0</v>
      </c>
      <c r="M217" s="277">
        <v>0</v>
      </c>
      <c r="N217" s="277">
        <v>0</v>
      </c>
      <c r="O217" s="277">
        <f>Agriculture!$S$28</f>
        <v>20.539750260145681</v>
      </c>
      <c r="P217" s="277">
        <v>0</v>
      </c>
      <c r="Q217" s="277">
        <v>0</v>
      </c>
      <c r="R217" s="288">
        <f t="shared" si="122"/>
        <v>125.29247658688865</v>
      </c>
      <c r="U217" s="404"/>
      <c r="V217" s="286" t="s">
        <v>4</v>
      </c>
      <c r="W217" s="277">
        <v>0</v>
      </c>
      <c r="X217" s="277">
        <v>0</v>
      </c>
      <c r="Y217" s="277">
        <f>Agriculture!$Y$43</f>
        <v>32.903225806451616</v>
      </c>
      <c r="Z217" s="277">
        <v>0</v>
      </c>
      <c r="AA217" s="277">
        <v>0</v>
      </c>
      <c r="AB217" s="277">
        <v>0</v>
      </c>
      <c r="AC217" s="277">
        <v>0</v>
      </c>
      <c r="AD217" s="277">
        <v>0</v>
      </c>
      <c r="AE217" s="277">
        <f>Agriculture!$Y$45</f>
        <v>64.363645161290322</v>
      </c>
      <c r="AF217" s="277">
        <v>0</v>
      </c>
      <c r="AG217" s="277">
        <v>0</v>
      </c>
      <c r="AH217" s="277">
        <v>0</v>
      </c>
      <c r="AI217" s="277">
        <f>Agriculture!$Y$44</f>
        <v>7.8538709677419369</v>
      </c>
      <c r="AJ217" s="277">
        <v>0</v>
      </c>
      <c r="AK217" s="277">
        <v>0</v>
      </c>
      <c r="AL217" s="288">
        <f t="shared" si="123"/>
        <v>105.12074193548388</v>
      </c>
    </row>
    <row r="218" spans="1:38" ht="14.4" customHeight="1">
      <c r="A218" s="404"/>
      <c r="B218" s="286" t="s">
        <v>410</v>
      </c>
      <c r="C218" s="277">
        <v>0</v>
      </c>
      <c r="D218" s="277">
        <v>0</v>
      </c>
      <c r="E218" s="277">
        <v>0</v>
      </c>
      <c r="F218" s="277">
        <v>0</v>
      </c>
      <c r="G218" s="277">
        <v>0</v>
      </c>
      <c r="H218" s="277">
        <v>0</v>
      </c>
      <c r="I218" s="277">
        <v>0</v>
      </c>
      <c r="J218" s="277">
        <v>0</v>
      </c>
      <c r="K218" s="277">
        <v>0</v>
      </c>
      <c r="L218" s="277">
        <v>0</v>
      </c>
      <c r="M218" s="277">
        <v>0</v>
      </c>
      <c r="N218" s="277">
        <v>0</v>
      </c>
      <c r="O218" s="277">
        <v>0</v>
      </c>
      <c r="P218" s="277">
        <v>0</v>
      </c>
      <c r="Q218" s="277">
        <v>0</v>
      </c>
      <c r="R218" s="288">
        <f t="shared" si="122"/>
        <v>0</v>
      </c>
      <c r="U218" s="404"/>
      <c r="V218" s="286" t="s">
        <v>410</v>
      </c>
      <c r="W218" s="277">
        <v>0</v>
      </c>
      <c r="X218" s="277">
        <v>0</v>
      </c>
      <c r="Y218" s="277">
        <v>0</v>
      </c>
      <c r="Z218" s="277">
        <v>0</v>
      </c>
      <c r="AA218" s="277">
        <v>0</v>
      </c>
      <c r="AB218" s="277">
        <v>0</v>
      </c>
      <c r="AC218" s="277">
        <v>0</v>
      </c>
      <c r="AD218" s="277">
        <v>0</v>
      </c>
      <c r="AE218" s="277">
        <v>0</v>
      </c>
      <c r="AF218" s="277">
        <v>0</v>
      </c>
      <c r="AG218" s="277">
        <v>0</v>
      </c>
      <c r="AH218" s="277">
        <v>0</v>
      </c>
      <c r="AI218" s="277">
        <v>0</v>
      </c>
      <c r="AJ218" s="277">
        <v>0</v>
      </c>
      <c r="AK218" s="277">
        <v>0</v>
      </c>
      <c r="AL218" s="288">
        <f t="shared" si="123"/>
        <v>0</v>
      </c>
    </row>
    <row r="219" spans="1:38" ht="14.4" customHeight="1">
      <c r="A219" s="404"/>
      <c r="B219" s="281" t="s">
        <v>45</v>
      </c>
      <c r="C219" s="282">
        <f>SUM(C213:C218)</f>
        <v>0</v>
      </c>
      <c r="D219" s="282">
        <f t="shared" ref="D219:Q219" si="124">SUM(D213:D218)</f>
        <v>0</v>
      </c>
      <c r="E219" s="282">
        <f t="shared" si="124"/>
        <v>4366.8936818066441</v>
      </c>
      <c r="F219" s="282">
        <f t="shared" si="124"/>
        <v>0</v>
      </c>
      <c r="G219" s="282">
        <f t="shared" si="124"/>
        <v>0</v>
      </c>
      <c r="H219" s="282">
        <f t="shared" si="124"/>
        <v>0</v>
      </c>
      <c r="I219" s="282">
        <f t="shared" si="124"/>
        <v>29.596509379194078</v>
      </c>
      <c r="J219" s="282">
        <f t="shared" si="124"/>
        <v>0</v>
      </c>
      <c r="K219" s="282">
        <f t="shared" si="124"/>
        <v>0</v>
      </c>
      <c r="L219" s="282">
        <f t="shared" si="124"/>
        <v>4.9359132329479118</v>
      </c>
      <c r="M219" s="282">
        <f t="shared" si="124"/>
        <v>0</v>
      </c>
      <c r="N219" s="282">
        <f t="shared" si="124"/>
        <v>772.86522633959123</v>
      </c>
      <c r="O219" s="282">
        <f t="shared" si="124"/>
        <v>3703.993842919288</v>
      </c>
      <c r="P219" s="282">
        <f t="shared" si="124"/>
        <v>539.28605321735176</v>
      </c>
      <c r="Q219" s="282">
        <f t="shared" si="124"/>
        <v>0</v>
      </c>
      <c r="R219" s="282">
        <f t="shared" si="122"/>
        <v>9417.5712268950156</v>
      </c>
      <c r="U219" s="404"/>
      <c r="V219" s="281" t="s">
        <v>45</v>
      </c>
      <c r="W219" s="282">
        <f>SUM(W213:W218)</f>
        <v>0</v>
      </c>
      <c r="X219" s="282">
        <f t="shared" ref="X219:AK219" si="125">SUM(X213:X218)</f>
        <v>0</v>
      </c>
      <c r="Y219" s="282">
        <f t="shared" si="125"/>
        <v>2068.0362637295425</v>
      </c>
      <c r="Z219" s="282">
        <f t="shared" si="125"/>
        <v>0</v>
      </c>
      <c r="AA219" s="282">
        <f t="shared" si="125"/>
        <v>0</v>
      </c>
      <c r="AB219" s="282">
        <f t="shared" si="125"/>
        <v>0</v>
      </c>
      <c r="AC219" s="282">
        <f t="shared" si="125"/>
        <v>128.63345051860625</v>
      </c>
      <c r="AD219" s="282">
        <f t="shared" si="125"/>
        <v>0</v>
      </c>
      <c r="AE219" s="282">
        <f t="shared" si="125"/>
        <v>64.363645161290322</v>
      </c>
      <c r="AF219" s="282">
        <f t="shared" si="125"/>
        <v>21.452649786494117</v>
      </c>
      <c r="AG219" s="282">
        <f t="shared" si="125"/>
        <v>0</v>
      </c>
      <c r="AH219" s="282">
        <f t="shared" si="125"/>
        <v>522.48878615323099</v>
      </c>
      <c r="AI219" s="282">
        <f t="shared" si="125"/>
        <v>3475.5308010976164</v>
      </c>
      <c r="AJ219" s="282">
        <f t="shared" si="125"/>
        <v>539.28605321735176</v>
      </c>
      <c r="AK219" s="282">
        <f t="shared" si="125"/>
        <v>0</v>
      </c>
      <c r="AL219" s="282">
        <f t="shared" si="123"/>
        <v>6819.7916496641328</v>
      </c>
    </row>
    <row r="220" spans="1:38" ht="14.4" customHeight="1">
      <c r="A220" s="404"/>
      <c r="B220" s="276" t="s">
        <v>46</v>
      </c>
      <c r="C220" s="277">
        <v>0</v>
      </c>
      <c r="D220" s="277">
        <v>0</v>
      </c>
      <c r="E220" s="277">
        <f>Industrie!$G$37</f>
        <v>331.48775748222539</v>
      </c>
      <c r="F220" s="277">
        <v>0</v>
      </c>
      <c r="G220" s="277">
        <v>0</v>
      </c>
      <c r="H220" s="277">
        <v>0</v>
      </c>
      <c r="I220" s="277">
        <v>0</v>
      </c>
      <c r="J220" s="277">
        <v>0</v>
      </c>
      <c r="K220" s="277">
        <v>0</v>
      </c>
      <c r="L220" s="277">
        <v>0</v>
      </c>
      <c r="M220" s="277">
        <v>0</v>
      </c>
      <c r="N220" s="277">
        <v>0</v>
      </c>
      <c r="O220" s="277">
        <v>0</v>
      </c>
      <c r="P220" s="277">
        <v>0</v>
      </c>
      <c r="Q220" s="277">
        <v>0</v>
      </c>
      <c r="R220" s="288">
        <f t="shared" si="122"/>
        <v>331.48775748222539</v>
      </c>
      <c r="U220" s="404"/>
      <c r="V220" s="276" t="s">
        <v>46</v>
      </c>
      <c r="W220" s="277">
        <v>0</v>
      </c>
      <c r="X220" s="277">
        <v>0</v>
      </c>
      <c r="Y220" s="277">
        <f>Industrie!$G$59</f>
        <v>331.48775748222539</v>
      </c>
      <c r="Z220" s="277">
        <v>0</v>
      </c>
      <c r="AA220" s="277">
        <v>0</v>
      </c>
      <c r="AB220" s="277">
        <v>0</v>
      </c>
      <c r="AC220" s="277">
        <v>0</v>
      </c>
      <c r="AD220" s="277">
        <v>0</v>
      </c>
      <c r="AE220" s="277">
        <v>0</v>
      </c>
      <c r="AF220" s="277">
        <v>0</v>
      </c>
      <c r="AG220" s="277">
        <v>0</v>
      </c>
      <c r="AH220" s="277">
        <v>0</v>
      </c>
      <c r="AI220" s="277">
        <v>0</v>
      </c>
      <c r="AJ220" s="277">
        <v>0</v>
      </c>
      <c r="AK220" s="277">
        <v>0</v>
      </c>
      <c r="AL220" s="288">
        <f t="shared" si="123"/>
        <v>331.48775748222539</v>
      </c>
    </row>
    <row r="221" spans="1:38" ht="14.4" customHeight="1">
      <c r="A221" s="404"/>
      <c r="B221" s="281" t="s">
        <v>47</v>
      </c>
      <c r="C221" s="282">
        <f>C220+C219</f>
        <v>0</v>
      </c>
      <c r="D221" s="282">
        <f t="shared" ref="D221:Q221" si="126">D220+D219</f>
        <v>0</v>
      </c>
      <c r="E221" s="282">
        <f t="shared" si="126"/>
        <v>4698.3814392888698</v>
      </c>
      <c r="F221" s="282">
        <f t="shared" si="126"/>
        <v>0</v>
      </c>
      <c r="G221" s="282">
        <f t="shared" si="126"/>
        <v>0</v>
      </c>
      <c r="H221" s="282">
        <f t="shared" si="126"/>
        <v>0</v>
      </c>
      <c r="I221" s="282">
        <f t="shared" si="126"/>
        <v>29.596509379194078</v>
      </c>
      <c r="J221" s="282">
        <f t="shared" si="126"/>
        <v>0</v>
      </c>
      <c r="K221" s="282">
        <f t="shared" si="126"/>
        <v>0</v>
      </c>
      <c r="L221" s="282">
        <f t="shared" si="126"/>
        <v>4.9359132329479118</v>
      </c>
      <c r="M221" s="282">
        <f t="shared" si="126"/>
        <v>0</v>
      </c>
      <c r="N221" s="282">
        <f t="shared" si="126"/>
        <v>772.86522633959123</v>
      </c>
      <c r="O221" s="282">
        <f t="shared" si="126"/>
        <v>3703.993842919288</v>
      </c>
      <c r="P221" s="282">
        <f t="shared" si="126"/>
        <v>539.28605321735176</v>
      </c>
      <c r="Q221" s="282">
        <f t="shared" si="126"/>
        <v>0</v>
      </c>
      <c r="R221" s="282">
        <f t="shared" si="122"/>
        <v>9749.0589843772432</v>
      </c>
      <c r="U221" s="404"/>
      <c r="V221" s="281" t="s">
        <v>47</v>
      </c>
      <c r="W221" s="282">
        <f>W220+W219</f>
        <v>0</v>
      </c>
      <c r="X221" s="282">
        <f t="shared" ref="X221:AK221" si="127">X220+X219</f>
        <v>0</v>
      </c>
      <c r="Y221" s="282">
        <f t="shared" si="127"/>
        <v>2399.5240212117678</v>
      </c>
      <c r="Z221" s="282">
        <f t="shared" si="127"/>
        <v>0</v>
      </c>
      <c r="AA221" s="282">
        <f t="shared" si="127"/>
        <v>0</v>
      </c>
      <c r="AB221" s="282">
        <f t="shared" si="127"/>
        <v>0</v>
      </c>
      <c r="AC221" s="282">
        <f t="shared" si="127"/>
        <v>128.63345051860625</v>
      </c>
      <c r="AD221" s="282">
        <f t="shared" si="127"/>
        <v>0</v>
      </c>
      <c r="AE221" s="282">
        <f t="shared" si="127"/>
        <v>64.363645161290322</v>
      </c>
      <c r="AF221" s="282">
        <f t="shared" si="127"/>
        <v>21.452649786494117</v>
      </c>
      <c r="AG221" s="282">
        <f t="shared" si="127"/>
        <v>0</v>
      </c>
      <c r="AH221" s="282">
        <f t="shared" si="127"/>
        <v>522.48878615323099</v>
      </c>
      <c r="AI221" s="282">
        <f t="shared" si="127"/>
        <v>3475.5308010976164</v>
      </c>
      <c r="AJ221" s="282">
        <f t="shared" si="127"/>
        <v>539.28605321735176</v>
      </c>
      <c r="AK221" s="282">
        <f t="shared" si="127"/>
        <v>0</v>
      </c>
      <c r="AL221" s="282">
        <f t="shared" si="123"/>
        <v>7151.2794071463577</v>
      </c>
    </row>
    <row r="230" spans="1:38" ht="14.4" customHeight="1">
      <c r="A230" s="404">
        <v>2045</v>
      </c>
      <c r="B230" s="408" t="s">
        <v>12</v>
      </c>
      <c r="C230" s="407" t="s">
        <v>14</v>
      </c>
      <c r="D230" s="407" t="s">
        <v>15</v>
      </c>
      <c r="E230" s="407" t="s">
        <v>16</v>
      </c>
      <c r="F230" s="407" t="s">
        <v>17</v>
      </c>
      <c r="G230" s="407" t="s">
        <v>395</v>
      </c>
      <c r="H230" s="407" t="s">
        <v>18</v>
      </c>
      <c r="I230" s="407" t="s">
        <v>19</v>
      </c>
      <c r="J230" s="407"/>
      <c r="K230" s="407"/>
      <c r="L230" s="407"/>
      <c r="M230" s="407"/>
      <c r="N230" s="407"/>
      <c r="O230" s="399" t="s">
        <v>396</v>
      </c>
      <c r="P230" s="399" t="s">
        <v>21</v>
      </c>
      <c r="Q230" s="399" t="s">
        <v>397</v>
      </c>
      <c r="R230" s="399" t="s">
        <v>23</v>
      </c>
      <c r="U230" s="404">
        <v>2045</v>
      </c>
      <c r="V230" s="405" t="s">
        <v>12</v>
      </c>
      <c r="W230" s="399" t="s">
        <v>14</v>
      </c>
      <c r="X230" s="399" t="s">
        <v>15</v>
      </c>
      <c r="Y230" s="399" t="s">
        <v>16</v>
      </c>
      <c r="Z230" s="399" t="s">
        <v>17</v>
      </c>
      <c r="AA230" s="399" t="s">
        <v>395</v>
      </c>
      <c r="AB230" s="399" t="s">
        <v>18</v>
      </c>
      <c r="AC230" s="401" t="s">
        <v>19</v>
      </c>
      <c r="AD230" s="402"/>
      <c r="AE230" s="402"/>
      <c r="AF230" s="402"/>
      <c r="AG230" s="402"/>
      <c r="AH230" s="403"/>
      <c r="AI230" s="399" t="s">
        <v>396</v>
      </c>
      <c r="AJ230" s="399" t="s">
        <v>21</v>
      </c>
      <c r="AK230" s="399" t="s">
        <v>397</v>
      </c>
      <c r="AL230" s="399" t="s">
        <v>23</v>
      </c>
    </row>
    <row r="231" spans="1:38" ht="45.6">
      <c r="A231" s="404"/>
      <c r="B231" s="408"/>
      <c r="C231" s="407"/>
      <c r="D231" s="407"/>
      <c r="E231" s="407"/>
      <c r="F231" s="407"/>
      <c r="G231" s="407"/>
      <c r="H231" s="407"/>
      <c r="I231" s="274" t="s">
        <v>384</v>
      </c>
      <c r="J231" s="274" t="s">
        <v>7</v>
      </c>
      <c r="K231" s="274" t="s">
        <v>385</v>
      </c>
      <c r="L231" s="274" t="s">
        <v>398</v>
      </c>
      <c r="M231" s="275" t="s">
        <v>399</v>
      </c>
      <c r="N231" s="274" t="s">
        <v>400</v>
      </c>
      <c r="O231" s="399"/>
      <c r="P231" s="399"/>
      <c r="Q231" s="399"/>
      <c r="R231" s="399"/>
      <c r="U231" s="404"/>
      <c r="V231" s="406"/>
      <c r="W231" s="400"/>
      <c r="X231" s="400"/>
      <c r="Y231" s="400"/>
      <c r="Z231" s="400"/>
      <c r="AA231" s="400"/>
      <c r="AB231" s="400"/>
      <c r="AC231" s="274" t="s">
        <v>384</v>
      </c>
      <c r="AD231" s="274" t="s">
        <v>7</v>
      </c>
      <c r="AE231" s="274" t="s">
        <v>385</v>
      </c>
      <c r="AF231" s="274" t="s">
        <v>398</v>
      </c>
      <c r="AG231" s="275" t="s">
        <v>399</v>
      </c>
      <c r="AH231" s="274" t="s">
        <v>400</v>
      </c>
      <c r="AI231" s="400"/>
      <c r="AJ231" s="400"/>
      <c r="AK231" s="400"/>
      <c r="AL231" s="399"/>
    </row>
    <row r="232" spans="1:38" ht="14.4" customHeight="1">
      <c r="A232" s="404"/>
      <c r="B232" s="276" t="s">
        <v>24</v>
      </c>
      <c r="C232" s="277">
        <v>0</v>
      </c>
      <c r="D232" s="278">
        <v>0</v>
      </c>
      <c r="E232" s="278">
        <v>0</v>
      </c>
      <c r="F232" s="277">
        <v>0</v>
      </c>
      <c r="G232" s="278">
        <v>0</v>
      </c>
      <c r="H232" s="278">
        <f>H238</f>
        <v>1485.5408590324917</v>
      </c>
      <c r="I232" s="278">
        <f>$I$27</f>
        <v>1181.9392943361693</v>
      </c>
      <c r="J232" s="278">
        <f>J238</f>
        <v>577.47204557418672</v>
      </c>
      <c r="K232" s="278">
        <v>0</v>
      </c>
      <c r="L232" s="278">
        <f>L238</f>
        <v>75.255035286214593</v>
      </c>
      <c r="M232" s="278">
        <v>0</v>
      </c>
      <c r="N232" s="278">
        <f>N238</f>
        <v>827.22742956458183</v>
      </c>
      <c r="O232" s="279">
        <v>0</v>
      </c>
      <c r="P232" s="278">
        <v>0</v>
      </c>
      <c r="Q232" s="278">
        <v>0</v>
      </c>
      <c r="R232" s="280">
        <f>SUM(C232:Q232)</f>
        <v>4147.4346637936442</v>
      </c>
      <c r="U232" s="404"/>
      <c r="V232" s="276" t="s">
        <v>24</v>
      </c>
      <c r="W232" s="277">
        <v>0</v>
      </c>
      <c r="X232" s="278">
        <v>0</v>
      </c>
      <c r="Y232" s="278">
        <v>0</v>
      </c>
      <c r="Z232" s="277">
        <v>0</v>
      </c>
      <c r="AA232" s="278">
        <v>0</v>
      </c>
      <c r="AB232" s="278">
        <f>AB238</f>
        <v>1702.2871323348729</v>
      </c>
      <c r="AC232" s="278">
        <f>$I$27</f>
        <v>1181.9392943361693</v>
      </c>
      <c r="AD232" s="278">
        <f>AD238</f>
        <v>524.60518072394814</v>
      </c>
      <c r="AE232" s="278">
        <v>0</v>
      </c>
      <c r="AF232" s="278">
        <f>AF238</f>
        <v>89.306294597379917</v>
      </c>
      <c r="AG232" s="278">
        <v>0</v>
      </c>
      <c r="AH232" s="278">
        <f>AH238</f>
        <v>499.62760264646812</v>
      </c>
      <c r="AI232" s="279">
        <v>0</v>
      </c>
      <c r="AJ232" s="278">
        <v>0</v>
      </c>
      <c r="AK232" s="278">
        <v>0</v>
      </c>
      <c r="AL232" s="280">
        <f>SUM(W232:AK232)</f>
        <v>3997.7655046388381</v>
      </c>
    </row>
    <row r="233" spans="1:38" ht="14.4" customHeight="1">
      <c r="A233" s="404"/>
      <c r="B233" s="276" t="s">
        <v>28</v>
      </c>
      <c r="C233" s="277">
        <f>C238</f>
        <v>0</v>
      </c>
      <c r="D233" s="278">
        <f>D238</f>
        <v>0</v>
      </c>
      <c r="E233" s="278">
        <f>E238</f>
        <v>4396.8155490812233</v>
      </c>
      <c r="F233" s="277">
        <v>0</v>
      </c>
      <c r="G233" s="278">
        <v>0</v>
      </c>
      <c r="H233" s="278">
        <v>0</v>
      </c>
      <c r="I233" s="278">
        <f>I238-$I$27</f>
        <v>4011.0003615557061</v>
      </c>
      <c r="J233" s="278">
        <v>0</v>
      </c>
      <c r="K233" s="278">
        <f>K238</f>
        <v>2048.6940396672826</v>
      </c>
      <c r="L233" s="278">
        <v>0</v>
      </c>
      <c r="M233" s="278">
        <v>0</v>
      </c>
      <c r="N233" s="278">
        <v>0</v>
      </c>
      <c r="O233" s="279">
        <v>0</v>
      </c>
      <c r="P233" s="278">
        <v>0</v>
      </c>
      <c r="Q233" s="278">
        <v>0</v>
      </c>
      <c r="R233" s="280">
        <f t="shared" ref="R233:R238" si="128">SUM(C233:Q233)</f>
        <v>10456.509950304211</v>
      </c>
      <c r="U233" s="404"/>
      <c r="V233" s="276" t="s">
        <v>28</v>
      </c>
      <c r="W233" s="277">
        <f>W238</f>
        <v>0</v>
      </c>
      <c r="X233" s="278">
        <f>X238</f>
        <v>0</v>
      </c>
      <c r="Y233" s="278">
        <f>Y238</f>
        <v>1439.322292353047</v>
      </c>
      <c r="Z233" s="277">
        <v>0</v>
      </c>
      <c r="AA233" s="278">
        <v>0</v>
      </c>
      <c r="AB233" s="278">
        <v>0</v>
      </c>
      <c r="AC233" s="278">
        <f>AC238-$I$27</f>
        <v>3471.9857088678273</v>
      </c>
      <c r="AD233" s="278">
        <v>0</v>
      </c>
      <c r="AE233" s="278">
        <f>AE238</f>
        <v>1625.6580032422135</v>
      </c>
      <c r="AF233" s="278">
        <v>0</v>
      </c>
      <c r="AG233" s="278">
        <v>0</v>
      </c>
      <c r="AH233" s="278">
        <v>0</v>
      </c>
      <c r="AI233" s="279">
        <v>0</v>
      </c>
      <c r="AJ233" s="278">
        <v>0</v>
      </c>
      <c r="AK233" s="278">
        <v>0</v>
      </c>
      <c r="AL233" s="280">
        <f t="shared" ref="AL233:AL238" si="129">SUM(W233:AK233)</f>
        <v>6536.9660044630873</v>
      </c>
    </row>
    <row r="234" spans="1:38" ht="14.4" customHeight="1">
      <c r="A234" s="404"/>
      <c r="B234" s="276" t="s">
        <v>29</v>
      </c>
      <c r="C234" s="277">
        <v>0</v>
      </c>
      <c r="D234" s="278">
        <v>0</v>
      </c>
      <c r="E234" s="278">
        <v>0</v>
      </c>
      <c r="F234" s="277">
        <v>0</v>
      </c>
      <c r="G234" s="278">
        <v>0</v>
      </c>
      <c r="H234" s="278">
        <v>0</v>
      </c>
      <c r="I234" s="278">
        <v>0</v>
      </c>
      <c r="J234" s="278">
        <v>0</v>
      </c>
      <c r="K234" s="278">
        <v>0</v>
      </c>
      <c r="L234" s="278">
        <v>0</v>
      </c>
      <c r="M234" s="278">
        <v>0</v>
      </c>
      <c r="N234" s="278">
        <v>0</v>
      </c>
      <c r="O234" s="279">
        <v>0</v>
      </c>
      <c r="P234" s="278">
        <v>0</v>
      </c>
      <c r="Q234" s="278">
        <v>0</v>
      </c>
      <c r="R234" s="280">
        <f t="shared" si="128"/>
        <v>0</v>
      </c>
      <c r="U234" s="404"/>
      <c r="V234" s="276" t="s">
        <v>29</v>
      </c>
      <c r="W234" s="277">
        <v>0</v>
      </c>
      <c r="X234" s="278">
        <v>0</v>
      </c>
      <c r="Y234" s="278">
        <v>0</v>
      </c>
      <c r="Z234" s="277">
        <v>0</v>
      </c>
      <c r="AA234" s="278">
        <v>0</v>
      </c>
      <c r="AB234" s="278">
        <v>0</v>
      </c>
      <c r="AC234" s="278">
        <v>0</v>
      </c>
      <c r="AD234" s="278">
        <v>0</v>
      </c>
      <c r="AE234" s="278">
        <v>0</v>
      </c>
      <c r="AF234" s="278">
        <v>0</v>
      </c>
      <c r="AG234" s="278">
        <v>0</v>
      </c>
      <c r="AH234" s="278">
        <v>0</v>
      </c>
      <c r="AI234" s="279">
        <v>0</v>
      </c>
      <c r="AJ234" s="278">
        <v>0</v>
      </c>
      <c r="AK234" s="278">
        <v>0</v>
      </c>
      <c r="AL234" s="280">
        <f t="shared" si="129"/>
        <v>0</v>
      </c>
    </row>
    <row r="235" spans="1:38" ht="14.4" customHeight="1">
      <c r="A235" s="404"/>
      <c r="B235" s="276" t="s">
        <v>30</v>
      </c>
      <c r="C235" s="277">
        <v>0</v>
      </c>
      <c r="D235" s="278">
        <v>0</v>
      </c>
      <c r="E235" s="278">
        <v>0</v>
      </c>
      <c r="F235" s="277">
        <v>0</v>
      </c>
      <c r="G235" s="278">
        <v>0</v>
      </c>
      <c r="H235" s="278">
        <v>0</v>
      </c>
      <c r="I235" s="278">
        <v>0</v>
      </c>
      <c r="J235" s="278">
        <v>0</v>
      </c>
      <c r="K235" s="278">
        <v>0</v>
      </c>
      <c r="L235" s="278">
        <v>0</v>
      </c>
      <c r="M235" s="278">
        <v>0</v>
      </c>
      <c r="N235" s="278">
        <v>0</v>
      </c>
      <c r="O235" s="279">
        <v>0</v>
      </c>
      <c r="P235" s="278">
        <v>0</v>
      </c>
      <c r="Q235" s="278">
        <v>0</v>
      </c>
      <c r="R235" s="280">
        <f t="shared" si="128"/>
        <v>0</v>
      </c>
      <c r="U235" s="404"/>
      <c r="V235" s="276" t="s">
        <v>30</v>
      </c>
      <c r="W235" s="277">
        <v>0</v>
      </c>
      <c r="X235" s="278">
        <v>0</v>
      </c>
      <c r="Y235" s="278">
        <v>0</v>
      </c>
      <c r="Z235" s="277">
        <v>0</v>
      </c>
      <c r="AA235" s="278">
        <v>0</v>
      </c>
      <c r="AB235" s="278">
        <v>0</v>
      </c>
      <c r="AC235" s="278">
        <v>0</v>
      </c>
      <c r="AD235" s="278">
        <v>0</v>
      </c>
      <c r="AE235" s="278">
        <v>0</v>
      </c>
      <c r="AF235" s="278">
        <v>0</v>
      </c>
      <c r="AG235" s="278">
        <v>0</v>
      </c>
      <c r="AH235" s="278">
        <v>0</v>
      </c>
      <c r="AI235" s="279">
        <v>0</v>
      </c>
      <c r="AJ235" s="278">
        <v>0</v>
      </c>
      <c r="AK235" s="278">
        <v>0</v>
      </c>
      <c r="AL235" s="280">
        <f t="shared" si="129"/>
        <v>0</v>
      </c>
    </row>
    <row r="236" spans="1:38" ht="14.4" customHeight="1">
      <c r="A236" s="404"/>
      <c r="B236" s="276" t="s">
        <v>31</v>
      </c>
      <c r="C236" s="277">
        <v>0</v>
      </c>
      <c r="D236" s="278">
        <v>0</v>
      </c>
      <c r="E236" s="278">
        <v>0</v>
      </c>
      <c r="F236" s="277">
        <v>0</v>
      </c>
      <c r="G236" s="278">
        <v>0</v>
      </c>
      <c r="H236" s="278">
        <v>0</v>
      </c>
      <c r="I236" s="278">
        <v>0</v>
      </c>
      <c r="J236" s="278">
        <v>0</v>
      </c>
      <c r="K236" s="278">
        <v>0</v>
      </c>
      <c r="L236" s="278">
        <v>0</v>
      </c>
      <c r="M236" s="278">
        <v>0</v>
      </c>
      <c r="N236" s="278">
        <v>0</v>
      </c>
      <c r="O236" s="279">
        <v>0</v>
      </c>
      <c r="P236" s="278">
        <v>0</v>
      </c>
      <c r="Q236" s="278">
        <v>0</v>
      </c>
      <c r="R236" s="280">
        <f t="shared" si="128"/>
        <v>0</v>
      </c>
      <c r="U236" s="404"/>
      <c r="V236" s="276" t="s">
        <v>31</v>
      </c>
      <c r="W236" s="277">
        <v>0</v>
      </c>
      <c r="X236" s="278">
        <v>0</v>
      </c>
      <c r="Y236" s="278">
        <v>0</v>
      </c>
      <c r="Z236" s="277">
        <v>0</v>
      </c>
      <c r="AA236" s="278">
        <v>0</v>
      </c>
      <c r="AB236" s="278">
        <v>0</v>
      </c>
      <c r="AC236" s="278">
        <v>0</v>
      </c>
      <c r="AD236" s="278">
        <v>0</v>
      </c>
      <c r="AE236" s="278">
        <v>0</v>
      </c>
      <c r="AF236" s="278">
        <v>0</v>
      </c>
      <c r="AG236" s="278">
        <v>0</v>
      </c>
      <c r="AH236" s="278">
        <v>0</v>
      </c>
      <c r="AI236" s="279">
        <v>0</v>
      </c>
      <c r="AJ236" s="278">
        <v>0</v>
      </c>
      <c r="AK236" s="278">
        <v>0</v>
      </c>
      <c r="AL236" s="280">
        <f t="shared" si="129"/>
        <v>0</v>
      </c>
    </row>
    <row r="237" spans="1:38" ht="14.4" customHeight="1">
      <c r="A237" s="404"/>
      <c r="B237" s="276" t="s">
        <v>32</v>
      </c>
      <c r="C237" s="277">
        <v>0</v>
      </c>
      <c r="D237" s="278">
        <v>0</v>
      </c>
      <c r="E237" s="278">
        <v>0</v>
      </c>
      <c r="F237" s="277">
        <v>0</v>
      </c>
      <c r="G237" s="278">
        <v>0</v>
      </c>
      <c r="H237" s="278">
        <v>0</v>
      </c>
      <c r="I237" s="278">
        <v>0</v>
      </c>
      <c r="J237" s="278">
        <v>0</v>
      </c>
      <c r="K237" s="278">
        <v>0</v>
      </c>
      <c r="L237" s="278">
        <v>0</v>
      </c>
      <c r="M237" s="278">
        <v>0</v>
      </c>
      <c r="N237" s="278">
        <v>0</v>
      </c>
      <c r="O237" s="279">
        <v>0</v>
      </c>
      <c r="P237" s="278">
        <v>0</v>
      </c>
      <c r="Q237" s="278">
        <v>0</v>
      </c>
      <c r="R237" s="280">
        <f t="shared" si="128"/>
        <v>0</v>
      </c>
      <c r="U237" s="404"/>
      <c r="V237" s="276" t="s">
        <v>32</v>
      </c>
      <c r="W237" s="277">
        <v>0</v>
      </c>
      <c r="X237" s="278">
        <v>0</v>
      </c>
      <c r="Y237" s="278">
        <v>0</v>
      </c>
      <c r="Z237" s="277">
        <v>0</v>
      </c>
      <c r="AA237" s="278">
        <v>0</v>
      </c>
      <c r="AB237" s="278">
        <v>0</v>
      </c>
      <c r="AC237" s="278">
        <v>0</v>
      </c>
      <c r="AD237" s="278">
        <v>0</v>
      </c>
      <c r="AE237" s="278">
        <v>0</v>
      </c>
      <c r="AF237" s="278">
        <v>0</v>
      </c>
      <c r="AG237" s="278">
        <v>0</v>
      </c>
      <c r="AH237" s="278">
        <v>0</v>
      </c>
      <c r="AI237" s="279">
        <v>0</v>
      </c>
      <c r="AJ237" s="278">
        <v>0</v>
      </c>
      <c r="AK237" s="278">
        <v>0</v>
      </c>
      <c r="AL237" s="280">
        <f t="shared" si="129"/>
        <v>0</v>
      </c>
    </row>
    <row r="238" spans="1:38" ht="14.4" customHeight="1">
      <c r="A238" s="404"/>
      <c r="B238" s="281" t="s">
        <v>401</v>
      </c>
      <c r="C238" s="282">
        <f>C262+C260</f>
        <v>0</v>
      </c>
      <c r="D238" s="282">
        <f>D252+D262</f>
        <v>0</v>
      </c>
      <c r="E238" s="282">
        <f>E252+E262</f>
        <v>4396.8155490812233</v>
      </c>
      <c r="F238" s="282">
        <f t="shared" ref="F238:G238" si="130">SUM(F232:F237)</f>
        <v>0</v>
      </c>
      <c r="G238" s="282">
        <f t="shared" si="130"/>
        <v>0</v>
      </c>
      <c r="H238" s="282">
        <f>H252</f>
        <v>1485.5408590324917</v>
      </c>
      <c r="I238" s="282">
        <f>I252+I260</f>
        <v>5192.9396558918752</v>
      </c>
      <c r="J238" s="282">
        <f>J252+J262</f>
        <v>577.47204557418672</v>
      </c>
      <c r="K238" s="282">
        <f>K252+K262</f>
        <v>2048.6940396672826</v>
      </c>
      <c r="L238" s="282">
        <f>L252+L262</f>
        <v>75.255035286214593</v>
      </c>
      <c r="M238" s="282">
        <f t="shared" ref="M238" si="131">SUM(M232:M237)</f>
        <v>0</v>
      </c>
      <c r="N238" s="282">
        <f>N252+N262</f>
        <v>827.22742956458183</v>
      </c>
      <c r="O238" s="282">
        <f t="shared" ref="O238:Q238" si="132">SUM(O232:O237)</f>
        <v>0</v>
      </c>
      <c r="P238" s="282">
        <f t="shared" si="132"/>
        <v>0</v>
      </c>
      <c r="Q238" s="282">
        <f t="shared" si="132"/>
        <v>0</v>
      </c>
      <c r="R238" s="282">
        <f t="shared" si="128"/>
        <v>14603.944614097854</v>
      </c>
      <c r="U238" s="404"/>
      <c r="V238" s="281" t="s">
        <v>401</v>
      </c>
      <c r="W238" s="282">
        <f>W262+W260</f>
        <v>0</v>
      </c>
      <c r="X238" s="282">
        <f>X252+X262</f>
        <v>0</v>
      </c>
      <c r="Y238" s="282">
        <f>Y252+Y262</f>
        <v>1439.322292353047</v>
      </c>
      <c r="Z238" s="282">
        <f t="shared" ref="Z238:AA238" si="133">SUM(Z232:Z237)</f>
        <v>0</v>
      </c>
      <c r="AA238" s="282">
        <f t="shared" si="133"/>
        <v>0</v>
      </c>
      <c r="AB238" s="282">
        <f>AB252</f>
        <v>1702.2871323348729</v>
      </c>
      <c r="AC238" s="282">
        <f>AC252+AC260</f>
        <v>4653.9250032039963</v>
      </c>
      <c r="AD238" s="282">
        <f>AD252</f>
        <v>524.60518072394814</v>
      </c>
      <c r="AE238" s="282">
        <f>AE252+AE262</f>
        <v>1625.6580032422135</v>
      </c>
      <c r="AF238" s="282">
        <f>AF252+AF262</f>
        <v>89.306294597379917</v>
      </c>
      <c r="AG238" s="282">
        <f t="shared" ref="AG238" si="134">SUM(AG232:AG237)</f>
        <v>0</v>
      </c>
      <c r="AH238" s="282">
        <f>AH252+AH262</f>
        <v>499.62760264646812</v>
      </c>
      <c r="AI238" s="282">
        <f t="shared" ref="AI238:AK238" si="135">SUM(AI232:AI237)</f>
        <v>0</v>
      </c>
      <c r="AJ238" s="282">
        <f t="shared" si="135"/>
        <v>0</v>
      </c>
      <c r="AK238" s="282">
        <f t="shared" si="135"/>
        <v>0</v>
      </c>
      <c r="AL238" s="282">
        <f t="shared" si="129"/>
        <v>10534.731509101925</v>
      </c>
    </row>
    <row r="239" spans="1:38" ht="14.4" customHeight="1">
      <c r="A239" s="404"/>
      <c r="B239" s="283"/>
      <c r="C239" s="284"/>
      <c r="D239" s="252"/>
      <c r="E239" s="285"/>
      <c r="F239" s="284"/>
      <c r="G239" s="284"/>
      <c r="H239" s="284"/>
      <c r="I239" s="284"/>
      <c r="J239" s="284"/>
      <c r="K239" s="284"/>
      <c r="L239" s="284"/>
      <c r="M239" s="284"/>
      <c r="N239" s="284"/>
      <c r="O239" s="293"/>
      <c r="P239" s="284"/>
      <c r="Q239" s="284"/>
      <c r="R239" s="284"/>
      <c r="U239" s="404"/>
      <c r="V239" s="283"/>
      <c r="W239" s="284"/>
      <c r="X239" s="252"/>
      <c r="Y239" s="285"/>
      <c r="Z239" s="284"/>
      <c r="AA239" s="284"/>
      <c r="AB239" s="284"/>
      <c r="AC239" s="284"/>
      <c r="AD239" s="284"/>
      <c r="AE239" s="284"/>
      <c r="AF239" s="284"/>
      <c r="AG239" s="284"/>
      <c r="AH239" s="284"/>
      <c r="AI239" s="293"/>
      <c r="AJ239" s="284"/>
      <c r="AK239" s="284"/>
      <c r="AL239" s="284"/>
    </row>
    <row r="240" spans="1:38" ht="14.4" customHeight="1">
      <c r="A240" s="404"/>
      <c r="B240" s="286" t="s">
        <v>402</v>
      </c>
      <c r="C240" s="277">
        <v>0</v>
      </c>
      <c r="D240" s="287">
        <v>0</v>
      </c>
      <c r="E240" s="287">
        <v>0</v>
      </c>
      <c r="F240" s="277">
        <v>0</v>
      </c>
      <c r="G240" s="277">
        <v>0</v>
      </c>
      <c r="H240" s="277">
        <v>0</v>
      </c>
      <c r="I240" s="277">
        <v>0</v>
      </c>
      <c r="J240" s="277">
        <v>0</v>
      </c>
      <c r="K240" s="277">
        <v>0</v>
      </c>
      <c r="L240" s="277">
        <v>0</v>
      </c>
      <c r="M240" s="277">
        <v>0</v>
      </c>
      <c r="N240" s="277">
        <v>0</v>
      </c>
      <c r="O240" s="277">
        <v>0</v>
      </c>
      <c r="P240" s="277">
        <v>0</v>
      </c>
      <c r="Q240" s="277">
        <v>0</v>
      </c>
      <c r="R240" s="288">
        <f>SUM(C240:Q240)</f>
        <v>0</v>
      </c>
      <c r="U240" s="404"/>
      <c r="V240" s="286" t="s">
        <v>402</v>
      </c>
      <c r="W240" s="277">
        <v>0</v>
      </c>
      <c r="X240" s="287">
        <v>0</v>
      </c>
      <c r="Y240" s="287">
        <v>0</v>
      </c>
      <c r="Z240" s="277">
        <v>0</v>
      </c>
      <c r="AA240" s="277">
        <v>0</v>
      </c>
      <c r="AB240" s="277">
        <v>0</v>
      </c>
      <c r="AC240" s="277">
        <v>0</v>
      </c>
      <c r="AD240" s="277">
        <v>0</v>
      </c>
      <c r="AE240" s="277">
        <v>0</v>
      </c>
      <c r="AF240" s="277">
        <v>0</v>
      </c>
      <c r="AG240" s="277">
        <v>0</v>
      </c>
      <c r="AH240" s="277">
        <v>0</v>
      </c>
      <c r="AI240" s="277">
        <v>0</v>
      </c>
      <c r="AJ240" s="277">
        <v>0</v>
      </c>
      <c r="AK240" s="277">
        <v>0</v>
      </c>
      <c r="AL240" s="288">
        <f>SUM(W240:AK240)</f>
        <v>0</v>
      </c>
    </row>
    <row r="241" spans="1:38" ht="14.4" customHeight="1">
      <c r="A241" s="404"/>
      <c r="B241" s="286" t="s">
        <v>403</v>
      </c>
      <c r="C241" s="277">
        <f>$O$241*'Prod Energie'!$H$32/(-$J$13)</f>
        <v>0</v>
      </c>
      <c r="D241" s="277">
        <v>0</v>
      </c>
      <c r="E241" s="277">
        <f>O241*'Prod Energie'!$H$33/(-$K$13)</f>
        <v>0</v>
      </c>
      <c r="F241" s="277">
        <v>0</v>
      </c>
      <c r="G241" s="277">
        <v>0</v>
      </c>
      <c r="H241" s="277">
        <f>(O241)*('Prod Energie'!$H$34+'Prod Energie'!$H$39+'Prod Energie'!$H$40)/(-$L$13)</f>
        <v>1485.5408590324917</v>
      </c>
      <c r="I241" s="289">
        <f>(O241)*('Prod Energie'!$H$38)/(-$M$13)</f>
        <v>4458.922321628791</v>
      </c>
      <c r="J241" s="289">
        <f>(O241)*('Prod Energie'!$H$36)/(-$N$13)</f>
        <v>577.47204557418672</v>
      </c>
      <c r="K241" s="289">
        <f>(O241)*('Prod Energie'!$H$37)/(-$O$13)</f>
        <v>2048.6940396672826</v>
      </c>
      <c r="L241" s="289">
        <f>(O241)*('Prod Energie'!$H$41)/(-P13)</f>
        <v>54.997337673732069</v>
      </c>
      <c r="M241" s="289">
        <v>0</v>
      </c>
      <c r="N241" s="289">
        <f>(O241)*'Prod Energie'!H35/(-$Q$13)</f>
        <v>0</v>
      </c>
      <c r="O241" s="277">
        <f>O252/(1+$F$17+$F$18)</f>
        <v>-4352.5746243848353</v>
      </c>
      <c r="P241" s="277">
        <v>0</v>
      </c>
      <c r="Q241" s="277">
        <v>0</v>
      </c>
      <c r="R241" s="288">
        <f t="shared" ref="R241:R252" si="136">SUM(C241:Q241)</f>
        <v>4273.0519791916504</v>
      </c>
      <c r="U241" s="404"/>
      <c r="V241" s="286" t="s">
        <v>403</v>
      </c>
      <c r="W241" s="277">
        <f>AI241*'Prod Energie'!$H$53/(-$J$13)</f>
        <v>0</v>
      </c>
      <c r="X241" s="277">
        <v>0</v>
      </c>
      <c r="Y241" s="277">
        <f>AI241*'Prod Energie'!$H$54/(-$K$13)</f>
        <v>0</v>
      </c>
      <c r="Z241" s="277">
        <v>0</v>
      </c>
      <c r="AA241" s="277">
        <v>0</v>
      </c>
      <c r="AB241" s="277">
        <f>(AI241)*('Prod Energie'!$H$55+'Prod Energie'!$H$60+'Prod Energie'!$H$61)/(-$L$13)</f>
        <v>1702.2871323348729</v>
      </c>
      <c r="AC241" s="289">
        <f>(AI241)*'Prod Energie'!$H$59/(-$M$13)</f>
        <v>3805.463829320784</v>
      </c>
      <c r="AD241" s="289">
        <f>(AI241)*('Prod Energie'!$H$57)/(-$N$13)</f>
        <v>524.60518072394814</v>
      </c>
      <c r="AE241" s="289">
        <f>(AI241)*('Prod Energie'!$H$58)/(-$O$13)</f>
        <v>1545.9696806615684</v>
      </c>
      <c r="AF241" s="289">
        <f>(AI241)*('Prod Energie'!$H$62)/(-$P$13)</f>
        <v>49.962398164185537</v>
      </c>
      <c r="AG241" s="289">
        <v>0</v>
      </c>
      <c r="AH241" s="289">
        <f>(AI241)*'Prod Energie'!H220/(-$Q$13)</f>
        <v>0</v>
      </c>
      <c r="AI241" s="277">
        <f>AI252/(1+$F$17+$F$18)</f>
        <v>-4112.6574864144159</v>
      </c>
      <c r="AJ241" s="277">
        <v>0</v>
      </c>
      <c r="AK241" s="277">
        <v>0</v>
      </c>
      <c r="AL241" s="288">
        <f t="shared" ref="AL241:AL252" si="137">SUM(W241:AK241)</f>
        <v>3515.6307347909433</v>
      </c>
    </row>
    <row r="242" spans="1:38" ht="14.4" customHeight="1">
      <c r="A242" s="404"/>
      <c r="B242" s="286" t="s">
        <v>404</v>
      </c>
      <c r="C242" s="277">
        <v>0</v>
      </c>
      <c r="D242" s="277">
        <v>0</v>
      </c>
      <c r="E242" s="277">
        <v>0</v>
      </c>
      <c r="F242" s="277">
        <v>0</v>
      </c>
      <c r="G242" s="277">
        <v>0</v>
      </c>
      <c r="H242" s="277">
        <v>0</v>
      </c>
      <c r="I242" s="289">
        <f>$P$242*$L$18*V$17</f>
        <v>703.15957934153869</v>
      </c>
      <c r="J242" s="289">
        <f t="shared" ref="J242:N242" si="138">$P$242*$L$18*W$17</f>
        <v>0</v>
      </c>
      <c r="K242" s="289">
        <f t="shared" si="138"/>
        <v>0</v>
      </c>
      <c r="L242" s="289">
        <f t="shared" si="138"/>
        <v>15.111442055623151</v>
      </c>
      <c r="M242" s="289">
        <f t="shared" si="138"/>
        <v>0</v>
      </c>
      <c r="N242" s="289">
        <f t="shared" si="138"/>
        <v>0</v>
      </c>
      <c r="O242" s="277">
        <v>0</v>
      </c>
      <c r="P242" s="277">
        <f>P252/(1+$R$18)</f>
        <v>-614.02141894944953</v>
      </c>
      <c r="Q242" s="277">
        <v>0</v>
      </c>
      <c r="R242" s="288">
        <f t="shared" si="136"/>
        <v>104.24960244771228</v>
      </c>
      <c r="U242" s="404"/>
      <c r="V242" s="286" t="s">
        <v>404</v>
      </c>
      <c r="W242" s="277">
        <v>0</v>
      </c>
      <c r="X242" s="277">
        <v>0</v>
      </c>
      <c r="Y242" s="277">
        <v>0</v>
      </c>
      <c r="Z242" s="277">
        <v>0</v>
      </c>
      <c r="AA242" s="277">
        <v>0</v>
      </c>
      <c r="AB242" s="277">
        <v>0</v>
      </c>
      <c r="AC242" s="289">
        <f>$AJ$242*$L$18*V$17</f>
        <v>703.15957934153869</v>
      </c>
      <c r="AD242" s="289">
        <f t="shared" ref="AD242:AH242" si="139">$AJ$242*$L$18*W$17</f>
        <v>0</v>
      </c>
      <c r="AE242" s="289">
        <f t="shared" si="139"/>
        <v>0</v>
      </c>
      <c r="AF242" s="289">
        <f t="shared" si="139"/>
        <v>15.111442055623151</v>
      </c>
      <c r="AG242" s="289">
        <f t="shared" si="139"/>
        <v>0</v>
      </c>
      <c r="AH242" s="289">
        <f t="shared" si="139"/>
        <v>0</v>
      </c>
      <c r="AI242" s="277">
        <v>0</v>
      </c>
      <c r="AJ242" s="277">
        <f>AJ252/(1+$R$18)</f>
        <v>-614.02141894944953</v>
      </c>
      <c r="AK242" s="277">
        <v>0</v>
      </c>
      <c r="AL242" s="288">
        <f t="shared" si="137"/>
        <v>104.24960244771228</v>
      </c>
    </row>
    <row r="243" spans="1:38" ht="14.4" customHeight="1">
      <c r="A243" s="404"/>
      <c r="B243" s="286" t="s">
        <v>405</v>
      </c>
      <c r="C243" s="277">
        <v>0</v>
      </c>
      <c r="D243" s="277">
        <v>0</v>
      </c>
      <c r="E243" s="277">
        <v>0</v>
      </c>
      <c r="F243" s="277">
        <v>0</v>
      </c>
      <c r="G243" s="277">
        <v>0</v>
      </c>
      <c r="H243" s="277">
        <v>0</v>
      </c>
      <c r="I243" s="290">
        <v>0</v>
      </c>
      <c r="J243" s="290">
        <v>0</v>
      </c>
      <c r="K243" s="290">
        <v>0</v>
      </c>
      <c r="L243" s="290">
        <v>0</v>
      </c>
      <c r="M243" s="290">
        <v>0</v>
      </c>
      <c r="N243" s="290">
        <v>0</v>
      </c>
      <c r="O243" s="277">
        <v>0</v>
      </c>
      <c r="P243" s="277">
        <v>0</v>
      </c>
      <c r="Q243" s="277">
        <v>0</v>
      </c>
      <c r="R243" s="288">
        <f t="shared" si="136"/>
        <v>0</v>
      </c>
      <c r="U243" s="404"/>
      <c r="V243" s="286" t="s">
        <v>405</v>
      </c>
      <c r="W243" s="277">
        <v>0</v>
      </c>
      <c r="X243" s="277">
        <v>0</v>
      </c>
      <c r="Y243" s="277">
        <v>0</v>
      </c>
      <c r="Z243" s="277">
        <v>0</v>
      </c>
      <c r="AA243" s="277">
        <v>0</v>
      </c>
      <c r="AB243" s="277">
        <v>0</v>
      </c>
      <c r="AC243" s="290">
        <v>0</v>
      </c>
      <c r="AD243" s="290">
        <v>0</v>
      </c>
      <c r="AE243" s="290">
        <v>0</v>
      </c>
      <c r="AF243" s="290">
        <v>0</v>
      </c>
      <c r="AG243" s="290">
        <v>0</v>
      </c>
      <c r="AH243" s="290">
        <v>0</v>
      </c>
      <c r="AI243" s="277">
        <v>0</v>
      </c>
      <c r="AJ243" s="277">
        <v>0</v>
      </c>
      <c r="AK243" s="277">
        <v>0</v>
      </c>
      <c r="AL243" s="288">
        <f t="shared" si="137"/>
        <v>0</v>
      </c>
    </row>
    <row r="244" spans="1:38" ht="14.4" customHeight="1">
      <c r="A244" s="404"/>
      <c r="B244" s="286" t="s">
        <v>406</v>
      </c>
      <c r="C244" s="277">
        <v>0</v>
      </c>
      <c r="D244" s="277">
        <v>0</v>
      </c>
      <c r="E244" s="277">
        <v>0</v>
      </c>
      <c r="F244" s="277">
        <v>0</v>
      </c>
      <c r="G244" s="277">
        <v>0</v>
      </c>
      <c r="H244" s="277">
        <v>0</v>
      </c>
      <c r="I244" s="277">
        <v>0</v>
      </c>
      <c r="J244" s="277">
        <v>0</v>
      </c>
      <c r="K244" s="277">
        <v>0</v>
      </c>
      <c r="L244" s="277">
        <v>0</v>
      </c>
      <c r="M244" s="277">
        <v>0</v>
      </c>
      <c r="N244" s="277">
        <v>0</v>
      </c>
      <c r="O244" s="277">
        <v>0</v>
      </c>
      <c r="P244" s="277">
        <v>0</v>
      </c>
      <c r="Q244" s="277">
        <v>0</v>
      </c>
      <c r="R244" s="288">
        <f t="shared" si="136"/>
        <v>0</v>
      </c>
      <c r="U244" s="404"/>
      <c r="V244" s="286" t="s">
        <v>406</v>
      </c>
      <c r="W244" s="277">
        <v>0</v>
      </c>
      <c r="X244" s="277">
        <v>0</v>
      </c>
      <c r="Y244" s="277">
        <v>0</v>
      </c>
      <c r="Z244" s="277">
        <v>0</v>
      </c>
      <c r="AA244" s="277">
        <v>0</v>
      </c>
      <c r="AB244" s="277">
        <v>0</v>
      </c>
      <c r="AC244" s="277">
        <v>0</v>
      </c>
      <c r="AD244" s="277">
        <v>0</v>
      </c>
      <c r="AE244" s="277">
        <v>0</v>
      </c>
      <c r="AF244" s="277">
        <v>0</v>
      </c>
      <c r="AG244" s="277">
        <v>0</v>
      </c>
      <c r="AH244" s="277">
        <v>0</v>
      </c>
      <c r="AI244" s="277">
        <v>0</v>
      </c>
      <c r="AJ244" s="277">
        <v>0</v>
      </c>
      <c r="AK244" s="277">
        <v>0</v>
      </c>
      <c r="AL244" s="288">
        <f t="shared" si="137"/>
        <v>0</v>
      </c>
    </row>
    <row r="245" spans="1:38" ht="14.4" customHeight="1">
      <c r="A245" s="404"/>
      <c r="B245" s="286" t="s">
        <v>36</v>
      </c>
      <c r="C245" s="277">
        <v>0</v>
      </c>
      <c r="D245" s="277">
        <v>0</v>
      </c>
      <c r="E245" s="277">
        <v>0</v>
      </c>
      <c r="F245" s="277">
        <v>0</v>
      </c>
      <c r="G245" s="277">
        <v>0</v>
      </c>
      <c r="H245" s="277">
        <v>0</v>
      </c>
      <c r="I245" s="277">
        <v>0</v>
      </c>
      <c r="J245" s="277">
        <v>0</v>
      </c>
      <c r="K245" s="277">
        <v>0</v>
      </c>
      <c r="L245" s="277">
        <v>0</v>
      </c>
      <c r="M245" s="277">
        <v>0</v>
      </c>
      <c r="N245" s="277">
        <v>0</v>
      </c>
      <c r="O245" s="277">
        <v>0</v>
      </c>
      <c r="P245" s="277">
        <v>0</v>
      </c>
      <c r="Q245" s="277">
        <v>0</v>
      </c>
      <c r="R245" s="288">
        <f t="shared" si="136"/>
        <v>0</v>
      </c>
      <c r="U245" s="404"/>
      <c r="V245" s="286" t="s">
        <v>36</v>
      </c>
      <c r="W245" s="277">
        <v>0</v>
      </c>
      <c r="X245" s="277">
        <v>0</v>
      </c>
      <c r="Y245" s="277">
        <v>0</v>
      </c>
      <c r="Z245" s="277">
        <v>0</v>
      </c>
      <c r="AA245" s="277">
        <v>0</v>
      </c>
      <c r="AB245" s="277">
        <v>0</v>
      </c>
      <c r="AC245" s="277">
        <v>0</v>
      </c>
      <c r="AD245" s="277">
        <v>0</v>
      </c>
      <c r="AE245" s="277">
        <v>0</v>
      </c>
      <c r="AF245" s="277">
        <v>0</v>
      </c>
      <c r="AG245" s="277">
        <v>0</v>
      </c>
      <c r="AH245" s="277">
        <v>0</v>
      </c>
      <c r="AI245" s="277">
        <v>0</v>
      </c>
      <c r="AJ245" s="277">
        <v>0</v>
      </c>
      <c r="AK245" s="277">
        <v>0</v>
      </c>
      <c r="AL245" s="288">
        <f t="shared" si="137"/>
        <v>0</v>
      </c>
    </row>
    <row r="246" spans="1:38" ht="14.4" customHeight="1">
      <c r="A246" s="404"/>
      <c r="B246" s="286" t="s">
        <v>407</v>
      </c>
      <c r="C246" s="277">
        <v>0</v>
      </c>
      <c r="D246" s="277">
        <v>0</v>
      </c>
      <c r="E246" s="277">
        <v>0</v>
      </c>
      <c r="F246" s="277">
        <v>0</v>
      </c>
      <c r="G246" s="277">
        <v>0</v>
      </c>
      <c r="H246" s="277">
        <v>0</v>
      </c>
      <c r="I246" s="277">
        <v>0</v>
      </c>
      <c r="J246" s="277">
        <v>0</v>
      </c>
      <c r="K246" s="277">
        <v>0</v>
      </c>
      <c r="L246" s="277">
        <v>0</v>
      </c>
      <c r="M246" s="277">
        <v>0</v>
      </c>
      <c r="N246" s="277">
        <v>0</v>
      </c>
      <c r="O246" s="277">
        <v>0</v>
      </c>
      <c r="P246" s="277">
        <v>0</v>
      </c>
      <c r="Q246" s="277">
        <v>0</v>
      </c>
      <c r="R246" s="288">
        <f t="shared" si="136"/>
        <v>0</v>
      </c>
      <c r="U246" s="404"/>
      <c r="V246" s="286" t="s">
        <v>407</v>
      </c>
      <c r="W246" s="277">
        <v>0</v>
      </c>
      <c r="X246" s="277">
        <v>0</v>
      </c>
      <c r="Y246" s="277">
        <v>0</v>
      </c>
      <c r="Z246" s="277">
        <v>0</v>
      </c>
      <c r="AA246" s="277">
        <v>0</v>
      </c>
      <c r="AB246" s="277">
        <v>0</v>
      </c>
      <c r="AC246" s="277">
        <v>0</v>
      </c>
      <c r="AD246" s="277">
        <v>0</v>
      </c>
      <c r="AE246" s="277">
        <v>0</v>
      </c>
      <c r="AF246" s="277">
        <v>0</v>
      </c>
      <c r="AG246" s="277">
        <v>0</v>
      </c>
      <c r="AH246" s="277">
        <v>0</v>
      </c>
      <c r="AI246" s="277">
        <v>0</v>
      </c>
      <c r="AJ246" s="277">
        <v>0</v>
      </c>
      <c r="AK246" s="277">
        <v>0</v>
      </c>
      <c r="AL246" s="288">
        <f t="shared" si="137"/>
        <v>0</v>
      </c>
    </row>
    <row r="247" spans="1:38" ht="14.4" customHeight="1">
      <c r="A247" s="404"/>
      <c r="B247" s="286" t="s">
        <v>408</v>
      </c>
      <c r="C247" s="277">
        <v>0</v>
      </c>
      <c r="D247" s="277">
        <v>0</v>
      </c>
      <c r="E247" s="277">
        <v>0</v>
      </c>
      <c r="F247" s="277">
        <v>0</v>
      </c>
      <c r="G247" s="277">
        <v>0</v>
      </c>
      <c r="H247" s="277">
        <v>0</v>
      </c>
      <c r="I247" s="277">
        <v>0</v>
      </c>
      <c r="J247" s="277">
        <v>0</v>
      </c>
      <c r="K247" s="277">
        <v>0</v>
      </c>
      <c r="L247" s="277">
        <v>0</v>
      </c>
      <c r="M247" s="277">
        <v>0</v>
      </c>
      <c r="N247" s="277">
        <v>0</v>
      </c>
      <c r="O247" s="277">
        <v>0</v>
      </c>
      <c r="P247" s="277">
        <v>0</v>
      </c>
      <c r="Q247" s="277">
        <v>0</v>
      </c>
      <c r="R247" s="288">
        <f t="shared" si="136"/>
        <v>0</v>
      </c>
      <c r="U247" s="404"/>
      <c r="V247" s="286" t="s">
        <v>408</v>
      </c>
      <c r="W247" s="277">
        <v>0</v>
      </c>
      <c r="X247" s="277">
        <v>0</v>
      </c>
      <c r="Y247" s="277">
        <v>0</v>
      </c>
      <c r="Z247" s="277">
        <v>0</v>
      </c>
      <c r="AA247" s="277">
        <v>0</v>
      </c>
      <c r="AB247" s="277">
        <v>0</v>
      </c>
      <c r="AC247" s="277">
        <v>0</v>
      </c>
      <c r="AD247" s="277">
        <v>0</v>
      </c>
      <c r="AE247" s="277">
        <v>0</v>
      </c>
      <c r="AF247" s="277">
        <v>0</v>
      </c>
      <c r="AG247" s="277">
        <v>0</v>
      </c>
      <c r="AH247" s="277">
        <v>0</v>
      </c>
      <c r="AI247" s="277">
        <v>0</v>
      </c>
      <c r="AJ247" s="277">
        <v>0</v>
      </c>
      <c r="AK247" s="277">
        <v>0</v>
      </c>
      <c r="AL247" s="288">
        <f t="shared" si="137"/>
        <v>0</v>
      </c>
    </row>
    <row r="248" spans="1:38" ht="14.4" customHeight="1">
      <c r="A248" s="404"/>
      <c r="B248" s="286" t="s">
        <v>409</v>
      </c>
      <c r="C248" s="277">
        <v>0</v>
      </c>
      <c r="D248" s="277">
        <v>0</v>
      </c>
      <c r="E248" s="277">
        <v>0</v>
      </c>
      <c r="F248" s="277">
        <v>0</v>
      </c>
      <c r="G248" s="277">
        <v>0</v>
      </c>
      <c r="H248" s="277">
        <v>0</v>
      </c>
      <c r="I248" s="277">
        <v>0</v>
      </c>
      <c r="J248" s="277">
        <v>0</v>
      </c>
      <c r="K248" s="277">
        <v>0</v>
      </c>
      <c r="L248" s="277">
        <v>0</v>
      </c>
      <c r="M248" s="277">
        <v>0</v>
      </c>
      <c r="N248" s="277">
        <v>0</v>
      </c>
      <c r="O248" s="277">
        <v>0</v>
      </c>
      <c r="P248" s="277">
        <v>0</v>
      </c>
      <c r="Q248" s="277">
        <v>0</v>
      </c>
      <c r="R248" s="288">
        <f t="shared" si="136"/>
        <v>0</v>
      </c>
      <c r="U248" s="404"/>
      <c r="V248" s="286" t="s">
        <v>409</v>
      </c>
      <c r="W248" s="277">
        <v>0</v>
      </c>
      <c r="X248" s="277">
        <v>0</v>
      </c>
      <c r="Y248" s="277">
        <v>0</v>
      </c>
      <c r="Z248" s="277">
        <v>0</v>
      </c>
      <c r="AA248" s="277">
        <v>0</v>
      </c>
      <c r="AB248" s="277">
        <v>0</v>
      </c>
      <c r="AC248" s="277">
        <v>0</v>
      </c>
      <c r="AD248" s="277">
        <v>0</v>
      </c>
      <c r="AE248" s="277">
        <v>0</v>
      </c>
      <c r="AF248" s="277">
        <v>0</v>
      </c>
      <c r="AG248" s="277">
        <v>0</v>
      </c>
      <c r="AH248" s="277">
        <v>0</v>
      </c>
      <c r="AI248" s="277">
        <v>0</v>
      </c>
      <c r="AJ248" s="277">
        <v>0</v>
      </c>
      <c r="AK248" s="277">
        <v>0</v>
      </c>
      <c r="AL248" s="288">
        <f t="shared" si="137"/>
        <v>0</v>
      </c>
    </row>
    <row r="249" spans="1:38" ht="14.4" customHeight="1">
      <c r="A249" s="404"/>
      <c r="B249" s="286" t="s">
        <v>37</v>
      </c>
      <c r="C249" s="277">
        <v>0</v>
      </c>
      <c r="D249" s="277">
        <v>0</v>
      </c>
      <c r="E249" s="277">
        <v>0</v>
      </c>
      <c r="F249" s="277">
        <v>0</v>
      </c>
      <c r="G249" s="277">
        <v>0</v>
      </c>
      <c r="H249" s="277">
        <v>0</v>
      </c>
      <c r="I249" s="277">
        <v>0</v>
      </c>
      <c r="J249" s="277">
        <v>0</v>
      </c>
      <c r="K249" s="277">
        <v>0</v>
      </c>
      <c r="L249" s="277">
        <v>0</v>
      </c>
      <c r="M249" s="277">
        <v>0</v>
      </c>
      <c r="N249" s="277">
        <v>0</v>
      </c>
      <c r="O249" s="277">
        <v>0</v>
      </c>
      <c r="P249" s="277">
        <v>0</v>
      </c>
      <c r="Q249" s="277">
        <v>0</v>
      </c>
      <c r="R249" s="288">
        <f t="shared" si="136"/>
        <v>0</v>
      </c>
      <c r="U249" s="404"/>
      <c r="V249" s="286" t="s">
        <v>37</v>
      </c>
      <c r="W249" s="277">
        <v>0</v>
      </c>
      <c r="X249" s="277">
        <v>0</v>
      </c>
      <c r="Y249" s="277">
        <v>0</v>
      </c>
      <c r="Z249" s="277">
        <v>0</v>
      </c>
      <c r="AA249" s="277">
        <v>0</v>
      </c>
      <c r="AB249" s="277">
        <v>0</v>
      </c>
      <c r="AC249" s="277">
        <v>0</v>
      </c>
      <c r="AD249" s="277">
        <v>0</v>
      </c>
      <c r="AE249" s="277">
        <v>0</v>
      </c>
      <c r="AF249" s="277">
        <v>0</v>
      </c>
      <c r="AG249" s="277">
        <v>0</v>
      </c>
      <c r="AH249" s="277">
        <v>0</v>
      </c>
      <c r="AI249" s="277">
        <v>0</v>
      </c>
      <c r="AJ249" s="277">
        <v>0</v>
      </c>
      <c r="AK249" s="277">
        <v>0</v>
      </c>
      <c r="AL249" s="288">
        <f t="shared" si="137"/>
        <v>0</v>
      </c>
    </row>
    <row r="250" spans="1:38" ht="14.4" customHeight="1">
      <c r="A250" s="404"/>
      <c r="B250" s="286" t="s">
        <v>38</v>
      </c>
      <c r="C250" s="277">
        <v>0</v>
      </c>
      <c r="D250" s="277">
        <v>0</v>
      </c>
      <c r="E250" s="277">
        <v>0</v>
      </c>
      <c r="F250" s="277">
        <v>0</v>
      </c>
      <c r="G250" s="277">
        <v>0</v>
      </c>
      <c r="H250" s="277">
        <v>0</v>
      </c>
      <c r="I250" s="277">
        <v>0</v>
      </c>
      <c r="J250" s="277">
        <v>0</v>
      </c>
      <c r="K250" s="277">
        <v>0</v>
      </c>
      <c r="L250" s="277">
        <v>0</v>
      </c>
      <c r="M250" s="277">
        <v>0</v>
      </c>
      <c r="N250" s="277">
        <v>0</v>
      </c>
      <c r="O250" s="277">
        <f>O241*$F$17</f>
        <v>51.727055042497405</v>
      </c>
      <c r="P250" s="277">
        <v>0</v>
      </c>
      <c r="Q250" s="277">
        <v>0</v>
      </c>
      <c r="R250" s="288">
        <f t="shared" si="136"/>
        <v>51.727055042497405</v>
      </c>
      <c r="U250" s="404"/>
      <c r="V250" s="286" t="s">
        <v>38</v>
      </c>
      <c r="W250" s="277">
        <v>0</v>
      </c>
      <c r="X250" s="277">
        <v>0</v>
      </c>
      <c r="Y250" s="277">
        <v>0</v>
      </c>
      <c r="Z250" s="277">
        <v>0</v>
      </c>
      <c r="AA250" s="277">
        <v>0</v>
      </c>
      <c r="AB250" s="277">
        <v>0</v>
      </c>
      <c r="AC250" s="277">
        <v>0</v>
      </c>
      <c r="AD250" s="277">
        <v>0</v>
      </c>
      <c r="AE250" s="277">
        <v>0</v>
      </c>
      <c r="AF250" s="277">
        <v>0</v>
      </c>
      <c r="AG250" s="277">
        <v>0</v>
      </c>
      <c r="AH250" s="277">
        <v>0</v>
      </c>
      <c r="AI250" s="277">
        <f>AI241*$F$17</f>
        <v>48.875821445741252</v>
      </c>
      <c r="AJ250" s="277">
        <v>0</v>
      </c>
      <c r="AK250" s="277">
        <v>0</v>
      </c>
      <c r="AL250" s="288">
        <f t="shared" si="137"/>
        <v>48.875821445741252</v>
      </c>
    </row>
    <row r="251" spans="1:38" ht="14.4" customHeight="1">
      <c r="A251" s="404"/>
      <c r="B251" s="286" t="s">
        <v>39</v>
      </c>
      <c r="C251" s="277">
        <v>0</v>
      </c>
      <c r="D251" s="277">
        <v>0</v>
      </c>
      <c r="E251" s="277">
        <v>0</v>
      </c>
      <c r="F251" s="277">
        <v>0</v>
      </c>
      <c r="G251" s="277">
        <v>0</v>
      </c>
      <c r="H251" s="277">
        <v>0</v>
      </c>
      <c r="I251" s="277">
        <v>0</v>
      </c>
      <c r="J251" s="277">
        <v>0</v>
      </c>
      <c r="K251" s="277">
        <v>0</v>
      </c>
      <c r="L251" s="277">
        <v>0</v>
      </c>
      <c r="M251" s="277">
        <v>0</v>
      </c>
      <c r="N251" s="277">
        <v>0</v>
      </c>
      <c r="O251" s="277">
        <f>O241*$F$18</f>
        <v>278.48822235093485</v>
      </c>
      <c r="P251" s="277">
        <f>P242*$R$18</f>
        <v>51.753867408831795</v>
      </c>
      <c r="Q251" s="277">
        <v>0</v>
      </c>
      <c r="R251" s="288">
        <f t="shared" si="136"/>
        <v>330.24208975976666</v>
      </c>
      <c r="U251" s="404"/>
      <c r="V251" s="286" t="s">
        <v>39</v>
      </c>
      <c r="W251" s="277">
        <v>0</v>
      </c>
      <c r="X251" s="277">
        <v>0</v>
      </c>
      <c r="Y251" s="277">
        <v>0</v>
      </c>
      <c r="Z251" s="277">
        <v>0</v>
      </c>
      <c r="AA251" s="277">
        <v>0</v>
      </c>
      <c r="AB251" s="277">
        <v>0</v>
      </c>
      <c r="AC251" s="277">
        <v>0</v>
      </c>
      <c r="AD251" s="277">
        <v>0</v>
      </c>
      <c r="AE251" s="277">
        <v>0</v>
      </c>
      <c r="AF251" s="277">
        <v>0</v>
      </c>
      <c r="AG251" s="277">
        <v>0</v>
      </c>
      <c r="AH251" s="277">
        <v>0</v>
      </c>
      <c r="AI251" s="277">
        <f>AI241*$F$18</f>
        <v>263.13774521251031</v>
      </c>
      <c r="AJ251" s="277">
        <f>AJ242*$R$18</f>
        <v>51.753867408831795</v>
      </c>
      <c r="AK251" s="277">
        <v>0</v>
      </c>
      <c r="AL251" s="288">
        <f t="shared" si="137"/>
        <v>314.89161262134212</v>
      </c>
    </row>
    <row r="252" spans="1:38" ht="14.4" customHeight="1">
      <c r="A252" s="404"/>
      <c r="B252" s="281" t="s">
        <v>40</v>
      </c>
      <c r="C252" s="282">
        <f>SUM(C240:C251)</f>
        <v>0</v>
      </c>
      <c r="D252" s="282">
        <f t="shared" ref="D252:N252" si="140">SUM(D240:D251)</f>
        <v>0</v>
      </c>
      <c r="E252" s="282">
        <f t="shared" si="140"/>
        <v>0</v>
      </c>
      <c r="F252" s="282">
        <f t="shared" si="140"/>
        <v>0</v>
      </c>
      <c r="G252" s="282">
        <f t="shared" si="140"/>
        <v>0</v>
      </c>
      <c r="H252" s="282">
        <f t="shared" si="140"/>
        <v>1485.5408590324917</v>
      </c>
      <c r="I252" s="282">
        <f t="shared" si="140"/>
        <v>5162.08190097033</v>
      </c>
      <c r="J252" s="282">
        <f t="shared" si="140"/>
        <v>577.47204557418672</v>
      </c>
      <c r="K252" s="282">
        <f t="shared" si="140"/>
        <v>2048.6940396672826</v>
      </c>
      <c r="L252" s="282">
        <f t="shared" si="140"/>
        <v>70.10877972935522</v>
      </c>
      <c r="M252" s="282">
        <f t="shared" si="140"/>
        <v>0</v>
      </c>
      <c r="N252" s="282">
        <f t="shared" si="140"/>
        <v>0</v>
      </c>
      <c r="O252" s="282">
        <f>-O262</f>
        <v>-4022.3593469914031</v>
      </c>
      <c r="P252" s="282">
        <f>-P254</f>
        <v>-562.26755154061777</v>
      </c>
      <c r="Q252" s="282">
        <f t="shared" ref="Q252" si="141">SUM(Q240:Q251)</f>
        <v>0</v>
      </c>
      <c r="R252" s="282">
        <f t="shared" si="136"/>
        <v>4759.2707264416231</v>
      </c>
      <c r="U252" s="404"/>
      <c r="V252" s="281" t="s">
        <v>40</v>
      </c>
      <c r="W252" s="282">
        <f>SUM(W240:W251)</f>
        <v>0</v>
      </c>
      <c r="X252" s="282">
        <f t="shared" ref="X252:AH252" si="142">SUM(X240:X251)</f>
        <v>0</v>
      </c>
      <c r="Y252" s="282">
        <f t="shared" si="142"/>
        <v>0</v>
      </c>
      <c r="Z252" s="282">
        <f t="shared" si="142"/>
        <v>0</v>
      </c>
      <c r="AA252" s="282">
        <f t="shared" si="142"/>
        <v>0</v>
      </c>
      <c r="AB252" s="282">
        <f t="shared" si="142"/>
        <v>1702.2871323348729</v>
      </c>
      <c r="AC252" s="282">
        <f t="shared" si="142"/>
        <v>4508.6234086623226</v>
      </c>
      <c r="AD252" s="282">
        <f t="shared" si="142"/>
        <v>524.60518072394814</v>
      </c>
      <c r="AE252" s="282">
        <f t="shared" si="142"/>
        <v>1545.9696806615684</v>
      </c>
      <c r="AF252" s="282">
        <f t="shared" si="142"/>
        <v>65.073840219808687</v>
      </c>
      <c r="AG252" s="282">
        <f t="shared" si="142"/>
        <v>0</v>
      </c>
      <c r="AH252" s="282">
        <f t="shared" si="142"/>
        <v>0</v>
      </c>
      <c r="AI252" s="282">
        <f>-AI262</f>
        <v>-3800.6439197561645</v>
      </c>
      <c r="AJ252" s="282">
        <f>-AJ254</f>
        <v>-562.26755154061777</v>
      </c>
      <c r="AK252" s="282">
        <f t="shared" ref="AK252" si="143">SUM(AK240:AK251)</f>
        <v>0</v>
      </c>
      <c r="AL252" s="282">
        <f t="shared" si="137"/>
        <v>3983.6477713057388</v>
      </c>
    </row>
    <row r="253" spans="1:38" ht="14.4" customHeight="1">
      <c r="A253" s="404"/>
      <c r="B253" s="283"/>
      <c r="C253" s="284"/>
      <c r="D253" s="284"/>
      <c r="E253" s="291"/>
      <c r="F253" s="284"/>
      <c r="G253" s="284"/>
      <c r="H253" s="284"/>
      <c r="I253" s="291"/>
      <c r="J253" s="284"/>
      <c r="K253" s="284"/>
      <c r="L253" s="284"/>
      <c r="M253" s="292"/>
      <c r="N253" s="284"/>
      <c r="O253" s="284"/>
      <c r="P253" s="284"/>
      <c r="Q253" s="284"/>
      <c r="R253" s="284"/>
      <c r="U253" s="404"/>
      <c r="V253" s="283"/>
      <c r="W253" s="284"/>
      <c r="X253" s="284"/>
      <c r="Y253" s="291"/>
      <c r="Z253" s="284"/>
      <c r="AA253" s="284"/>
      <c r="AB253" s="284"/>
      <c r="AC253" s="291"/>
      <c r="AD253" s="284"/>
      <c r="AE253" s="284"/>
      <c r="AF253" s="284"/>
      <c r="AG253" s="292"/>
      <c r="AH253" s="284"/>
      <c r="AI253" s="284"/>
      <c r="AJ253" s="284"/>
      <c r="AK253" s="284"/>
      <c r="AL253" s="284"/>
    </row>
    <row r="254" spans="1:38" ht="14.4" customHeight="1">
      <c r="A254" s="404"/>
      <c r="B254" s="286" t="s">
        <v>41</v>
      </c>
      <c r="C254" s="277">
        <v>0</v>
      </c>
      <c r="D254" s="277">
        <v>0</v>
      </c>
      <c r="E254" s="277">
        <f>Industrie!$H$35</f>
        <v>341.43734507433959</v>
      </c>
      <c r="F254" s="277">
        <v>0</v>
      </c>
      <c r="G254" s="277">
        <v>0</v>
      </c>
      <c r="H254" s="277">
        <v>0</v>
      </c>
      <c r="I254" s="277">
        <f>Industrie!$H$38*$I$49/SUM($I$49:$N$49)</f>
        <v>30.857754921545123</v>
      </c>
      <c r="J254" s="277">
        <f>Industrie!$H$38*$J$49/SUM($I$49:$N$49)</f>
        <v>0</v>
      </c>
      <c r="K254" s="277">
        <f>Industrie!$H$38*$K$49/SUM($I$49:$N$49)</f>
        <v>0</v>
      </c>
      <c r="L254" s="277">
        <f>Industrie!$H$38*$L$49/SUM($I$49:$N$49)</f>
        <v>5.1462555568593746</v>
      </c>
      <c r="M254" s="277">
        <f>Industrie!$H$38*$M$49/SUM($I$49:$N$49)</f>
        <v>0</v>
      </c>
      <c r="N254" s="277">
        <f>Industrie!$H$38*$N$49/SUM($I$49:$N$49)</f>
        <v>0.10491484989205019</v>
      </c>
      <c r="O254" s="277">
        <f>Industrie!$H$36</f>
        <v>363.88478298580139</v>
      </c>
      <c r="P254" s="277">
        <f>Industrie!$H$39</f>
        <v>562.26755154061777</v>
      </c>
      <c r="Q254" s="277">
        <v>0</v>
      </c>
      <c r="R254" s="288">
        <f>SUM(C254:Q254)</f>
        <v>1303.6986049290554</v>
      </c>
      <c r="U254" s="404"/>
      <c r="V254" s="286" t="s">
        <v>41</v>
      </c>
      <c r="W254" s="277">
        <v>0</v>
      </c>
      <c r="X254" s="277">
        <v>0</v>
      </c>
      <c r="Y254" s="277">
        <f>Industrie!$H$56</f>
        <v>33.4797854674893</v>
      </c>
      <c r="Z254" s="277">
        <v>0</v>
      </c>
      <c r="AA254" s="277">
        <v>0</v>
      </c>
      <c r="AB254" s="277">
        <v>0</v>
      </c>
      <c r="AC254" s="277">
        <f>Industrie!$H$62*$AC$49/SUM($I$49:$N$49)</f>
        <v>145.30159454167378</v>
      </c>
      <c r="AD254" s="277">
        <f>Industrie!$H$62*$AD$49/SUM($I$49:$N$49)</f>
        <v>0</v>
      </c>
      <c r="AE254" s="277">
        <f>Industrie!$H$62*$AE$49/SUM($I$49:$N$49)</f>
        <v>0</v>
      </c>
      <c r="AF254" s="277">
        <f>Industrie!$H$62*$AF$49/SUM($I$49:$N$49)</f>
        <v>24.232454377571237</v>
      </c>
      <c r="AG254" s="277">
        <f>Industrie!$H$62*$AG$49/SUM($I$49:$N$49)</f>
        <v>0</v>
      </c>
      <c r="AH254" s="277">
        <f>Industrie!$H$62*$AH$49/SUM($I$49:$N$49)</f>
        <v>0.49401827900874146</v>
      </c>
      <c r="AI254" s="277">
        <f>Industrie!$H$57</f>
        <v>440.24115825171191</v>
      </c>
      <c r="AJ254" s="277">
        <f>Industrie!$H$63</f>
        <v>562.26755154061777</v>
      </c>
      <c r="AK254" s="277">
        <v>0</v>
      </c>
      <c r="AL254" s="288">
        <f>SUM(W254:AK254)</f>
        <v>1206.0165624580727</v>
      </c>
    </row>
    <row r="255" spans="1:38" ht="14.4" customHeight="1">
      <c r="A255" s="404"/>
      <c r="B255" s="286" t="s">
        <v>42</v>
      </c>
      <c r="C255" s="277">
        <v>0</v>
      </c>
      <c r="D255" s="277">
        <v>0</v>
      </c>
      <c r="E255" s="277">
        <f>Transports!$J$44</f>
        <v>3094.9151724037074</v>
      </c>
      <c r="F255" s="277">
        <v>0</v>
      </c>
      <c r="G255" s="277">
        <v>0</v>
      </c>
      <c r="H255" s="277">
        <v>0</v>
      </c>
      <c r="I255" s="277">
        <v>0</v>
      </c>
      <c r="J255" s="277">
        <v>0</v>
      </c>
      <c r="K255" s="277">
        <v>0</v>
      </c>
      <c r="L255" s="277">
        <v>0</v>
      </c>
      <c r="M255" s="277">
        <v>0</v>
      </c>
      <c r="N255" s="277">
        <v>0</v>
      </c>
      <c r="O255" s="277">
        <f>Transports!$J$45</f>
        <v>644.14605350588431</v>
      </c>
      <c r="P255" s="277">
        <v>0</v>
      </c>
      <c r="Q255" s="277">
        <v>0</v>
      </c>
      <c r="R255" s="288">
        <f t="shared" ref="R255:R262" si="144">SUM(C255:Q255)</f>
        <v>3739.0612259095915</v>
      </c>
      <c r="U255" s="404"/>
      <c r="V255" s="286" t="s">
        <v>42</v>
      </c>
      <c r="W255" s="277">
        <v>0</v>
      </c>
      <c r="X255" s="277">
        <v>0</v>
      </c>
      <c r="Y255" s="277">
        <f>Transports!$J71</f>
        <v>975.27689441149346</v>
      </c>
      <c r="Z255" s="277">
        <v>0</v>
      </c>
      <c r="AA255" s="277">
        <v>0</v>
      </c>
      <c r="AB255" s="277">
        <v>0</v>
      </c>
      <c r="AC255" s="277">
        <v>0</v>
      </c>
      <c r="AD255" s="277">
        <v>0</v>
      </c>
      <c r="AE255" s="277">
        <v>0</v>
      </c>
      <c r="AF255" s="277">
        <v>0</v>
      </c>
      <c r="AG255" s="277">
        <v>0</v>
      </c>
      <c r="AH255" s="277">
        <v>0</v>
      </c>
      <c r="AI255" s="277">
        <f>Transports!$J$72</f>
        <v>1458.0128577375328</v>
      </c>
      <c r="AJ255" s="277">
        <v>0</v>
      </c>
      <c r="AK255" s="277">
        <v>0</v>
      </c>
      <c r="AL255" s="288">
        <f t="shared" ref="AL255:AL262" si="145">SUM(W255:AK255)</f>
        <v>2433.2897521490263</v>
      </c>
    </row>
    <row r="256" spans="1:38" ht="14.4" customHeight="1">
      <c r="A256" s="404"/>
      <c r="B256" s="286" t="s">
        <v>43</v>
      </c>
      <c r="C256" s="277">
        <v>0</v>
      </c>
      <c r="D256" s="277">
        <v>0</v>
      </c>
      <c r="E256" s="277">
        <f>'Résidentiel-tertiaire'!$H$163</f>
        <v>120.04365395365815</v>
      </c>
      <c r="F256" s="277">
        <v>0</v>
      </c>
      <c r="G256" s="277">
        <v>0</v>
      </c>
      <c r="H256" s="277">
        <v>0</v>
      </c>
      <c r="I256" s="277">
        <f>'Résidentiel-tertiaire'!$H$164*$I$51/SUM($I$51:$N$51)</f>
        <v>0</v>
      </c>
      <c r="J256" s="277">
        <f>'Résidentiel-tertiaire'!$H$164*$J$51/SUM($I$51:$N$51)</f>
        <v>0</v>
      </c>
      <c r="K256" s="277">
        <f>'Résidentiel-tertiaire'!$H$164*$K$51/SUM($I$51:$N$51)</f>
        <v>0</v>
      </c>
      <c r="L256" s="277">
        <f>'Résidentiel-tertiaire'!$H$164*$L$51/SUM($I$51:$N$51)</f>
        <v>0</v>
      </c>
      <c r="M256" s="277">
        <f>'Résidentiel-tertiaire'!$H$164*$M$51/SUM($I$51:$N$51)</f>
        <v>0</v>
      </c>
      <c r="N256" s="277">
        <f>'Résidentiel-tertiaire'!$H$164*$N$51/SUM($I$51:$N$51)</f>
        <v>825.95253209419127</v>
      </c>
      <c r="O256" s="277">
        <f>'Résidentiel-tertiaire'!$H$165</f>
        <v>1604.9314604673862</v>
      </c>
      <c r="P256" s="277">
        <v>0</v>
      </c>
      <c r="Q256" s="277">
        <v>0</v>
      </c>
      <c r="R256" s="288">
        <f t="shared" si="144"/>
        <v>2550.9276465152357</v>
      </c>
      <c r="U256" s="404"/>
      <c r="V256" s="286" t="s">
        <v>43</v>
      </c>
      <c r="W256" s="277">
        <v>0</v>
      </c>
      <c r="X256" s="277">
        <v>0</v>
      </c>
      <c r="Y256" s="277">
        <f>'Résidentiel-tertiaire'!$H$177</f>
        <v>21.833333333333353</v>
      </c>
      <c r="Z256" s="277">
        <v>0</v>
      </c>
      <c r="AA256" s="277">
        <v>0</v>
      </c>
      <c r="AB256" s="277">
        <v>0</v>
      </c>
      <c r="AC256" s="277">
        <f>'Résidentiel-tertiaire'!$H$178*$AC$51/SUM($I$51:$N$51)</f>
        <v>0</v>
      </c>
      <c r="AD256" s="277">
        <f>'Résidentiel-tertiaire'!$H$178*$AD$51/SUM($I$51:$N$51)</f>
        <v>0</v>
      </c>
      <c r="AE256" s="277">
        <f>'Résidentiel-tertiaire'!$H$178*$AE$51/SUM($I$51:$N$51)</f>
        <v>0</v>
      </c>
      <c r="AF256" s="277">
        <f>'Résidentiel-tertiaire'!$H$178*$AF$51/SUM($I$51:$N$51)</f>
        <v>0</v>
      </c>
      <c r="AG256" s="277">
        <f>'Résidentiel-tertiaire'!$H$178*$AG$51/SUM($I$51:$N$51)</f>
        <v>0</v>
      </c>
      <c r="AH256" s="277">
        <f>'Résidentiel-tertiaire'!$H$178*$AH$51/SUM($I$51:$N$51)</f>
        <v>498.43205894466672</v>
      </c>
      <c r="AI256" s="277">
        <f>'Résidentiel-tertiaire'!$H$179</f>
        <v>948.63006000697078</v>
      </c>
      <c r="AJ256" s="277">
        <v>0</v>
      </c>
      <c r="AK256" s="277">
        <v>0</v>
      </c>
      <c r="AL256" s="288">
        <f t="shared" si="145"/>
        <v>1468.8954522849708</v>
      </c>
    </row>
    <row r="257" spans="1:38" ht="14.4" customHeight="1">
      <c r="A257" s="404"/>
      <c r="B257" s="286" t="s">
        <v>44</v>
      </c>
      <c r="C257" s="277">
        <v>0</v>
      </c>
      <c r="D257" s="277">
        <v>0</v>
      </c>
      <c r="E257" s="277">
        <f>'Résidentiel-tertiaire'!$H$168</f>
        <v>389.60421262602625</v>
      </c>
      <c r="F257" s="277">
        <v>0</v>
      </c>
      <c r="G257" s="277">
        <v>0</v>
      </c>
      <c r="H257" s="277">
        <v>0</v>
      </c>
      <c r="I257" s="277">
        <f>'Résidentiel-tertiaire'!$H$169*$I$52/SUM($I$52:$N$52)</f>
        <v>0</v>
      </c>
      <c r="J257" s="277">
        <f>'Résidentiel-tertiaire'!$H$169*$J$52/SUM($I$52:$N$52)</f>
        <v>0</v>
      </c>
      <c r="K257" s="277">
        <f>'Résidentiel-tertiaire'!$H$169*$K$52/SUM($I$52:$N$52)</f>
        <v>0</v>
      </c>
      <c r="L257" s="277">
        <f>'Résidentiel-tertiaire'!$H$169*$L$52/SUM($I$52:$N$52)</f>
        <v>0</v>
      </c>
      <c r="M257" s="277">
        <f>'Résidentiel-tertiaire'!$H$169*$M$52/SUM($I$52:$N$52)</f>
        <v>0</v>
      </c>
      <c r="N257" s="277">
        <f>'Résidentiel-tertiaire'!$H$169*$N$52/SUM($I$52:$N$52)</f>
        <v>1.1699826204985773</v>
      </c>
      <c r="O257" s="277">
        <f>'Résidentiel-tertiaire'!$H$170</f>
        <v>1388.7693705318111</v>
      </c>
      <c r="P257" s="277">
        <v>0</v>
      </c>
      <c r="Q257" s="277">
        <v>0</v>
      </c>
      <c r="R257" s="288">
        <f t="shared" si="144"/>
        <v>1779.543565778336</v>
      </c>
      <c r="U257" s="404"/>
      <c r="V257" s="286" t="s">
        <v>44</v>
      </c>
      <c r="W257" s="277">
        <v>0</v>
      </c>
      <c r="X257" s="277">
        <v>0</v>
      </c>
      <c r="Y257" s="277">
        <f>'Résidentiel-tertiaire'!$H$182</f>
        <v>46.666666666666707</v>
      </c>
      <c r="Z257" s="277">
        <v>0</v>
      </c>
      <c r="AA257" s="277">
        <v>0</v>
      </c>
      <c r="AB257" s="277">
        <v>0</v>
      </c>
      <c r="AC257" s="277">
        <f>'Résidentiel-tertiaire'!$H$183*$AC$52/SUM($I$52:$N$52)</f>
        <v>0</v>
      </c>
      <c r="AD257" s="277">
        <f>'Résidentiel-tertiaire'!$H$183*$AD$52/SUM($I$52:$N$52)</f>
        <v>0</v>
      </c>
      <c r="AE257" s="277">
        <f>'Résidentiel-tertiaire'!$H$183*$AE$52/SUM($I$52:$N$52)</f>
        <v>0</v>
      </c>
      <c r="AF257" s="277">
        <f>'Résidentiel-tertiaire'!$H$183*$AF$52/SUM($I$52:$N$52)</f>
        <v>0</v>
      </c>
      <c r="AG257" s="277">
        <f>'Résidentiel-tertiaire'!$H$183*$AG$52/SUM($I$52:$N$52)</f>
        <v>0</v>
      </c>
      <c r="AH257" s="277">
        <f>'Résidentiel-tertiaire'!$H$183*$AH$52/SUM($I$52:$N$52)</f>
        <v>0.70152542279263186</v>
      </c>
      <c r="AI257" s="277">
        <f>'Résidentiel-tertiaire'!$H$184</f>
        <v>948.79790827607781</v>
      </c>
      <c r="AJ257" s="277">
        <v>0</v>
      </c>
      <c r="AK257" s="277">
        <v>0</v>
      </c>
      <c r="AL257" s="288">
        <f t="shared" si="145"/>
        <v>996.1661003655372</v>
      </c>
    </row>
    <row r="258" spans="1:38" ht="14.4" customHeight="1">
      <c r="A258" s="404"/>
      <c r="B258" s="286" t="s">
        <v>4</v>
      </c>
      <c r="C258" s="277">
        <v>0</v>
      </c>
      <c r="D258" s="277">
        <v>0</v>
      </c>
      <c r="E258" s="277">
        <f>Agriculture!$V$27</f>
        <v>105.20116545265348</v>
      </c>
      <c r="F258" s="277">
        <v>0</v>
      </c>
      <c r="G258" s="277">
        <v>0</v>
      </c>
      <c r="H258" s="277">
        <v>0</v>
      </c>
      <c r="I258" s="277">
        <v>0</v>
      </c>
      <c r="J258" s="277">
        <v>0</v>
      </c>
      <c r="K258" s="277">
        <v>0</v>
      </c>
      <c r="L258" s="277">
        <v>0</v>
      </c>
      <c r="M258" s="277">
        <v>0</v>
      </c>
      <c r="N258" s="277">
        <v>0</v>
      </c>
      <c r="O258" s="277">
        <f>Agriculture!$V$28</f>
        <v>20.627679500520291</v>
      </c>
      <c r="P258" s="277">
        <v>0</v>
      </c>
      <c r="Q258" s="277">
        <v>0</v>
      </c>
      <c r="R258" s="288">
        <f t="shared" si="144"/>
        <v>125.82884495317377</v>
      </c>
      <c r="U258" s="404"/>
      <c r="V258" s="286" t="s">
        <v>4</v>
      </c>
      <c r="W258" s="277">
        <v>0</v>
      </c>
      <c r="X258" s="277">
        <v>0</v>
      </c>
      <c r="Y258" s="277">
        <f>Agriculture!$AC$43</f>
        <v>16.451612903225808</v>
      </c>
      <c r="Z258" s="277">
        <v>0</v>
      </c>
      <c r="AA258" s="277">
        <v>0</v>
      </c>
      <c r="AB258" s="277">
        <v>0</v>
      </c>
      <c r="AC258" s="277">
        <v>0</v>
      </c>
      <c r="AD258" s="277">
        <v>0</v>
      </c>
      <c r="AE258" s="277">
        <f>Agriculture!$AC$45</f>
        <v>79.688322580645149</v>
      </c>
      <c r="AF258" s="277">
        <v>0</v>
      </c>
      <c r="AG258" s="277">
        <v>0</v>
      </c>
      <c r="AH258" s="277">
        <v>0</v>
      </c>
      <c r="AI258" s="277">
        <f>Agriculture!$AC$44</f>
        <v>4.9619354838709668</v>
      </c>
      <c r="AJ258" s="277">
        <v>0</v>
      </c>
      <c r="AK258" s="277">
        <v>0</v>
      </c>
      <c r="AL258" s="288">
        <f t="shared" si="145"/>
        <v>101.10187096774192</v>
      </c>
    </row>
    <row r="259" spans="1:38" ht="14.4" customHeight="1">
      <c r="A259" s="404"/>
      <c r="B259" s="286" t="s">
        <v>410</v>
      </c>
      <c r="C259" s="277">
        <v>0</v>
      </c>
      <c r="D259" s="277">
        <v>0</v>
      </c>
      <c r="E259" s="277">
        <v>0</v>
      </c>
      <c r="F259" s="277">
        <v>0</v>
      </c>
      <c r="G259" s="277">
        <v>0</v>
      </c>
      <c r="H259" s="277">
        <v>0</v>
      </c>
      <c r="I259" s="277">
        <v>0</v>
      </c>
      <c r="J259" s="277">
        <v>0</v>
      </c>
      <c r="K259" s="277">
        <v>0</v>
      </c>
      <c r="L259" s="277">
        <v>0</v>
      </c>
      <c r="M259" s="277">
        <v>0</v>
      </c>
      <c r="N259" s="277">
        <v>0</v>
      </c>
      <c r="O259" s="277">
        <v>0</v>
      </c>
      <c r="P259" s="277">
        <v>0</v>
      </c>
      <c r="Q259" s="277">
        <v>0</v>
      </c>
      <c r="R259" s="288">
        <f t="shared" si="144"/>
        <v>0</v>
      </c>
      <c r="U259" s="404"/>
      <c r="V259" s="286" t="s">
        <v>410</v>
      </c>
      <c r="W259" s="277">
        <v>0</v>
      </c>
      <c r="X259" s="277">
        <v>0</v>
      </c>
      <c r="Y259" s="277">
        <v>0</v>
      </c>
      <c r="Z259" s="277">
        <v>0</v>
      </c>
      <c r="AA259" s="277">
        <v>0</v>
      </c>
      <c r="AB259" s="277">
        <v>0</v>
      </c>
      <c r="AC259" s="277">
        <v>0</v>
      </c>
      <c r="AD259" s="277">
        <v>0</v>
      </c>
      <c r="AE259" s="277">
        <v>0</v>
      </c>
      <c r="AF259" s="277">
        <v>0</v>
      </c>
      <c r="AG259" s="277">
        <v>0</v>
      </c>
      <c r="AH259" s="277">
        <v>0</v>
      </c>
      <c r="AI259" s="277">
        <v>0</v>
      </c>
      <c r="AJ259" s="277">
        <v>0</v>
      </c>
      <c r="AK259" s="277">
        <v>0</v>
      </c>
      <c r="AL259" s="288">
        <f t="shared" si="145"/>
        <v>0</v>
      </c>
    </row>
    <row r="260" spans="1:38" ht="14.4" customHeight="1">
      <c r="A260" s="404"/>
      <c r="B260" s="281" t="s">
        <v>45</v>
      </c>
      <c r="C260" s="282">
        <f>SUM(C254:C259)</f>
        <v>0</v>
      </c>
      <c r="D260" s="282">
        <f t="shared" ref="D260:Q260" si="146">SUM(D254:D259)</f>
        <v>0</v>
      </c>
      <c r="E260" s="282">
        <f t="shared" si="146"/>
        <v>4051.2015495103851</v>
      </c>
      <c r="F260" s="282">
        <f t="shared" si="146"/>
        <v>0</v>
      </c>
      <c r="G260" s="282">
        <f t="shared" si="146"/>
        <v>0</v>
      </c>
      <c r="H260" s="282">
        <f t="shared" si="146"/>
        <v>0</v>
      </c>
      <c r="I260" s="282">
        <f t="shared" si="146"/>
        <v>30.857754921545123</v>
      </c>
      <c r="J260" s="282">
        <f t="shared" si="146"/>
        <v>0</v>
      </c>
      <c r="K260" s="282">
        <f t="shared" si="146"/>
        <v>0</v>
      </c>
      <c r="L260" s="282">
        <f t="shared" si="146"/>
        <v>5.1462555568593746</v>
      </c>
      <c r="M260" s="282">
        <f t="shared" si="146"/>
        <v>0</v>
      </c>
      <c r="N260" s="282">
        <f t="shared" si="146"/>
        <v>827.22742956458183</v>
      </c>
      <c r="O260" s="282">
        <f t="shared" si="146"/>
        <v>4022.3593469914031</v>
      </c>
      <c r="P260" s="282">
        <f t="shared" si="146"/>
        <v>562.26755154061777</v>
      </c>
      <c r="Q260" s="282">
        <f t="shared" si="146"/>
        <v>0</v>
      </c>
      <c r="R260" s="282">
        <f t="shared" si="144"/>
        <v>9499.0598880853922</v>
      </c>
      <c r="U260" s="404"/>
      <c r="V260" s="281" t="s">
        <v>45</v>
      </c>
      <c r="W260" s="282">
        <f>SUM(W254:W259)</f>
        <v>0</v>
      </c>
      <c r="X260" s="282">
        <f t="shared" ref="X260:AK260" si="147">SUM(X254:X259)</f>
        <v>0</v>
      </c>
      <c r="Y260" s="282">
        <f t="shared" si="147"/>
        <v>1093.7082927822087</v>
      </c>
      <c r="Z260" s="282">
        <f t="shared" si="147"/>
        <v>0</v>
      </c>
      <c r="AA260" s="282">
        <f t="shared" si="147"/>
        <v>0</v>
      </c>
      <c r="AB260" s="282">
        <f t="shared" si="147"/>
        <v>0</v>
      </c>
      <c r="AC260" s="282">
        <f t="shared" si="147"/>
        <v>145.30159454167378</v>
      </c>
      <c r="AD260" s="282">
        <f t="shared" si="147"/>
        <v>0</v>
      </c>
      <c r="AE260" s="282">
        <f t="shared" si="147"/>
        <v>79.688322580645149</v>
      </c>
      <c r="AF260" s="282">
        <f t="shared" si="147"/>
        <v>24.232454377571237</v>
      </c>
      <c r="AG260" s="282">
        <f t="shared" si="147"/>
        <v>0</v>
      </c>
      <c r="AH260" s="282">
        <f t="shared" si="147"/>
        <v>499.62760264646812</v>
      </c>
      <c r="AI260" s="282">
        <f t="shared" si="147"/>
        <v>3800.6439197561645</v>
      </c>
      <c r="AJ260" s="282">
        <f t="shared" si="147"/>
        <v>562.26755154061777</v>
      </c>
      <c r="AK260" s="282">
        <f t="shared" si="147"/>
        <v>0</v>
      </c>
      <c r="AL260" s="282">
        <f t="shared" si="145"/>
        <v>6205.4697382253498</v>
      </c>
    </row>
    <row r="261" spans="1:38" ht="14.4" customHeight="1">
      <c r="A261" s="404"/>
      <c r="B261" s="276" t="s">
        <v>46</v>
      </c>
      <c r="C261" s="277">
        <v>0</v>
      </c>
      <c r="D261" s="277">
        <v>0</v>
      </c>
      <c r="E261" s="277">
        <f>Industrie!$H$37</f>
        <v>345.61399957083842</v>
      </c>
      <c r="F261" s="277">
        <v>0</v>
      </c>
      <c r="G261" s="277">
        <v>0</v>
      </c>
      <c r="H261" s="277">
        <v>0</v>
      </c>
      <c r="I261" s="277">
        <v>0</v>
      </c>
      <c r="J261" s="277">
        <v>0</v>
      </c>
      <c r="K261" s="277">
        <v>0</v>
      </c>
      <c r="L261" s="277">
        <v>0</v>
      </c>
      <c r="M261" s="277">
        <v>0</v>
      </c>
      <c r="N261" s="277">
        <v>0</v>
      </c>
      <c r="O261" s="277">
        <v>0</v>
      </c>
      <c r="P261" s="277">
        <v>0</v>
      </c>
      <c r="Q261" s="277">
        <v>0</v>
      </c>
      <c r="R261" s="288">
        <f t="shared" si="144"/>
        <v>345.61399957083842</v>
      </c>
      <c r="U261" s="404"/>
      <c r="V261" s="276" t="s">
        <v>46</v>
      </c>
      <c r="W261" s="277">
        <v>0</v>
      </c>
      <c r="X261" s="277">
        <v>0</v>
      </c>
      <c r="Y261" s="277">
        <f>Industrie!$H$59</f>
        <v>345.61399957083842</v>
      </c>
      <c r="Z261" s="277">
        <v>0</v>
      </c>
      <c r="AA261" s="277">
        <v>0</v>
      </c>
      <c r="AB261" s="277">
        <v>0</v>
      </c>
      <c r="AC261" s="277">
        <v>0</v>
      </c>
      <c r="AD261" s="277">
        <v>0</v>
      </c>
      <c r="AE261" s="277">
        <v>0</v>
      </c>
      <c r="AF261" s="277">
        <v>0</v>
      </c>
      <c r="AG261" s="277">
        <v>0</v>
      </c>
      <c r="AH261" s="277">
        <v>0</v>
      </c>
      <c r="AI261" s="277">
        <v>0</v>
      </c>
      <c r="AJ261" s="277">
        <v>0</v>
      </c>
      <c r="AK261" s="277">
        <v>0</v>
      </c>
      <c r="AL261" s="288">
        <f t="shared" si="145"/>
        <v>345.61399957083842</v>
      </c>
    </row>
    <row r="262" spans="1:38" ht="14.4" customHeight="1">
      <c r="A262" s="404"/>
      <c r="B262" s="281" t="s">
        <v>47</v>
      </c>
      <c r="C262" s="282">
        <f>C261+C260</f>
        <v>0</v>
      </c>
      <c r="D262" s="282">
        <f t="shared" ref="D262:Q262" si="148">D261+D260</f>
        <v>0</v>
      </c>
      <c r="E262" s="282">
        <f t="shared" si="148"/>
        <v>4396.8155490812233</v>
      </c>
      <c r="F262" s="282">
        <f t="shared" si="148"/>
        <v>0</v>
      </c>
      <c r="G262" s="282">
        <f t="shared" si="148"/>
        <v>0</v>
      </c>
      <c r="H262" s="282">
        <f t="shared" si="148"/>
        <v>0</v>
      </c>
      <c r="I262" s="282">
        <f t="shared" si="148"/>
        <v>30.857754921545123</v>
      </c>
      <c r="J262" s="282">
        <f t="shared" si="148"/>
        <v>0</v>
      </c>
      <c r="K262" s="282">
        <f t="shared" si="148"/>
        <v>0</v>
      </c>
      <c r="L262" s="282">
        <f t="shared" si="148"/>
        <v>5.1462555568593746</v>
      </c>
      <c r="M262" s="282">
        <f t="shared" si="148"/>
        <v>0</v>
      </c>
      <c r="N262" s="282">
        <f t="shared" si="148"/>
        <v>827.22742956458183</v>
      </c>
      <c r="O262" s="282">
        <f t="shared" si="148"/>
        <v>4022.3593469914031</v>
      </c>
      <c r="P262" s="282">
        <f t="shared" si="148"/>
        <v>562.26755154061777</v>
      </c>
      <c r="Q262" s="282">
        <f t="shared" si="148"/>
        <v>0</v>
      </c>
      <c r="R262" s="282">
        <f t="shared" si="144"/>
        <v>9844.6738876562304</v>
      </c>
      <c r="U262" s="404"/>
      <c r="V262" s="281" t="s">
        <v>47</v>
      </c>
      <c r="W262" s="282">
        <f>W261+W260</f>
        <v>0</v>
      </c>
      <c r="X262" s="282">
        <f t="shared" ref="X262:AK262" si="149">X261+X260</f>
        <v>0</v>
      </c>
      <c r="Y262" s="282">
        <f t="shared" si="149"/>
        <v>1439.322292353047</v>
      </c>
      <c r="Z262" s="282">
        <f t="shared" si="149"/>
        <v>0</v>
      </c>
      <c r="AA262" s="282">
        <f t="shared" si="149"/>
        <v>0</v>
      </c>
      <c r="AB262" s="282">
        <f t="shared" si="149"/>
        <v>0</v>
      </c>
      <c r="AC262" s="282">
        <f t="shared" si="149"/>
        <v>145.30159454167378</v>
      </c>
      <c r="AD262" s="282">
        <f t="shared" si="149"/>
        <v>0</v>
      </c>
      <c r="AE262" s="282">
        <f t="shared" si="149"/>
        <v>79.688322580645149</v>
      </c>
      <c r="AF262" s="282">
        <f t="shared" si="149"/>
        <v>24.232454377571237</v>
      </c>
      <c r="AG262" s="282">
        <f t="shared" si="149"/>
        <v>0</v>
      </c>
      <c r="AH262" s="282">
        <f t="shared" si="149"/>
        <v>499.62760264646812</v>
      </c>
      <c r="AI262" s="282">
        <f t="shared" si="149"/>
        <v>3800.6439197561645</v>
      </c>
      <c r="AJ262" s="282">
        <f t="shared" si="149"/>
        <v>562.26755154061777</v>
      </c>
      <c r="AK262" s="282">
        <f t="shared" si="149"/>
        <v>0</v>
      </c>
      <c r="AL262" s="282">
        <f t="shared" si="145"/>
        <v>6551.083737796188</v>
      </c>
    </row>
    <row r="271" spans="1:38" ht="14.4" customHeight="1">
      <c r="A271" s="404">
        <v>2050</v>
      </c>
      <c r="B271" s="408" t="s">
        <v>12</v>
      </c>
      <c r="C271" s="407" t="s">
        <v>14</v>
      </c>
      <c r="D271" s="407" t="s">
        <v>15</v>
      </c>
      <c r="E271" s="407" t="s">
        <v>16</v>
      </c>
      <c r="F271" s="407" t="s">
        <v>17</v>
      </c>
      <c r="G271" s="407" t="s">
        <v>395</v>
      </c>
      <c r="H271" s="407" t="s">
        <v>18</v>
      </c>
      <c r="I271" s="407" t="s">
        <v>19</v>
      </c>
      <c r="J271" s="407"/>
      <c r="K271" s="407"/>
      <c r="L271" s="407"/>
      <c r="M271" s="407"/>
      <c r="N271" s="407"/>
      <c r="O271" s="399" t="s">
        <v>396</v>
      </c>
      <c r="P271" s="399" t="s">
        <v>21</v>
      </c>
      <c r="Q271" s="399" t="s">
        <v>397</v>
      </c>
      <c r="R271" s="399" t="s">
        <v>23</v>
      </c>
      <c r="U271" s="404">
        <v>2050</v>
      </c>
      <c r="V271" s="405" t="s">
        <v>12</v>
      </c>
      <c r="W271" s="399" t="s">
        <v>14</v>
      </c>
      <c r="X271" s="399" t="s">
        <v>15</v>
      </c>
      <c r="Y271" s="399" t="s">
        <v>16</v>
      </c>
      <c r="Z271" s="399" t="s">
        <v>17</v>
      </c>
      <c r="AA271" s="399" t="s">
        <v>395</v>
      </c>
      <c r="AB271" s="399" t="s">
        <v>18</v>
      </c>
      <c r="AC271" s="401" t="s">
        <v>19</v>
      </c>
      <c r="AD271" s="402"/>
      <c r="AE271" s="402"/>
      <c r="AF271" s="402"/>
      <c r="AG271" s="402"/>
      <c r="AH271" s="403"/>
      <c r="AI271" s="399" t="s">
        <v>396</v>
      </c>
      <c r="AJ271" s="399" t="s">
        <v>21</v>
      </c>
      <c r="AK271" s="399" t="s">
        <v>397</v>
      </c>
      <c r="AL271" s="399" t="s">
        <v>23</v>
      </c>
    </row>
    <row r="272" spans="1:38" ht="45.6">
      <c r="A272" s="404"/>
      <c r="B272" s="408"/>
      <c r="C272" s="407"/>
      <c r="D272" s="407"/>
      <c r="E272" s="407"/>
      <c r="F272" s="407"/>
      <c r="G272" s="407"/>
      <c r="H272" s="407"/>
      <c r="I272" s="274" t="s">
        <v>384</v>
      </c>
      <c r="J272" s="274" t="s">
        <v>7</v>
      </c>
      <c r="K272" s="274" t="s">
        <v>385</v>
      </c>
      <c r="L272" s="274" t="s">
        <v>398</v>
      </c>
      <c r="M272" s="275" t="s">
        <v>399</v>
      </c>
      <c r="N272" s="274" t="s">
        <v>400</v>
      </c>
      <c r="O272" s="399"/>
      <c r="P272" s="399"/>
      <c r="Q272" s="399"/>
      <c r="R272" s="399"/>
      <c r="U272" s="404"/>
      <c r="V272" s="406"/>
      <c r="W272" s="400"/>
      <c r="X272" s="400"/>
      <c r="Y272" s="400"/>
      <c r="Z272" s="400"/>
      <c r="AA272" s="400"/>
      <c r="AB272" s="400"/>
      <c r="AC272" s="274" t="s">
        <v>384</v>
      </c>
      <c r="AD272" s="274" t="s">
        <v>7</v>
      </c>
      <c r="AE272" s="274" t="s">
        <v>385</v>
      </c>
      <c r="AF272" s="274" t="s">
        <v>398</v>
      </c>
      <c r="AG272" s="275" t="s">
        <v>399</v>
      </c>
      <c r="AH272" s="274" t="s">
        <v>400</v>
      </c>
      <c r="AI272" s="400"/>
      <c r="AJ272" s="400"/>
      <c r="AK272" s="400"/>
      <c r="AL272" s="399"/>
    </row>
    <row r="273" spans="1:39" ht="14.4" customHeight="1">
      <c r="A273" s="404"/>
      <c r="B273" s="276" t="s">
        <v>24</v>
      </c>
      <c r="C273" s="277">
        <v>0</v>
      </c>
      <c r="D273" s="278">
        <v>0</v>
      </c>
      <c r="E273" s="278">
        <v>0</v>
      </c>
      <c r="F273" s="277">
        <v>0</v>
      </c>
      <c r="G273" s="278">
        <v>0</v>
      </c>
      <c r="H273" s="278">
        <f>H279</f>
        <v>1550.2014792406299</v>
      </c>
      <c r="I273" s="278">
        <f>$I$27</f>
        <v>1181.9392943361693</v>
      </c>
      <c r="J273" s="278">
        <f>J279</f>
        <v>577.47204557418672</v>
      </c>
      <c r="K273" s="278">
        <v>0</v>
      </c>
      <c r="L273" s="278">
        <f>L279</f>
        <v>76.049111900648811</v>
      </c>
      <c r="M273" s="278">
        <v>0</v>
      </c>
      <c r="N273" s="278">
        <f>N279</f>
        <v>881.42373870783592</v>
      </c>
      <c r="O273" s="279">
        <v>0</v>
      </c>
      <c r="P273" s="278">
        <v>0</v>
      </c>
      <c r="Q273" s="278">
        <v>0</v>
      </c>
      <c r="R273" s="280">
        <f>SUM(C273:Q273)</f>
        <v>4267.08566975947</v>
      </c>
      <c r="U273" s="404"/>
      <c r="V273" s="276" t="s">
        <v>24</v>
      </c>
      <c r="W273" s="277">
        <v>0</v>
      </c>
      <c r="X273" s="278">
        <v>0</v>
      </c>
      <c r="Y273" s="278">
        <v>0</v>
      </c>
      <c r="Z273" s="277">
        <v>0</v>
      </c>
      <c r="AA273" s="278">
        <v>0</v>
      </c>
      <c r="AB273" s="278">
        <f>AB279</f>
        <v>1758.7194859260294</v>
      </c>
      <c r="AC273" s="278">
        <f>$I$27</f>
        <v>1181.9392943361693</v>
      </c>
      <c r="AD273" s="278">
        <f>AD279</f>
        <v>524.60518072394814</v>
      </c>
      <c r="AE273" s="278">
        <v>0</v>
      </c>
      <c r="AF273" s="278">
        <f>AF279</f>
        <v>91.161741049226109</v>
      </c>
      <c r="AG273" s="278">
        <v>0</v>
      </c>
      <c r="AH273" s="278">
        <f>AH279</f>
        <v>476.73549856414598</v>
      </c>
      <c r="AI273" s="279">
        <v>0</v>
      </c>
      <c r="AJ273" s="278">
        <v>0</v>
      </c>
      <c r="AK273" s="278">
        <v>0</v>
      </c>
      <c r="AL273" s="280">
        <f>SUM(W273:AK273)</f>
        <v>4033.1612005995194</v>
      </c>
    </row>
    <row r="274" spans="1:39" ht="14.4" customHeight="1">
      <c r="A274" s="404"/>
      <c r="B274" s="276" t="s">
        <v>28</v>
      </c>
      <c r="C274" s="277">
        <f>C279</f>
        <v>0</v>
      </c>
      <c r="D274" s="278">
        <f>D279</f>
        <v>0</v>
      </c>
      <c r="E274" s="278">
        <f>E279</f>
        <v>4256.3105866173919</v>
      </c>
      <c r="F274" s="277">
        <v>0</v>
      </c>
      <c r="G274" s="278">
        <v>0</v>
      </c>
      <c r="H274" s="278">
        <v>0</v>
      </c>
      <c r="I274" s="278">
        <f>I279-$I$27</f>
        <v>4432.4718991152495</v>
      </c>
      <c r="J274" s="278">
        <v>0</v>
      </c>
      <c r="K274" s="278">
        <f>K279</f>
        <v>2229.1232955511032</v>
      </c>
      <c r="L274" s="278">
        <v>0</v>
      </c>
      <c r="M274" s="278">
        <v>0</v>
      </c>
      <c r="N274" s="278">
        <v>0</v>
      </c>
      <c r="O274" s="279">
        <v>0</v>
      </c>
      <c r="P274" s="278">
        <v>0</v>
      </c>
      <c r="Q274" s="278">
        <v>0</v>
      </c>
      <c r="R274" s="280">
        <f t="shared" ref="R274:R279" si="150">SUM(C274:Q274)</f>
        <v>10917.905781283745</v>
      </c>
      <c r="U274" s="404"/>
      <c r="V274" s="276" t="s">
        <v>28</v>
      </c>
      <c r="W274" s="277">
        <f>W279</f>
        <v>0</v>
      </c>
      <c r="X274" s="278">
        <f>X279</f>
        <v>0</v>
      </c>
      <c r="Y274" s="278">
        <f>Y279</f>
        <v>849.08368492085287</v>
      </c>
      <c r="Z274" s="277">
        <v>0</v>
      </c>
      <c r="AA274" s="278">
        <v>0</v>
      </c>
      <c r="AB274" s="278">
        <v>0</v>
      </c>
      <c r="AC274" s="278">
        <f>AC279-$I$27</f>
        <v>3752.7436961045778</v>
      </c>
      <c r="AD274" s="278">
        <v>0</v>
      </c>
      <c r="AE274" s="278">
        <f>AE279</f>
        <v>1740.7663250382686</v>
      </c>
      <c r="AF274" s="278">
        <v>0</v>
      </c>
      <c r="AG274" s="278">
        <v>0</v>
      </c>
      <c r="AH274" s="278">
        <v>0</v>
      </c>
      <c r="AI274" s="279">
        <v>0</v>
      </c>
      <c r="AJ274" s="278">
        <v>0</v>
      </c>
      <c r="AK274" s="278">
        <v>0</v>
      </c>
      <c r="AL274" s="280">
        <f t="shared" ref="AL274:AL279" si="151">SUM(W274:AK274)</f>
        <v>6342.5937060636988</v>
      </c>
    </row>
    <row r="275" spans="1:39" ht="14.4" customHeight="1">
      <c r="A275" s="404"/>
      <c r="B275" s="276" t="s">
        <v>29</v>
      </c>
      <c r="C275" s="277">
        <v>0</v>
      </c>
      <c r="D275" s="278">
        <v>0</v>
      </c>
      <c r="E275" s="278">
        <v>0</v>
      </c>
      <c r="F275" s="277">
        <v>0</v>
      </c>
      <c r="G275" s="278">
        <v>0</v>
      </c>
      <c r="H275" s="278">
        <v>0</v>
      </c>
      <c r="I275" s="278">
        <v>0</v>
      </c>
      <c r="J275" s="278">
        <v>0</v>
      </c>
      <c r="K275" s="278">
        <v>0</v>
      </c>
      <c r="L275" s="278">
        <v>0</v>
      </c>
      <c r="M275" s="278">
        <v>0</v>
      </c>
      <c r="N275" s="278">
        <v>0</v>
      </c>
      <c r="O275" s="279">
        <v>0</v>
      </c>
      <c r="P275" s="278">
        <v>0</v>
      </c>
      <c r="Q275" s="278">
        <v>0</v>
      </c>
      <c r="R275" s="280">
        <f t="shared" si="150"/>
        <v>0</v>
      </c>
      <c r="U275" s="404"/>
      <c r="V275" s="276" t="s">
        <v>29</v>
      </c>
      <c r="W275" s="277">
        <v>0</v>
      </c>
      <c r="X275" s="278">
        <v>0</v>
      </c>
      <c r="Y275" s="278">
        <v>0</v>
      </c>
      <c r="Z275" s="277">
        <v>0</v>
      </c>
      <c r="AA275" s="278">
        <v>0</v>
      </c>
      <c r="AB275" s="278">
        <v>0</v>
      </c>
      <c r="AC275" s="278">
        <v>0</v>
      </c>
      <c r="AD275" s="278">
        <v>0</v>
      </c>
      <c r="AE275" s="278">
        <v>0</v>
      </c>
      <c r="AF275" s="278">
        <v>0</v>
      </c>
      <c r="AG275" s="278">
        <v>0</v>
      </c>
      <c r="AH275" s="278">
        <v>0</v>
      </c>
      <c r="AI275" s="279">
        <v>0</v>
      </c>
      <c r="AJ275" s="278">
        <v>0</v>
      </c>
      <c r="AK275" s="278">
        <v>0</v>
      </c>
      <c r="AL275" s="280">
        <f t="shared" si="151"/>
        <v>0</v>
      </c>
    </row>
    <row r="276" spans="1:39" ht="14.4" customHeight="1">
      <c r="A276" s="404"/>
      <c r="B276" s="276" t="s">
        <v>30</v>
      </c>
      <c r="C276" s="277">
        <v>0</v>
      </c>
      <c r="D276" s="278">
        <v>0</v>
      </c>
      <c r="E276" s="278">
        <v>0</v>
      </c>
      <c r="F276" s="277">
        <v>0</v>
      </c>
      <c r="G276" s="278">
        <v>0</v>
      </c>
      <c r="H276" s="278">
        <v>0</v>
      </c>
      <c r="I276" s="278">
        <v>0</v>
      </c>
      <c r="J276" s="278">
        <v>0</v>
      </c>
      <c r="K276" s="278">
        <v>0</v>
      </c>
      <c r="L276" s="278">
        <v>0</v>
      </c>
      <c r="M276" s="278">
        <v>0</v>
      </c>
      <c r="N276" s="278">
        <v>0</v>
      </c>
      <c r="O276" s="279">
        <v>0</v>
      </c>
      <c r="P276" s="278">
        <v>0</v>
      </c>
      <c r="Q276" s="278">
        <v>0</v>
      </c>
      <c r="R276" s="280">
        <f t="shared" si="150"/>
        <v>0</v>
      </c>
      <c r="U276" s="404"/>
      <c r="V276" s="276" t="s">
        <v>30</v>
      </c>
      <c r="W276" s="277">
        <v>0</v>
      </c>
      <c r="X276" s="278">
        <v>0</v>
      </c>
      <c r="Y276" s="278">
        <v>0</v>
      </c>
      <c r="Z276" s="277">
        <v>0</v>
      </c>
      <c r="AA276" s="278">
        <v>0</v>
      </c>
      <c r="AB276" s="278">
        <v>0</v>
      </c>
      <c r="AC276" s="278">
        <v>0</v>
      </c>
      <c r="AD276" s="278">
        <v>0</v>
      </c>
      <c r="AE276" s="278">
        <v>0</v>
      </c>
      <c r="AF276" s="278">
        <v>0</v>
      </c>
      <c r="AG276" s="278">
        <v>0</v>
      </c>
      <c r="AH276" s="278">
        <v>0</v>
      </c>
      <c r="AI276" s="279">
        <v>0</v>
      </c>
      <c r="AJ276" s="278">
        <v>0</v>
      </c>
      <c r="AK276" s="278">
        <v>0</v>
      </c>
      <c r="AL276" s="280">
        <f t="shared" si="151"/>
        <v>0</v>
      </c>
    </row>
    <row r="277" spans="1:39" ht="14.4" customHeight="1">
      <c r="A277" s="404"/>
      <c r="B277" s="276" t="s">
        <v>31</v>
      </c>
      <c r="C277" s="277">
        <v>0</v>
      </c>
      <c r="D277" s="278">
        <v>0</v>
      </c>
      <c r="E277" s="278">
        <v>0</v>
      </c>
      <c r="F277" s="277">
        <v>0</v>
      </c>
      <c r="G277" s="278">
        <v>0</v>
      </c>
      <c r="H277" s="278">
        <v>0</v>
      </c>
      <c r="I277" s="278">
        <v>0</v>
      </c>
      <c r="J277" s="278">
        <v>0</v>
      </c>
      <c r="K277" s="278">
        <v>0</v>
      </c>
      <c r="L277" s="278">
        <v>0</v>
      </c>
      <c r="M277" s="278">
        <v>0</v>
      </c>
      <c r="N277" s="278">
        <v>0</v>
      </c>
      <c r="O277" s="279">
        <v>0</v>
      </c>
      <c r="P277" s="278">
        <v>0</v>
      </c>
      <c r="Q277" s="278">
        <v>0</v>
      </c>
      <c r="R277" s="280">
        <f t="shared" si="150"/>
        <v>0</v>
      </c>
      <c r="U277" s="404"/>
      <c r="V277" s="276" t="s">
        <v>31</v>
      </c>
      <c r="W277" s="277">
        <v>0</v>
      </c>
      <c r="X277" s="278">
        <v>0</v>
      </c>
      <c r="Y277" s="278">
        <v>0</v>
      </c>
      <c r="Z277" s="277">
        <v>0</v>
      </c>
      <c r="AA277" s="278">
        <v>0</v>
      </c>
      <c r="AB277" s="278">
        <v>0</v>
      </c>
      <c r="AC277" s="278">
        <v>0</v>
      </c>
      <c r="AD277" s="278">
        <v>0</v>
      </c>
      <c r="AE277" s="278">
        <v>0</v>
      </c>
      <c r="AF277" s="278">
        <v>0</v>
      </c>
      <c r="AG277" s="278">
        <v>0</v>
      </c>
      <c r="AH277" s="278">
        <v>0</v>
      </c>
      <c r="AI277" s="279">
        <v>0</v>
      </c>
      <c r="AJ277" s="278">
        <v>0</v>
      </c>
      <c r="AK277" s="278">
        <v>0</v>
      </c>
      <c r="AL277" s="280">
        <f t="shared" si="151"/>
        <v>0</v>
      </c>
    </row>
    <row r="278" spans="1:39" ht="14.4" customHeight="1">
      <c r="A278" s="404"/>
      <c r="B278" s="276" t="s">
        <v>32</v>
      </c>
      <c r="C278" s="277">
        <v>0</v>
      </c>
      <c r="D278" s="278">
        <v>0</v>
      </c>
      <c r="E278" s="278">
        <v>0</v>
      </c>
      <c r="F278" s="277">
        <v>0</v>
      </c>
      <c r="G278" s="278">
        <v>0</v>
      </c>
      <c r="H278" s="278">
        <v>0</v>
      </c>
      <c r="I278" s="278">
        <v>0</v>
      </c>
      <c r="J278" s="278">
        <v>0</v>
      </c>
      <c r="K278" s="278">
        <v>0</v>
      </c>
      <c r="L278" s="278">
        <v>0</v>
      </c>
      <c r="M278" s="278">
        <v>0</v>
      </c>
      <c r="N278" s="278">
        <v>0</v>
      </c>
      <c r="O278" s="279">
        <v>0</v>
      </c>
      <c r="P278" s="278">
        <v>0</v>
      </c>
      <c r="Q278" s="278">
        <v>0</v>
      </c>
      <c r="R278" s="280">
        <f t="shared" si="150"/>
        <v>0</v>
      </c>
      <c r="U278" s="404"/>
      <c r="V278" s="276" t="s">
        <v>32</v>
      </c>
      <c r="W278" s="277">
        <v>0</v>
      </c>
      <c r="X278" s="278">
        <v>0</v>
      </c>
      <c r="Y278" s="278">
        <v>0</v>
      </c>
      <c r="Z278" s="277">
        <v>0</v>
      </c>
      <c r="AA278" s="278">
        <v>0</v>
      </c>
      <c r="AB278" s="278">
        <v>0</v>
      </c>
      <c r="AC278" s="278">
        <v>0</v>
      </c>
      <c r="AD278" s="278">
        <v>0</v>
      </c>
      <c r="AE278" s="278">
        <v>0</v>
      </c>
      <c r="AF278" s="278">
        <v>0</v>
      </c>
      <c r="AG278" s="278">
        <v>0</v>
      </c>
      <c r="AH278" s="278">
        <v>0</v>
      </c>
      <c r="AI278" s="279">
        <v>0</v>
      </c>
      <c r="AJ278" s="278">
        <v>0</v>
      </c>
      <c r="AK278" s="278">
        <v>0</v>
      </c>
      <c r="AL278" s="280">
        <f t="shared" si="151"/>
        <v>0</v>
      </c>
    </row>
    <row r="279" spans="1:39" ht="14.4" customHeight="1">
      <c r="A279" s="404"/>
      <c r="B279" s="281" t="s">
        <v>401</v>
      </c>
      <c r="C279" s="282">
        <f>C303+C301</f>
        <v>0</v>
      </c>
      <c r="D279" s="282">
        <f>D293+D303</f>
        <v>0</v>
      </c>
      <c r="E279" s="282">
        <f>E293+E303</f>
        <v>4256.3105866173919</v>
      </c>
      <c r="F279" s="282">
        <f t="shared" ref="F279:G279" si="152">SUM(F273:F278)</f>
        <v>0</v>
      </c>
      <c r="G279" s="282">
        <f t="shared" si="152"/>
        <v>0</v>
      </c>
      <c r="H279" s="282">
        <f>H293</f>
        <v>1550.2014792406299</v>
      </c>
      <c r="I279" s="282">
        <f>I293+I301</f>
        <v>5614.4111934514185</v>
      </c>
      <c r="J279" s="282">
        <f>J293+J303</f>
        <v>577.47204557418672</v>
      </c>
      <c r="K279" s="282">
        <f>K293+K303</f>
        <v>2229.1232955511032</v>
      </c>
      <c r="L279" s="282">
        <f>L293+L303</f>
        <v>76.049111900648811</v>
      </c>
      <c r="M279" s="282">
        <f t="shared" ref="M279" si="153">SUM(M273:M278)</f>
        <v>0</v>
      </c>
      <c r="N279" s="282">
        <f>N293+N303</f>
        <v>881.42373870783592</v>
      </c>
      <c r="O279" s="282">
        <f t="shared" ref="O279:Q279" si="154">SUM(O273:O278)</f>
        <v>0</v>
      </c>
      <c r="P279" s="282">
        <f t="shared" si="154"/>
        <v>0</v>
      </c>
      <c r="Q279" s="282">
        <f t="shared" si="154"/>
        <v>0</v>
      </c>
      <c r="R279" s="282">
        <f t="shared" si="150"/>
        <v>15184.991451043215</v>
      </c>
      <c r="U279" s="404"/>
      <c r="V279" s="281" t="s">
        <v>401</v>
      </c>
      <c r="W279" s="282">
        <f>W303+W301</f>
        <v>0</v>
      </c>
      <c r="X279" s="282">
        <f>X293+X303</f>
        <v>0</v>
      </c>
      <c r="Y279" s="282">
        <f>Y293+Y303</f>
        <v>849.08368492085287</v>
      </c>
      <c r="Z279" s="282">
        <f t="shared" ref="Z279:AA279" si="155">SUM(Z273:Z278)</f>
        <v>0</v>
      </c>
      <c r="AA279" s="282">
        <f t="shared" si="155"/>
        <v>0</v>
      </c>
      <c r="AB279" s="282">
        <f>AB293</f>
        <v>1758.7194859260294</v>
      </c>
      <c r="AC279" s="282">
        <f>AC293+AC301</f>
        <v>4934.6829904407468</v>
      </c>
      <c r="AD279" s="282">
        <f>AD293</f>
        <v>524.60518072394814</v>
      </c>
      <c r="AE279" s="282">
        <f>AE293+AE303</f>
        <v>1740.7663250382686</v>
      </c>
      <c r="AF279" s="282">
        <f>AF293+AF303</f>
        <v>91.161741049226109</v>
      </c>
      <c r="AG279" s="282">
        <f t="shared" ref="AG279" si="156">SUM(AG273:AG278)</f>
        <v>0</v>
      </c>
      <c r="AH279" s="282">
        <f>AH293+AH303</f>
        <v>476.73549856414598</v>
      </c>
      <c r="AI279" s="282">
        <f t="shared" ref="AI279:AK279" si="157">SUM(AI273:AI278)</f>
        <v>0</v>
      </c>
      <c r="AJ279" s="282">
        <f t="shared" si="157"/>
        <v>0</v>
      </c>
      <c r="AK279" s="282">
        <f t="shared" si="157"/>
        <v>0</v>
      </c>
      <c r="AL279" s="282">
        <f t="shared" si="151"/>
        <v>10375.754906663218</v>
      </c>
      <c r="AM279" s="293">
        <f>SUM(Y279:AK279)</f>
        <v>10375.754906663218</v>
      </c>
    </row>
    <row r="280" spans="1:39" ht="14.4" customHeight="1">
      <c r="A280" s="404"/>
      <c r="B280" s="283"/>
      <c r="C280" s="284"/>
      <c r="D280" s="252"/>
      <c r="E280" s="285"/>
      <c r="F280" s="284"/>
      <c r="G280" s="284"/>
      <c r="H280" s="284"/>
      <c r="I280" s="284"/>
      <c r="J280" s="284"/>
      <c r="K280" s="284"/>
      <c r="L280" s="284"/>
      <c r="M280" s="284"/>
      <c r="N280" s="284"/>
      <c r="O280" s="293"/>
      <c r="P280" s="284"/>
      <c r="Q280" s="284"/>
      <c r="R280" s="284"/>
      <c r="U280" s="404"/>
      <c r="V280" s="283"/>
      <c r="W280" s="284"/>
      <c r="X280" s="252"/>
      <c r="Y280" s="285">
        <f>Y293+Y303</f>
        <v>849.08368492085287</v>
      </c>
      <c r="Z280" s="285">
        <f t="shared" ref="Z280:AK280" si="158">Z293+Z303</f>
        <v>0</v>
      </c>
      <c r="AA280" s="285">
        <f t="shared" si="158"/>
        <v>0</v>
      </c>
      <c r="AB280" s="285">
        <f t="shared" si="158"/>
        <v>1758.7194859260294</v>
      </c>
      <c r="AC280" s="285">
        <f t="shared" si="158"/>
        <v>4934.6829904407468</v>
      </c>
      <c r="AD280" s="285">
        <f t="shared" si="158"/>
        <v>524.60518072394814</v>
      </c>
      <c r="AE280" s="285">
        <f t="shared" si="158"/>
        <v>1740.7663250382686</v>
      </c>
      <c r="AF280" s="285">
        <f t="shared" si="158"/>
        <v>91.161741049226109</v>
      </c>
      <c r="AG280" s="285">
        <f t="shared" si="158"/>
        <v>0</v>
      </c>
      <c r="AH280" s="285">
        <f t="shared" si="158"/>
        <v>476.73549856414598</v>
      </c>
      <c r="AI280" s="285">
        <f t="shared" si="158"/>
        <v>0</v>
      </c>
      <c r="AJ280" s="285">
        <f t="shared" si="158"/>
        <v>0</v>
      </c>
      <c r="AK280" s="285">
        <f t="shared" si="158"/>
        <v>0</v>
      </c>
      <c r="AL280" s="284"/>
    </row>
    <row r="281" spans="1:39" ht="14.4" customHeight="1">
      <c r="A281" s="404"/>
      <c r="B281" s="286" t="s">
        <v>402</v>
      </c>
      <c r="C281" s="277">
        <v>0</v>
      </c>
      <c r="D281" s="287">
        <v>0</v>
      </c>
      <c r="E281" s="287">
        <v>0</v>
      </c>
      <c r="F281" s="277">
        <v>0</v>
      </c>
      <c r="G281" s="277">
        <v>0</v>
      </c>
      <c r="H281" s="277">
        <v>0</v>
      </c>
      <c r="I281" s="277">
        <v>0</v>
      </c>
      <c r="J281" s="277">
        <v>0</v>
      </c>
      <c r="K281" s="277">
        <v>0</v>
      </c>
      <c r="L281" s="277">
        <v>0</v>
      </c>
      <c r="M281" s="277">
        <v>0</v>
      </c>
      <c r="N281" s="277">
        <v>0</v>
      </c>
      <c r="O281" s="277">
        <v>0</v>
      </c>
      <c r="P281" s="277">
        <v>0</v>
      </c>
      <c r="Q281" s="277">
        <v>0</v>
      </c>
      <c r="R281" s="288">
        <f>SUM(C281:Q281)</f>
        <v>0</v>
      </c>
      <c r="U281" s="404"/>
      <c r="V281" s="286" t="s">
        <v>402</v>
      </c>
      <c r="W281" s="277">
        <v>0</v>
      </c>
      <c r="X281" s="287">
        <v>0</v>
      </c>
      <c r="Y281" s="287">
        <v>0</v>
      </c>
      <c r="Z281" s="277">
        <v>0</v>
      </c>
      <c r="AA281" s="277">
        <v>0</v>
      </c>
      <c r="AB281" s="277">
        <v>0</v>
      </c>
      <c r="AC281" s="277">
        <v>0</v>
      </c>
      <c r="AD281" s="277">
        <v>0</v>
      </c>
      <c r="AE281" s="277">
        <v>0</v>
      </c>
      <c r="AF281" s="277">
        <v>0</v>
      </c>
      <c r="AG281" s="277">
        <v>0</v>
      </c>
      <c r="AH281" s="277">
        <v>0</v>
      </c>
      <c r="AI281" s="277">
        <v>0</v>
      </c>
      <c r="AJ281" s="277">
        <v>0</v>
      </c>
      <c r="AK281" s="277">
        <v>0</v>
      </c>
      <c r="AL281" s="288">
        <f>SUM(W281:AK281)</f>
        <v>0</v>
      </c>
    </row>
    <row r="282" spans="1:39" ht="14.4" customHeight="1">
      <c r="A282" s="404"/>
      <c r="B282" s="286" t="s">
        <v>403</v>
      </c>
      <c r="C282" s="277">
        <f>$O$282*'Prod Energie'!$I$32/(-$J$13)</f>
        <v>0</v>
      </c>
      <c r="D282" s="277">
        <v>0</v>
      </c>
      <c r="E282" s="277">
        <f>O282*'Prod Energie'!$I$33/(-$K$13)</f>
        <v>0</v>
      </c>
      <c r="F282" s="277">
        <v>0</v>
      </c>
      <c r="G282" s="277">
        <v>0</v>
      </c>
      <c r="H282" s="277">
        <f>(O282)*('Prod Energie'!$I$34+'Prod Energie'!$I$39+'Prod Energie'!$I$40)/(-$L$13)</f>
        <v>1550.2014792406299</v>
      </c>
      <c r="I282" s="289">
        <f>(O282)*('Prod Energie'!$I$38)/(-$M$13)</f>
        <v>4851.6212903171072</v>
      </c>
      <c r="J282" s="289">
        <f>(O282)*('Prod Energie'!$I$36)/(-$N$13)</f>
        <v>577.47204557418672</v>
      </c>
      <c r="K282" s="289">
        <f>(O282)*('Prod Energie'!$I$37)/(-$O$13)</f>
        <v>2229.1232955511032</v>
      </c>
      <c r="L282" s="289">
        <f>(O282)*('Prod Energie'!$I$41)/(-P13)</f>
        <v>54.997337673732069</v>
      </c>
      <c r="M282" s="289">
        <v>0</v>
      </c>
      <c r="N282" s="289">
        <f>(O282)*'Prod Energie'!I35/(-$Q$13)</f>
        <v>0</v>
      </c>
      <c r="O282" s="277">
        <f>O293/(1+$F$17+$F$18)</f>
        <v>-4646.4865344218279</v>
      </c>
      <c r="P282" s="277">
        <v>0</v>
      </c>
      <c r="Q282" s="277">
        <v>0</v>
      </c>
      <c r="R282" s="288">
        <f t="shared" ref="R282:R293" si="159">SUM(C282:Q282)</f>
        <v>4616.9289139349303</v>
      </c>
      <c r="U282" s="404"/>
      <c r="V282" s="286" t="s">
        <v>403</v>
      </c>
      <c r="W282" s="277">
        <f>AI282*'Prod Energie'!$I$53/(-$J$13)</f>
        <v>0</v>
      </c>
      <c r="X282" s="277">
        <v>0</v>
      </c>
      <c r="Y282" s="277">
        <f>AI282*'Prod Energie'!$I$54/(-$K$13)</f>
        <v>0</v>
      </c>
      <c r="Z282" s="277">
        <v>0</v>
      </c>
      <c r="AA282" s="277">
        <v>0</v>
      </c>
      <c r="AB282" s="277">
        <f>(AI282)*('Prod Energie'!$I$55+'Prod Energie'!$I$60+'Prod Energie'!$I$61)/(-$L$13)</f>
        <v>1758.7194859260294</v>
      </c>
      <c r="AC282" s="289">
        <f>(AI282)*'Prod Energie'!$I$59/(-$M$13)</f>
        <v>4051.0851077865063</v>
      </c>
      <c r="AD282" s="289">
        <f>(AI282)*('Prod Energie'!$I$57)/(-$N$13)</f>
        <v>524.60518072394814</v>
      </c>
      <c r="AE282" s="289">
        <f>(AI282)*('Prod Energie'!$I$58)/(-$O$13)</f>
        <v>1645.7533250382687</v>
      </c>
      <c r="AF282" s="289">
        <f>(AI282)*('Prod Energie'!$I$62)/(-$P$13)</f>
        <v>49.962398164185537</v>
      </c>
      <c r="AG282" s="289">
        <v>0</v>
      </c>
      <c r="AH282" s="289">
        <f>(AI282)*'Prod Energie'!I261/(-$Q$13)</f>
        <v>0</v>
      </c>
      <c r="AI282" s="277">
        <f>AI293/(1+$F$17+$F$18)</f>
        <v>-4307.2518091425418</v>
      </c>
      <c r="AJ282" s="277">
        <v>0</v>
      </c>
      <c r="AK282" s="277">
        <v>0</v>
      </c>
      <c r="AL282" s="288">
        <f t="shared" ref="AL282:AL293" si="160">SUM(W282:AK282)</f>
        <v>3722.8736884963955</v>
      </c>
    </row>
    <row r="283" spans="1:39" ht="14.4" customHeight="1">
      <c r="A283" s="404"/>
      <c r="B283" s="286" t="s">
        <v>404</v>
      </c>
      <c r="C283" s="277">
        <v>0</v>
      </c>
      <c r="D283" s="277">
        <v>0</v>
      </c>
      <c r="E283" s="277">
        <v>0</v>
      </c>
      <c r="F283" s="277">
        <v>0</v>
      </c>
      <c r="G283" s="277">
        <v>0</v>
      </c>
      <c r="H283" s="277">
        <v>0</v>
      </c>
      <c r="I283" s="289">
        <f>$P$283*$L$18*V$17</f>
        <v>730.72256250239229</v>
      </c>
      <c r="J283" s="289">
        <f t="shared" ref="J283:N283" si="161">$P$283*$L$18*W$17</f>
        <v>0</v>
      </c>
      <c r="K283" s="289">
        <f t="shared" si="161"/>
        <v>0</v>
      </c>
      <c r="L283" s="289">
        <f t="shared" si="161"/>
        <v>15.7037918367431</v>
      </c>
      <c r="M283" s="289">
        <f t="shared" si="161"/>
        <v>0</v>
      </c>
      <c r="N283" s="289">
        <f t="shared" si="161"/>
        <v>0</v>
      </c>
      <c r="O283" s="277">
        <v>0</v>
      </c>
      <c r="P283" s="277">
        <f>P293/(1+$R$18)</f>
        <v>-638.09029680894696</v>
      </c>
      <c r="Q283" s="277">
        <v>0</v>
      </c>
      <c r="R283" s="288">
        <f t="shared" si="159"/>
        <v>108.33605753018844</v>
      </c>
      <c r="U283" s="404"/>
      <c r="V283" s="286" t="s">
        <v>404</v>
      </c>
      <c r="W283" s="277">
        <v>0</v>
      </c>
      <c r="X283" s="277">
        <v>0</v>
      </c>
      <c r="Y283" s="277">
        <v>0</v>
      </c>
      <c r="Z283" s="277">
        <v>0</v>
      </c>
      <c r="AA283" s="277">
        <v>0</v>
      </c>
      <c r="AB283" s="277">
        <v>0</v>
      </c>
      <c r="AC283" s="289">
        <f>$AJ$283*$L$18*V$17</f>
        <v>730.72256250239229</v>
      </c>
      <c r="AD283" s="289">
        <f t="shared" ref="AD283:AH283" si="162">$AJ$283*$L$18*W$17</f>
        <v>0</v>
      </c>
      <c r="AE283" s="289">
        <f t="shared" si="162"/>
        <v>0</v>
      </c>
      <c r="AF283" s="289">
        <f t="shared" si="162"/>
        <v>15.7037918367431</v>
      </c>
      <c r="AG283" s="289">
        <f t="shared" si="162"/>
        <v>0</v>
      </c>
      <c r="AH283" s="289">
        <f t="shared" si="162"/>
        <v>0</v>
      </c>
      <c r="AI283" s="277">
        <v>0</v>
      </c>
      <c r="AJ283" s="277">
        <f>AJ293/(1+$R$18)</f>
        <v>-638.09029680894696</v>
      </c>
      <c r="AK283" s="277">
        <v>0</v>
      </c>
      <c r="AL283" s="288">
        <f t="shared" si="160"/>
        <v>108.33605753018844</v>
      </c>
    </row>
    <row r="284" spans="1:39" ht="14.4" customHeight="1">
      <c r="A284" s="404"/>
      <c r="B284" s="286" t="s">
        <v>405</v>
      </c>
      <c r="C284" s="277">
        <v>0</v>
      </c>
      <c r="D284" s="277">
        <v>0</v>
      </c>
      <c r="E284" s="277">
        <v>0</v>
      </c>
      <c r="F284" s="277">
        <v>0</v>
      </c>
      <c r="G284" s="277">
        <v>0</v>
      </c>
      <c r="H284" s="277">
        <v>0</v>
      </c>
      <c r="I284" s="290">
        <v>0</v>
      </c>
      <c r="J284" s="290">
        <v>0</v>
      </c>
      <c r="K284" s="290">
        <v>0</v>
      </c>
      <c r="L284" s="290">
        <v>0</v>
      </c>
      <c r="M284" s="290">
        <v>0</v>
      </c>
      <c r="N284" s="290">
        <v>0</v>
      </c>
      <c r="O284" s="277">
        <v>0</v>
      </c>
      <c r="P284" s="277">
        <v>0</v>
      </c>
      <c r="Q284" s="277">
        <v>0</v>
      </c>
      <c r="R284" s="288">
        <f t="shared" si="159"/>
        <v>0</v>
      </c>
      <c r="U284" s="404"/>
      <c r="V284" s="286" t="s">
        <v>405</v>
      </c>
      <c r="W284" s="277">
        <v>0</v>
      </c>
      <c r="X284" s="277">
        <v>0</v>
      </c>
      <c r="Y284" s="277">
        <v>0</v>
      </c>
      <c r="Z284" s="277">
        <v>0</v>
      </c>
      <c r="AA284" s="277">
        <v>0</v>
      </c>
      <c r="AB284" s="277">
        <v>0</v>
      </c>
      <c r="AC284" s="290">
        <v>0</v>
      </c>
      <c r="AD284" s="290">
        <v>0</v>
      </c>
      <c r="AE284" s="290">
        <v>0</v>
      </c>
      <c r="AF284" s="290">
        <v>0</v>
      </c>
      <c r="AG284" s="290">
        <v>0</v>
      </c>
      <c r="AH284" s="290">
        <v>0</v>
      </c>
      <c r="AI284" s="277">
        <v>0</v>
      </c>
      <c r="AJ284" s="277">
        <v>0</v>
      </c>
      <c r="AK284" s="277">
        <v>0</v>
      </c>
      <c r="AL284" s="288">
        <f t="shared" si="160"/>
        <v>0</v>
      </c>
    </row>
    <row r="285" spans="1:39" ht="14.4" customHeight="1">
      <c r="A285" s="404"/>
      <c r="B285" s="286" t="s">
        <v>406</v>
      </c>
      <c r="C285" s="277">
        <v>0</v>
      </c>
      <c r="D285" s="277">
        <v>0</v>
      </c>
      <c r="E285" s="277">
        <v>0</v>
      </c>
      <c r="F285" s="277">
        <v>0</v>
      </c>
      <c r="G285" s="277">
        <v>0</v>
      </c>
      <c r="H285" s="277">
        <v>0</v>
      </c>
      <c r="I285" s="277">
        <v>0</v>
      </c>
      <c r="J285" s="277">
        <v>0</v>
      </c>
      <c r="K285" s="277">
        <v>0</v>
      </c>
      <c r="L285" s="277">
        <v>0</v>
      </c>
      <c r="M285" s="277">
        <v>0</v>
      </c>
      <c r="N285" s="277">
        <v>0</v>
      </c>
      <c r="O285" s="277">
        <v>0</v>
      </c>
      <c r="P285" s="277">
        <v>0</v>
      </c>
      <c r="Q285" s="277">
        <v>0</v>
      </c>
      <c r="R285" s="288">
        <f t="shared" si="159"/>
        <v>0</v>
      </c>
      <c r="U285" s="404"/>
      <c r="V285" s="286" t="s">
        <v>406</v>
      </c>
      <c r="W285" s="277">
        <v>0</v>
      </c>
      <c r="X285" s="277">
        <v>0</v>
      </c>
      <c r="Y285" s="277">
        <v>0</v>
      </c>
      <c r="Z285" s="277">
        <v>0</v>
      </c>
      <c r="AA285" s="277">
        <v>0</v>
      </c>
      <c r="AB285" s="277">
        <v>0</v>
      </c>
      <c r="AC285" s="277">
        <v>0</v>
      </c>
      <c r="AD285" s="277">
        <v>0</v>
      </c>
      <c r="AE285" s="277">
        <v>0</v>
      </c>
      <c r="AF285" s="277">
        <v>0</v>
      </c>
      <c r="AG285" s="277">
        <v>0</v>
      </c>
      <c r="AH285" s="277">
        <v>0</v>
      </c>
      <c r="AI285" s="277">
        <v>0</v>
      </c>
      <c r="AJ285" s="277">
        <v>0</v>
      </c>
      <c r="AK285" s="277">
        <v>0</v>
      </c>
      <c r="AL285" s="288">
        <f t="shared" si="160"/>
        <v>0</v>
      </c>
    </row>
    <row r="286" spans="1:39" ht="14.4" customHeight="1">
      <c r="A286" s="404"/>
      <c r="B286" s="286" t="s">
        <v>36</v>
      </c>
      <c r="C286" s="277">
        <v>0</v>
      </c>
      <c r="D286" s="277">
        <v>0</v>
      </c>
      <c r="E286" s="277">
        <v>0</v>
      </c>
      <c r="F286" s="277">
        <v>0</v>
      </c>
      <c r="G286" s="277">
        <v>0</v>
      </c>
      <c r="H286" s="277">
        <v>0</v>
      </c>
      <c r="I286" s="277">
        <v>0</v>
      </c>
      <c r="J286" s="277">
        <v>0</v>
      </c>
      <c r="K286" s="277">
        <v>0</v>
      </c>
      <c r="L286" s="277">
        <v>0</v>
      </c>
      <c r="M286" s="277">
        <v>0</v>
      </c>
      <c r="N286" s="277">
        <v>0</v>
      </c>
      <c r="O286" s="277">
        <v>0</v>
      </c>
      <c r="P286" s="277">
        <v>0</v>
      </c>
      <c r="Q286" s="277">
        <v>0</v>
      </c>
      <c r="R286" s="288">
        <f t="shared" si="159"/>
        <v>0</v>
      </c>
      <c r="U286" s="404"/>
      <c r="V286" s="286" t="s">
        <v>36</v>
      </c>
      <c r="W286" s="277">
        <v>0</v>
      </c>
      <c r="X286" s="277">
        <v>0</v>
      </c>
      <c r="Y286" s="277">
        <v>0</v>
      </c>
      <c r="Z286" s="277">
        <v>0</v>
      </c>
      <c r="AA286" s="277">
        <v>0</v>
      </c>
      <c r="AB286" s="277">
        <v>0</v>
      </c>
      <c r="AC286" s="277">
        <v>0</v>
      </c>
      <c r="AD286" s="277">
        <v>0</v>
      </c>
      <c r="AE286" s="277">
        <v>0</v>
      </c>
      <c r="AF286" s="277">
        <v>0</v>
      </c>
      <c r="AG286" s="277">
        <v>0</v>
      </c>
      <c r="AH286" s="277">
        <v>0</v>
      </c>
      <c r="AI286" s="277">
        <v>0</v>
      </c>
      <c r="AJ286" s="277">
        <v>0</v>
      </c>
      <c r="AK286" s="277">
        <v>0</v>
      </c>
      <c r="AL286" s="288">
        <f t="shared" si="160"/>
        <v>0</v>
      </c>
    </row>
    <row r="287" spans="1:39" ht="14.4" customHeight="1">
      <c r="A287" s="404"/>
      <c r="B287" s="286" t="s">
        <v>407</v>
      </c>
      <c r="C287" s="277">
        <v>0</v>
      </c>
      <c r="D287" s="277">
        <v>0</v>
      </c>
      <c r="E287" s="277">
        <v>0</v>
      </c>
      <c r="F287" s="277">
        <v>0</v>
      </c>
      <c r="G287" s="277">
        <v>0</v>
      </c>
      <c r="H287" s="277">
        <v>0</v>
      </c>
      <c r="I287" s="277">
        <v>0</v>
      </c>
      <c r="J287" s="277">
        <v>0</v>
      </c>
      <c r="K287" s="277">
        <v>0</v>
      </c>
      <c r="L287" s="277">
        <v>0</v>
      </c>
      <c r="M287" s="277">
        <v>0</v>
      </c>
      <c r="N287" s="277">
        <v>0</v>
      </c>
      <c r="O287" s="277">
        <v>0</v>
      </c>
      <c r="P287" s="277">
        <v>0</v>
      </c>
      <c r="Q287" s="277">
        <v>0</v>
      </c>
      <c r="R287" s="288">
        <f t="shared" si="159"/>
        <v>0</v>
      </c>
      <c r="U287" s="404"/>
      <c r="V287" s="286" t="s">
        <v>407</v>
      </c>
      <c r="W287" s="277">
        <v>0</v>
      </c>
      <c r="X287" s="277">
        <v>0</v>
      </c>
      <c r="Y287" s="277">
        <v>0</v>
      </c>
      <c r="Z287" s="277">
        <v>0</v>
      </c>
      <c r="AA287" s="277">
        <v>0</v>
      </c>
      <c r="AB287" s="277">
        <v>0</v>
      </c>
      <c r="AC287" s="277">
        <v>0</v>
      </c>
      <c r="AD287" s="277">
        <v>0</v>
      </c>
      <c r="AE287" s="277">
        <v>0</v>
      </c>
      <c r="AF287" s="277">
        <v>0</v>
      </c>
      <c r="AG287" s="277">
        <v>0</v>
      </c>
      <c r="AH287" s="277">
        <v>0</v>
      </c>
      <c r="AI287" s="277">
        <v>0</v>
      </c>
      <c r="AJ287" s="277">
        <v>0</v>
      </c>
      <c r="AK287" s="277">
        <v>0</v>
      </c>
      <c r="AL287" s="288">
        <f t="shared" si="160"/>
        <v>0</v>
      </c>
    </row>
    <row r="288" spans="1:39" ht="14.4" customHeight="1">
      <c r="A288" s="404"/>
      <c r="B288" s="286" t="s">
        <v>408</v>
      </c>
      <c r="C288" s="277">
        <v>0</v>
      </c>
      <c r="D288" s="277">
        <v>0</v>
      </c>
      <c r="E288" s="277">
        <v>0</v>
      </c>
      <c r="F288" s="277">
        <v>0</v>
      </c>
      <c r="G288" s="277">
        <v>0</v>
      </c>
      <c r="H288" s="277">
        <v>0</v>
      </c>
      <c r="I288" s="277">
        <v>0</v>
      </c>
      <c r="J288" s="277">
        <v>0</v>
      </c>
      <c r="K288" s="277">
        <v>0</v>
      </c>
      <c r="L288" s="277">
        <v>0</v>
      </c>
      <c r="M288" s="277">
        <v>0</v>
      </c>
      <c r="N288" s="277">
        <v>0</v>
      </c>
      <c r="O288" s="277">
        <v>0</v>
      </c>
      <c r="P288" s="277">
        <v>0</v>
      </c>
      <c r="Q288" s="277">
        <v>0</v>
      </c>
      <c r="R288" s="288">
        <f t="shared" si="159"/>
        <v>0</v>
      </c>
      <c r="U288" s="404"/>
      <c r="V288" s="286" t="s">
        <v>408</v>
      </c>
      <c r="W288" s="277">
        <v>0</v>
      </c>
      <c r="X288" s="277">
        <v>0</v>
      </c>
      <c r="Y288" s="277">
        <v>0</v>
      </c>
      <c r="Z288" s="277">
        <v>0</v>
      </c>
      <c r="AA288" s="277">
        <v>0</v>
      </c>
      <c r="AB288" s="277">
        <v>0</v>
      </c>
      <c r="AC288" s="277">
        <v>0</v>
      </c>
      <c r="AD288" s="277">
        <v>0</v>
      </c>
      <c r="AE288" s="277">
        <v>0</v>
      </c>
      <c r="AF288" s="277">
        <v>0</v>
      </c>
      <c r="AG288" s="277">
        <v>0</v>
      </c>
      <c r="AH288" s="277">
        <v>0</v>
      </c>
      <c r="AI288" s="277">
        <v>0</v>
      </c>
      <c r="AJ288" s="277">
        <v>0</v>
      </c>
      <c r="AK288" s="277">
        <v>0</v>
      </c>
      <c r="AL288" s="288">
        <f t="shared" si="160"/>
        <v>0</v>
      </c>
      <c r="AM288" s="293">
        <f>SUM(AL281:AL292)</f>
        <v>4211.7690878370704</v>
      </c>
    </row>
    <row r="289" spans="1:39" ht="14.4" customHeight="1">
      <c r="A289" s="404"/>
      <c r="B289" s="286" t="s">
        <v>409</v>
      </c>
      <c r="C289" s="277">
        <v>0</v>
      </c>
      <c r="D289" s="277">
        <v>0</v>
      </c>
      <c r="E289" s="277">
        <v>0</v>
      </c>
      <c r="F289" s="277">
        <v>0</v>
      </c>
      <c r="G289" s="277">
        <v>0</v>
      </c>
      <c r="H289" s="277">
        <v>0</v>
      </c>
      <c r="I289" s="277">
        <v>0</v>
      </c>
      <c r="J289" s="277">
        <v>0</v>
      </c>
      <c r="K289" s="277">
        <v>0</v>
      </c>
      <c r="L289" s="277">
        <v>0</v>
      </c>
      <c r="M289" s="277">
        <v>0</v>
      </c>
      <c r="N289" s="277">
        <v>0</v>
      </c>
      <c r="O289" s="277">
        <v>0</v>
      </c>
      <c r="P289" s="277">
        <v>0</v>
      </c>
      <c r="Q289" s="277">
        <v>0</v>
      </c>
      <c r="R289" s="288">
        <f t="shared" si="159"/>
        <v>0</v>
      </c>
      <c r="U289" s="404"/>
      <c r="V289" s="286" t="s">
        <v>409</v>
      </c>
      <c r="W289" s="277">
        <v>0</v>
      </c>
      <c r="X289" s="277">
        <v>0</v>
      </c>
      <c r="Y289" s="277">
        <v>0</v>
      </c>
      <c r="Z289" s="277">
        <v>0</v>
      </c>
      <c r="AA289" s="277">
        <v>0</v>
      </c>
      <c r="AB289" s="277">
        <v>0</v>
      </c>
      <c r="AC289" s="277">
        <v>0</v>
      </c>
      <c r="AD289" s="277">
        <v>0</v>
      </c>
      <c r="AE289" s="277">
        <v>0</v>
      </c>
      <c r="AF289" s="277">
        <v>0</v>
      </c>
      <c r="AG289" s="277">
        <v>0</v>
      </c>
      <c r="AH289" s="277">
        <v>0</v>
      </c>
      <c r="AI289" s="277">
        <v>0</v>
      </c>
      <c r="AJ289" s="277">
        <v>0</v>
      </c>
      <c r="AK289" s="277">
        <v>0</v>
      </c>
      <c r="AL289" s="288">
        <f t="shared" si="160"/>
        <v>0</v>
      </c>
    </row>
    <row r="290" spans="1:39" ht="14.4" customHeight="1">
      <c r="A290" s="404"/>
      <c r="B290" s="286" t="s">
        <v>37</v>
      </c>
      <c r="C290" s="277">
        <v>0</v>
      </c>
      <c r="D290" s="277">
        <v>0</v>
      </c>
      <c r="E290" s="277">
        <v>0</v>
      </c>
      <c r="F290" s="277">
        <v>0</v>
      </c>
      <c r="G290" s="277">
        <v>0</v>
      </c>
      <c r="H290" s="277">
        <v>0</v>
      </c>
      <c r="I290" s="277">
        <v>0</v>
      </c>
      <c r="J290" s="277">
        <v>0</v>
      </c>
      <c r="K290" s="277">
        <v>0</v>
      </c>
      <c r="L290" s="277">
        <v>0</v>
      </c>
      <c r="M290" s="277">
        <v>0</v>
      </c>
      <c r="N290" s="277">
        <v>0</v>
      </c>
      <c r="O290" s="277">
        <v>0</v>
      </c>
      <c r="P290" s="277">
        <v>0</v>
      </c>
      <c r="Q290" s="277">
        <v>0</v>
      </c>
      <c r="R290" s="288">
        <f t="shared" si="159"/>
        <v>0</v>
      </c>
      <c r="U290" s="404"/>
      <c r="V290" s="286" t="s">
        <v>37</v>
      </c>
      <c r="W290" s="277">
        <v>0</v>
      </c>
      <c r="X290" s="277">
        <v>0</v>
      </c>
      <c r="Y290" s="277">
        <v>0</v>
      </c>
      <c r="Z290" s="277">
        <v>0</v>
      </c>
      <c r="AA290" s="277">
        <v>0</v>
      </c>
      <c r="AB290" s="277">
        <v>0</v>
      </c>
      <c r="AC290" s="277">
        <v>0</v>
      </c>
      <c r="AD290" s="277">
        <v>0</v>
      </c>
      <c r="AE290" s="277">
        <v>0</v>
      </c>
      <c r="AF290" s="277">
        <v>0</v>
      </c>
      <c r="AG290" s="277">
        <v>0</v>
      </c>
      <c r="AH290" s="277">
        <v>0</v>
      </c>
      <c r="AI290" s="277">
        <v>0</v>
      </c>
      <c r="AJ290" s="277">
        <v>0</v>
      </c>
      <c r="AK290" s="277">
        <v>0</v>
      </c>
      <c r="AL290" s="288">
        <f t="shared" si="160"/>
        <v>0</v>
      </c>
    </row>
    <row r="291" spans="1:39" ht="14.4" customHeight="1">
      <c r="A291" s="404"/>
      <c r="B291" s="286" t="s">
        <v>38</v>
      </c>
      <c r="C291" s="277">
        <v>0</v>
      </c>
      <c r="D291" s="277">
        <v>0</v>
      </c>
      <c r="E291" s="277">
        <v>0</v>
      </c>
      <c r="F291" s="277">
        <v>0</v>
      </c>
      <c r="G291" s="277">
        <v>0</v>
      </c>
      <c r="H291" s="277">
        <v>0</v>
      </c>
      <c r="I291" s="277">
        <v>0</v>
      </c>
      <c r="J291" s="277">
        <v>0</v>
      </c>
      <c r="K291" s="277">
        <v>0</v>
      </c>
      <c r="L291" s="277">
        <v>0</v>
      </c>
      <c r="M291" s="277">
        <v>0</v>
      </c>
      <c r="N291" s="277">
        <v>0</v>
      </c>
      <c r="O291" s="277">
        <f>O282*$F$17</f>
        <v>55.219975637805476</v>
      </c>
      <c r="P291" s="277">
        <v>0</v>
      </c>
      <c r="Q291" s="277">
        <v>0</v>
      </c>
      <c r="R291" s="288">
        <f t="shared" si="159"/>
        <v>55.219975637805476</v>
      </c>
      <c r="U291" s="404"/>
      <c r="V291" s="286" t="s">
        <v>38</v>
      </c>
      <c r="W291" s="277">
        <v>0</v>
      </c>
      <c r="X291" s="277">
        <v>0</v>
      </c>
      <c r="Y291" s="277">
        <v>0</v>
      </c>
      <c r="Z291" s="277">
        <v>0</v>
      </c>
      <c r="AA291" s="277">
        <v>0</v>
      </c>
      <c r="AB291" s="277">
        <v>0</v>
      </c>
      <c r="AC291" s="277">
        <v>0</v>
      </c>
      <c r="AD291" s="277">
        <v>0</v>
      </c>
      <c r="AE291" s="277">
        <v>0</v>
      </c>
      <c r="AF291" s="277">
        <v>0</v>
      </c>
      <c r="AG291" s="277">
        <v>0</v>
      </c>
      <c r="AH291" s="277">
        <v>0</v>
      </c>
      <c r="AI291" s="277">
        <f>AI282*$F$17</f>
        <v>51.188427687188039</v>
      </c>
      <c r="AJ291" s="277">
        <v>0</v>
      </c>
      <c r="AK291" s="277">
        <v>0</v>
      </c>
      <c r="AL291" s="288">
        <f t="shared" si="160"/>
        <v>51.188427687188039</v>
      </c>
    </row>
    <row r="292" spans="1:39" ht="14.4" customHeight="1">
      <c r="A292" s="404"/>
      <c r="B292" s="286" t="s">
        <v>39</v>
      </c>
      <c r="C292" s="277">
        <v>0</v>
      </c>
      <c r="D292" s="277">
        <v>0</v>
      </c>
      <c r="E292" s="277">
        <v>0</v>
      </c>
      <c r="F292" s="277">
        <v>0</v>
      </c>
      <c r="G292" s="277">
        <v>0</v>
      </c>
      <c r="H292" s="277">
        <v>0</v>
      </c>
      <c r="I292" s="277">
        <v>0</v>
      </c>
      <c r="J292" s="277">
        <v>0</v>
      </c>
      <c r="K292" s="277">
        <v>0</v>
      </c>
      <c r="L292" s="277">
        <v>0</v>
      </c>
      <c r="M292" s="277">
        <v>0</v>
      </c>
      <c r="N292" s="277">
        <v>0</v>
      </c>
      <c r="O292" s="277">
        <f>O282*$F$18</f>
        <v>297.29341523502887</v>
      </c>
      <c r="P292" s="277">
        <f>P283*$R$18</f>
        <v>53.782554804706415</v>
      </c>
      <c r="Q292" s="277">
        <v>0</v>
      </c>
      <c r="R292" s="288">
        <f t="shared" si="159"/>
        <v>351.0759700397353</v>
      </c>
      <c r="U292" s="404"/>
      <c r="V292" s="286" t="s">
        <v>39</v>
      </c>
      <c r="W292" s="277">
        <v>0</v>
      </c>
      <c r="X292" s="277">
        <v>0</v>
      </c>
      <c r="Y292" s="277">
        <v>0</v>
      </c>
      <c r="Z292" s="277">
        <v>0</v>
      </c>
      <c r="AA292" s="277">
        <v>0</v>
      </c>
      <c r="AB292" s="277">
        <v>0</v>
      </c>
      <c r="AC292" s="277">
        <v>0</v>
      </c>
      <c r="AD292" s="277">
        <v>0</v>
      </c>
      <c r="AE292" s="277">
        <v>0</v>
      </c>
      <c r="AF292" s="277">
        <v>0</v>
      </c>
      <c r="AG292" s="277">
        <v>0</v>
      </c>
      <c r="AH292" s="277">
        <v>0</v>
      </c>
      <c r="AI292" s="277">
        <f>AI282*$F$18</f>
        <v>275.58835931859221</v>
      </c>
      <c r="AJ292" s="277">
        <f>AJ283*$R$18</f>
        <v>53.782554804706415</v>
      </c>
      <c r="AK292" s="277">
        <v>0</v>
      </c>
      <c r="AL292" s="288">
        <f t="shared" si="160"/>
        <v>329.37091412329863</v>
      </c>
    </row>
    <row r="293" spans="1:39" ht="14.4" customHeight="1">
      <c r="A293" s="404"/>
      <c r="B293" s="281" t="s">
        <v>40</v>
      </c>
      <c r="C293" s="282">
        <f>SUM(C281:C292)</f>
        <v>0</v>
      </c>
      <c r="D293" s="282">
        <f t="shared" ref="D293:N293" si="163">SUM(D281:D292)</f>
        <v>0</v>
      </c>
      <c r="E293" s="282">
        <f t="shared" si="163"/>
        <v>0</v>
      </c>
      <c r="F293" s="282">
        <f t="shared" si="163"/>
        <v>0</v>
      </c>
      <c r="G293" s="282">
        <f t="shared" si="163"/>
        <v>0</v>
      </c>
      <c r="H293" s="282">
        <f t="shared" si="163"/>
        <v>1550.2014792406299</v>
      </c>
      <c r="I293" s="282">
        <f t="shared" si="163"/>
        <v>5582.3438528194993</v>
      </c>
      <c r="J293" s="282">
        <f t="shared" si="163"/>
        <v>577.47204557418672</v>
      </c>
      <c r="K293" s="282">
        <f t="shared" si="163"/>
        <v>2229.1232955511032</v>
      </c>
      <c r="L293" s="282">
        <f t="shared" si="163"/>
        <v>70.70112951047517</v>
      </c>
      <c r="M293" s="282">
        <f t="shared" si="163"/>
        <v>0</v>
      </c>
      <c r="N293" s="282">
        <f t="shared" si="163"/>
        <v>0</v>
      </c>
      <c r="O293" s="282">
        <f>-O303</f>
        <v>-4293.973143548993</v>
      </c>
      <c r="P293" s="282">
        <f>-P295</f>
        <v>-584.30774200424059</v>
      </c>
      <c r="Q293" s="282">
        <f t="shared" ref="Q293" si="164">SUM(Q281:Q292)</f>
        <v>0</v>
      </c>
      <c r="R293" s="282">
        <f t="shared" si="159"/>
        <v>5131.5609171426595</v>
      </c>
      <c r="U293" s="404"/>
      <c r="V293" s="281" t="s">
        <v>40</v>
      </c>
      <c r="W293" s="282">
        <f>SUM(W281:W292)</f>
        <v>0</v>
      </c>
      <c r="X293" s="282">
        <f t="shared" ref="X293:AH293" si="165">SUM(X281:X292)</f>
        <v>0</v>
      </c>
      <c r="Y293" s="282">
        <f t="shared" si="165"/>
        <v>0</v>
      </c>
      <c r="Z293" s="282">
        <f t="shared" si="165"/>
        <v>0</v>
      </c>
      <c r="AA293" s="282">
        <f t="shared" si="165"/>
        <v>0</v>
      </c>
      <c r="AB293" s="282">
        <f t="shared" si="165"/>
        <v>1758.7194859260294</v>
      </c>
      <c r="AC293" s="282">
        <f t="shared" si="165"/>
        <v>4781.8076702888984</v>
      </c>
      <c r="AD293" s="282">
        <f t="shared" si="165"/>
        <v>524.60518072394814</v>
      </c>
      <c r="AE293" s="282">
        <f t="shared" si="165"/>
        <v>1645.7533250382687</v>
      </c>
      <c r="AF293" s="282">
        <f t="shared" si="165"/>
        <v>65.666190000928637</v>
      </c>
      <c r="AG293" s="282">
        <f t="shared" si="165"/>
        <v>0</v>
      </c>
      <c r="AH293" s="282">
        <f t="shared" si="165"/>
        <v>0</v>
      </c>
      <c r="AI293" s="282">
        <f>-AI303</f>
        <v>-3980.4750221367617</v>
      </c>
      <c r="AJ293" s="282">
        <f>-AJ295</f>
        <v>-584.30774200424059</v>
      </c>
      <c r="AK293" s="282">
        <f t="shared" ref="AK293" si="166">SUM(AK281:AK292)</f>
        <v>0</v>
      </c>
      <c r="AL293" s="282">
        <f t="shared" si="160"/>
        <v>4211.7690878370722</v>
      </c>
      <c r="AM293" s="293">
        <f>SUM(W293:AK293)</f>
        <v>4211.7690878370722</v>
      </c>
    </row>
    <row r="294" spans="1:39" ht="14.4" customHeight="1">
      <c r="A294" s="404"/>
      <c r="B294" s="283"/>
      <c r="C294" s="284"/>
      <c r="D294" s="284"/>
      <c r="E294" s="291"/>
      <c r="F294" s="284"/>
      <c r="G294" s="284"/>
      <c r="H294" s="284"/>
      <c r="I294" s="291"/>
      <c r="J294" s="284"/>
      <c r="K294" s="284"/>
      <c r="L294" s="284"/>
      <c r="M294" s="292"/>
      <c r="N294" s="284"/>
      <c r="O294" s="284"/>
      <c r="P294" s="284"/>
      <c r="Q294" s="284"/>
      <c r="R294" s="284"/>
      <c r="U294" s="404"/>
      <c r="V294" s="283"/>
      <c r="W294" s="284"/>
      <c r="X294" s="284"/>
      <c r="Y294" s="291"/>
      <c r="Z294" s="284"/>
      <c r="AA294" s="284"/>
      <c r="AB294" s="284"/>
      <c r="AC294" s="284"/>
      <c r="AD294" s="284"/>
      <c r="AE294" s="284"/>
      <c r="AF294" s="284"/>
      <c r="AG294" s="284"/>
      <c r="AH294" s="284"/>
      <c r="AI294" s="284"/>
      <c r="AJ294" s="284"/>
      <c r="AK294" s="284"/>
      <c r="AL294" s="284"/>
    </row>
    <row r="295" spans="1:39" ht="14.4" customHeight="1">
      <c r="A295" s="404"/>
      <c r="B295" s="286" t="s">
        <v>41</v>
      </c>
      <c r="C295" s="277">
        <v>0</v>
      </c>
      <c r="D295" s="277">
        <v>0</v>
      </c>
      <c r="E295" s="277">
        <f>Industrie!$I$35</f>
        <v>348.57441214519031</v>
      </c>
      <c r="F295" s="277">
        <v>0</v>
      </c>
      <c r="G295" s="277">
        <v>0</v>
      </c>
      <c r="H295" s="277">
        <v>0</v>
      </c>
      <c r="I295" s="277">
        <f>Industrie!$I$38*$I$49/SUM($I$49:$N$49)</f>
        <v>32.067340631919372</v>
      </c>
      <c r="J295" s="277">
        <f>Industrie!$I$38*$J$49/SUM($I$49:$N$49)</f>
        <v>0</v>
      </c>
      <c r="K295" s="277">
        <f>Industrie!$I$38*$K$49/SUM($I$49:$N$49)</f>
        <v>0</v>
      </c>
      <c r="L295" s="277">
        <f>Industrie!$I$38*$L$49/SUM($I$49:$N$49)</f>
        <v>5.3479823901736454</v>
      </c>
      <c r="M295" s="277">
        <f>Industrie!$I$38*$M$49/SUM($I$49:$N$49)</f>
        <v>0</v>
      </c>
      <c r="N295" s="277">
        <f>Industrie!$I$38*$N$49/SUM($I$49:$N$49)</f>
        <v>0.10902738184902928</v>
      </c>
      <c r="O295" s="277">
        <f>Industrie!$I$36</f>
        <v>371.49106899902631</v>
      </c>
      <c r="P295" s="277">
        <f>Industrie!$I$39</f>
        <v>584.30774200424059</v>
      </c>
      <c r="Q295" s="277">
        <v>0</v>
      </c>
      <c r="R295" s="288">
        <f>SUM(C295:Q295)</f>
        <v>1341.8975735523991</v>
      </c>
      <c r="U295" s="404"/>
      <c r="V295" s="286" t="s">
        <v>41</v>
      </c>
      <c r="W295" s="277">
        <v>0</v>
      </c>
      <c r="X295" s="277">
        <v>0</v>
      </c>
      <c r="Y295" s="277">
        <f>Industrie!$I$56</f>
        <v>0</v>
      </c>
      <c r="Z295" s="277">
        <v>0</v>
      </c>
      <c r="AA295" s="277">
        <v>0</v>
      </c>
      <c r="AB295" s="277">
        <v>0</v>
      </c>
      <c r="AC295" s="277">
        <f>Industrie!$I$62*$AC$49/SUM($I$49:$N$49)</f>
        <v>152.87532015184851</v>
      </c>
      <c r="AD295" s="277">
        <f>Industrie!$I$62*$AD$49/SUM($I$49:$N$49)</f>
        <v>0</v>
      </c>
      <c r="AE295" s="277">
        <f>Industrie!$I$62*$AE$49/SUM($I$49:$N$49)</f>
        <v>0</v>
      </c>
      <c r="AF295" s="277">
        <f>Industrie!$I$62*$AF$49/SUM($I$49:$N$49)</f>
        <v>25.495551048297472</v>
      </c>
      <c r="AG295" s="277">
        <f>Industrie!$I$62*$AG$49/SUM($I$49:$N$49)</f>
        <v>0</v>
      </c>
      <c r="AH295" s="277">
        <f>Industrie!$I$62*$AH$49/SUM($I$49:$N$49)</f>
        <v>0.51976857378991692</v>
      </c>
      <c r="AI295" s="277">
        <f>Industrie!$I$57</f>
        <v>456.82345205064792</v>
      </c>
      <c r="AJ295" s="277">
        <f>Industrie!$I$63</f>
        <v>584.30774200424059</v>
      </c>
      <c r="AK295" s="277">
        <v>0</v>
      </c>
      <c r="AL295" s="288">
        <f>SUM(W295:AK295)</f>
        <v>1220.0218338288246</v>
      </c>
    </row>
    <row r="296" spans="1:39" ht="14.4" customHeight="1">
      <c r="A296" s="404"/>
      <c r="B296" s="286" t="s">
        <v>42</v>
      </c>
      <c r="C296" s="277">
        <v>0</v>
      </c>
      <c r="D296" s="277">
        <v>0</v>
      </c>
      <c r="E296" s="277">
        <f>Transports!$K$44</f>
        <v>2906.7655298176041</v>
      </c>
      <c r="F296" s="277">
        <v>0</v>
      </c>
      <c r="G296" s="277">
        <v>0</v>
      </c>
      <c r="H296" s="277">
        <v>0</v>
      </c>
      <c r="I296" s="277">
        <v>0</v>
      </c>
      <c r="J296" s="277">
        <v>0</v>
      </c>
      <c r="K296" s="277">
        <v>0</v>
      </c>
      <c r="L296" s="277">
        <v>0</v>
      </c>
      <c r="M296" s="277">
        <v>0</v>
      </c>
      <c r="N296" s="277">
        <v>0</v>
      </c>
      <c r="O296" s="277">
        <f>Transports!$K$45</f>
        <v>736.14865603147734</v>
      </c>
      <c r="P296" s="277">
        <v>0</v>
      </c>
      <c r="Q296" s="277">
        <v>0</v>
      </c>
      <c r="R296" s="288">
        <f t="shared" ref="R296:R303" si="167">SUM(C296:Q296)</f>
        <v>3642.9141858490816</v>
      </c>
      <c r="U296" s="404"/>
      <c r="V296" s="286" t="s">
        <v>42</v>
      </c>
      <c r="W296" s="277">
        <v>0</v>
      </c>
      <c r="X296" s="277">
        <v>0</v>
      </c>
      <c r="Y296" s="277">
        <f>Transports!$K71</f>
        <v>489.92204534026462</v>
      </c>
      <c r="Z296" s="277">
        <v>0</v>
      </c>
      <c r="AA296" s="277">
        <v>0</v>
      </c>
      <c r="AB296" s="277">
        <v>0</v>
      </c>
      <c r="AC296" s="277">
        <v>0</v>
      </c>
      <c r="AD296" s="277">
        <v>0</v>
      </c>
      <c r="AE296" s="277">
        <v>0</v>
      </c>
      <c r="AF296" s="277">
        <v>0</v>
      </c>
      <c r="AG296" s="277">
        <v>0</v>
      </c>
      <c r="AH296" s="277">
        <v>0</v>
      </c>
      <c r="AI296" s="277">
        <f>Transports!$K$72</f>
        <v>1668.344712962723</v>
      </c>
      <c r="AJ296" s="277">
        <v>0</v>
      </c>
      <c r="AK296" s="277">
        <v>0</v>
      </c>
      <c r="AL296" s="288">
        <f t="shared" ref="AL296:AL303" si="168">SUM(W296:AK296)</f>
        <v>2158.2667583029875</v>
      </c>
    </row>
    <row r="297" spans="1:39" ht="14.4" customHeight="1">
      <c r="A297" s="404"/>
      <c r="B297" s="286" t="s">
        <v>43</v>
      </c>
      <c r="C297" s="277">
        <v>0</v>
      </c>
      <c r="D297" s="277">
        <v>0</v>
      </c>
      <c r="E297" s="277">
        <f>'Résidentiel-tertiaire'!$I$163</f>
        <v>127.91175720449806</v>
      </c>
      <c r="F297" s="277">
        <v>0</v>
      </c>
      <c r="G297" s="277">
        <v>0</v>
      </c>
      <c r="H297" s="277">
        <v>0</v>
      </c>
      <c r="I297" s="277">
        <f>'Résidentiel-tertiaire'!$I$164*$I$51/SUM($I$51:$N$51)</f>
        <v>0</v>
      </c>
      <c r="J297" s="277">
        <f>'Résidentiel-tertiaire'!$I$164*$J$51/SUM($I$51:$N$51)</f>
        <v>0</v>
      </c>
      <c r="K297" s="277">
        <f>'Résidentiel-tertiaire'!$I$164*$K$51/SUM($I$51:$N$51)</f>
        <v>0</v>
      </c>
      <c r="L297" s="277">
        <f>'Résidentiel-tertiaire'!$I$164*$L$51/SUM($I$51:$N$51)</f>
        <v>0</v>
      </c>
      <c r="M297" s="277">
        <f>'Résidentiel-tertiaire'!$I$164*$M$51/SUM($I$51:$N$51)</f>
        <v>0</v>
      </c>
      <c r="N297" s="277">
        <f>'Résidentiel-tertiaire'!$I$164*$N$51/SUM($I$51:$N$51)</f>
        <v>880.08850337442675</v>
      </c>
      <c r="O297" s="277">
        <f>'Résidentiel-tertiaire'!$I$165</f>
        <v>1710.1245800166587</v>
      </c>
      <c r="P297" s="277">
        <v>0</v>
      </c>
      <c r="Q297" s="277">
        <v>0</v>
      </c>
      <c r="R297" s="288">
        <f t="shared" si="167"/>
        <v>2718.1248405955835</v>
      </c>
      <c r="U297" s="404"/>
      <c r="V297" s="286" t="s">
        <v>43</v>
      </c>
      <c r="W297" s="277">
        <v>0</v>
      </c>
      <c r="X297" s="277">
        <v>0</v>
      </c>
      <c r="Y297" s="277">
        <f>'Résidentiel-tertiaire'!$I$177</f>
        <v>0</v>
      </c>
      <c r="Z297" s="277">
        <v>0</v>
      </c>
      <c r="AA297" s="277">
        <v>0</v>
      </c>
      <c r="AB297" s="277">
        <v>0</v>
      </c>
      <c r="AC297" s="277">
        <f>'Résidentiel-tertiaire'!$I$178*$AC$51/SUM($I$51:$N$51)</f>
        <v>0</v>
      </c>
      <c r="AD297" s="277">
        <f>'Résidentiel-tertiaire'!$I$178*$AD$51/SUM($I$51:$N$51)</f>
        <v>0</v>
      </c>
      <c r="AE297" s="277">
        <f>'Résidentiel-tertiaire'!$I$178*$AE$51/SUM($I$51:$N$51)</f>
        <v>0</v>
      </c>
      <c r="AF297" s="277">
        <f>'Résidentiel-tertiaire'!$I$178*$AF$51/SUM($I$51:$N$51)</f>
        <v>0</v>
      </c>
      <c r="AG297" s="277">
        <f>'Résidentiel-tertiaire'!$I$178*$AG$51/SUM($I$51:$N$51)</f>
        <v>0</v>
      </c>
      <c r="AH297" s="277">
        <f>'Résidentiel-tertiaire'!$I$178*$AH$51/SUM($I$51:$N$51)</f>
        <v>475.56224039017627</v>
      </c>
      <c r="AI297" s="277">
        <f>'Résidentiel-tertiaire'!$I$179</f>
        <v>925.9351144682347</v>
      </c>
      <c r="AJ297" s="277">
        <v>0</v>
      </c>
      <c r="AK297" s="277">
        <v>0</v>
      </c>
      <c r="AL297" s="288">
        <f t="shared" si="168"/>
        <v>1401.497354858411</v>
      </c>
    </row>
    <row r="298" spans="1:39" ht="14.4" customHeight="1">
      <c r="A298" s="404"/>
      <c r="B298" s="286" t="s">
        <v>44</v>
      </c>
      <c r="C298" s="277">
        <v>0</v>
      </c>
      <c r="D298" s="277">
        <v>0</v>
      </c>
      <c r="E298" s="277">
        <f>'Résidentiel-tertiaire'!$I$168</f>
        <v>408.32724786951104</v>
      </c>
      <c r="F298" s="277">
        <v>0</v>
      </c>
      <c r="G298" s="277">
        <v>0</v>
      </c>
      <c r="H298" s="277">
        <v>0</v>
      </c>
      <c r="I298" s="277">
        <f>'Résidentiel-tertiaire'!$I$169*$I$52/SUM($I$52:$N$52)</f>
        <v>0</v>
      </c>
      <c r="J298" s="277">
        <f>'Résidentiel-tertiaire'!$I$169*$J$52/SUM($I$52:$N$52)</f>
        <v>0</v>
      </c>
      <c r="K298" s="277">
        <f>'Résidentiel-tertiaire'!$I$169*$K$52/SUM($I$52:$N$52)</f>
        <v>0</v>
      </c>
      <c r="L298" s="277">
        <f>'Résidentiel-tertiaire'!$I$169*$L$52/SUM($I$52:$N$52)</f>
        <v>0</v>
      </c>
      <c r="M298" s="277">
        <f>'Résidentiel-tertiaire'!$I$169*$M$52/SUM($I$52:$N$52)</f>
        <v>0</v>
      </c>
      <c r="N298" s="277">
        <f>'Résidentiel-tertiaire'!$I$169*$N$52/SUM($I$52:$N$52)</f>
        <v>1.2262079515600932</v>
      </c>
      <c r="O298" s="277">
        <f>'Résidentiel-tertiaire'!$I$170</f>
        <v>1455.5088385018305</v>
      </c>
      <c r="P298" s="277">
        <v>0</v>
      </c>
      <c r="Q298" s="277">
        <v>0</v>
      </c>
      <c r="R298" s="288">
        <f t="shared" si="167"/>
        <v>1865.0622943229016</v>
      </c>
      <c r="U298" s="404"/>
      <c r="V298" s="286" t="s">
        <v>44</v>
      </c>
      <c r="W298" s="277">
        <v>0</v>
      </c>
      <c r="X298" s="277">
        <v>0</v>
      </c>
      <c r="Y298" s="277">
        <f>'Résidentiel-tertiaire'!$I$182</f>
        <v>0</v>
      </c>
      <c r="Z298" s="277">
        <v>0</v>
      </c>
      <c r="AA298" s="277">
        <v>0</v>
      </c>
      <c r="AB298" s="277">
        <v>0</v>
      </c>
      <c r="AC298" s="277">
        <f>'Résidentiel-tertiaire'!$I$183*$AC$52/SUM($I$52:$N$52)</f>
        <v>0</v>
      </c>
      <c r="AD298" s="277">
        <f>'Résidentiel-tertiaire'!$I$183*$AD$52/SUM($I$52:$N$52)</f>
        <v>0</v>
      </c>
      <c r="AE298" s="277">
        <f>'Résidentiel-tertiaire'!$I$183*$AE$52/SUM($I$52:$N$52)</f>
        <v>0</v>
      </c>
      <c r="AF298" s="277">
        <f>'Résidentiel-tertiaire'!$I$183*$AF$52/SUM($I$52:$N$52)</f>
        <v>0</v>
      </c>
      <c r="AG298" s="277">
        <f>'Résidentiel-tertiaire'!$I$183*$AG$52/SUM($I$52:$N$52)</f>
        <v>0</v>
      </c>
      <c r="AH298" s="277">
        <f>'Résidentiel-tertiaire'!$I$183*$AH$52/SUM($I$52:$N$52)</f>
        <v>0.65348960017981417</v>
      </c>
      <c r="AI298" s="277">
        <f>'Résidentiel-tertiaire'!$I$184</f>
        <v>927.3017426551562</v>
      </c>
      <c r="AJ298" s="277">
        <v>0</v>
      </c>
      <c r="AK298" s="277">
        <v>0</v>
      </c>
      <c r="AL298" s="288">
        <f t="shared" si="168"/>
        <v>927.955232255336</v>
      </c>
    </row>
    <row r="299" spans="1:39" ht="14.4" customHeight="1">
      <c r="A299" s="404"/>
      <c r="B299" s="286" t="s">
        <v>4</v>
      </c>
      <c r="C299" s="277">
        <v>0</v>
      </c>
      <c r="D299" s="277">
        <v>0</v>
      </c>
      <c r="E299" s="277">
        <f>Agriculture!$Y$27</f>
        <v>105.57</v>
      </c>
      <c r="F299" s="277">
        <v>0</v>
      </c>
      <c r="G299" s="277">
        <v>0</v>
      </c>
      <c r="H299" s="277">
        <v>0</v>
      </c>
      <c r="I299" s="277">
        <v>0</v>
      </c>
      <c r="J299" s="277">
        <v>0</v>
      </c>
      <c r="K299" s="277">
        <v>0</v>
      </c>
      <c r="L299" s="277">
        <v>0</v>
      </c>
      <c r="M299" s="277">
        <v>0</v>
      </c>
      <c r="N299" s="277">
        <v>0</v>
      </c>
      <c r="O299" s="277">
        <f>Agriculture!$Y$28</f>
        <v>20.7</v>
      </c>
      <c r="P299" s="277">
        <v>0</v>
      </c>
      <c r="Q299" s="277">
        <v>0</v>
      </c>
      <c r="R299" s="288">
        <f t="shared" si="167"/>
        <v>126.27</v>
      </c>
      <c r="U299" s="404"/>
      <c r="V299" s="286" t="s">
        <v>4</v>
      </c>
      <c r="W299" s="277">
        <v>0</v>
      </c>
      <c r="X299" s="277">
        <v>0</v>
      </c>
      <c r="Y299" s="277">
        <f>Agriculture!$AG$43</f>
        <v>0</v>
      </c>
      <c r="Z299" s="277">
        <v>0</v>
      </c>
      <c r="AA299" s="277">
        <v>0</v>
      </c>
      <c r="AB299" s="277">
        <v>0</v>
      </c>
      <c r="AC299" s="277">
        <v>0</v>
      </c>
      <c r="AD299" s="277">
        <v>0</v>
      </c>
      <c r="AE299" s="277">
        <f>Agriculture!$AG$45</f>
        <v>95.012999999999991</v>
      </c>
      <c r="AF299" s="277">
        <v>0</v>
      </c>
      <c r="AG299" s="277">
        <v>0</v>
      </c>
      <c r="AH299" s="277">
        <v>0</v>
      </c>
      <c r="AI299" s="277">
        <f>Agriculture!$AG$44</f>
        <v>2.0699999999999998</v>
      </c>
      <c r="AJ299" s="277">
        <v>0</v>
      </c>
      <c r="AK299" s="277">
        <v>0</v>
      </c>
      <c r="AL299" s="288">
        <f t="shared" si="168"/>
        <v>97.082999999999984</v>
      </c>
    </row>
    <row r="300" spans="1:39" ht="14.4" customHeight="1">
      <c r="A300" s="404"/>
      <c r="B300" s="286" t="s">
        <v>410</v>
      </c>
      <c r="C300" s="277">
        <v>0</v>
      </c>
      <c r="D300" s="277">
        <v>0</v>
      </c>
      <c r="E300" s="277">
        <v>0</v>
      </c>
      <c r="F300" s="277">
        <v>0</v>
      </c>
      <c r="G300" s="277">
        <v>0</v>
      </c>
      <c r="H300" s="277">
        <v>0</v>
      </c>
      <c r="I300" s="277">
        <v>0</v>
      </c>
      <c r="J300" s="277">
        <v>0</v>
      </c>
      <c r="K300" s="277">
        <v>0</v>
      </c>
      <c r="L300" s="277">
        <v>0</v>
      </c>
      <c r="M300" s="277">
        <v>0</v>
      </c>
      <c r="N300" s="277">
        <v>0</v>
      </c>
      <c r="O300" s="277">
        <v>0</v>
      </c>
      <c r="P300" s="277">
        <v>0</v>
      </c>
      <c r="Q300" s="277">
        <v>0</v>
      </c>
      <c r="R300" s="288">
        <f t="shared" si="167"/>
        <v>0</v>
      </c>
      <c r="U300" s="404"/>
      <c r="V300" s="286" t="s">
        <v>410</v>
      </c>
      <c r="W300" s="277">
        <v>0</v>
      </c>
      <c r="X300" s="277">
        <v>0</v>
      </c>
      <c r="Y300" s="277">
        <v>0</v>
      </c>
      <c r="Z300" s="277">
        <v>0</v>
      </c>
      <c r="AA300" s="277">
        <v>0</v>
      </c>
      <c r="AB300" s="277">
        <v>0</v>
      </c>
      <c r="AC300" s="277">
        <v>0</v>
      </c>
      <c r="AD300" s="277">
        <v>0</v>
      </c>
      <c r="AE300" s="277">
        <v>0</v>
      </c>
      <c r="AF300" s="277">
        <v>0</v>
      </c>
      <c r="AG300" s="277">
        <v>0</v>
      </c>
      <c r="AH300" s="277">
        <v>0</v>
      </c>
      <c r="AI300" s="277">
        <v>0</v>
      </c>
      <c r="AJ300" s="277">
        <v>0</v>
      </c>
      <c r="AK300" s="277">
        <v>0</v>
      </c>
      <c r="AL300" s="288">
        <f t="shared" si="168"/>
        <v>0</v>
      </c>
    </row>
    <row r="301" spans="1:39" ht="14.4" customHeight="1">
      <c r="A301" s="404"/>
      <c r="B301" s="281" t="s">
        <v>45</v>
      </c>
      <c r="C301" s="282">
        <f>SUM(C295:C300)</f>
        <v>0</v>
      </c>
      <c r="D301" s="282">
        <f t="shared" ref="D301:Q301" si="169">SUM(D295:D300)</f>
        <v>0</v>
      </c>
      <c r="E301" s="282">
        <f t="shared" si="169"/>
        <v>3897.1489470368037</v>
      </c>
      <c r="F301" s="282">
        <f t="shared" si="169"/>
        <v>0</v>
      </c>
      <c r="G301" s="282">
        <f t="shared" si="169"/>
        <v>0</v>
      </c>
      <c r="H301" s="282">
        <f t="shared" si="169"/>
        <v>0</v>
      </c>
      <c r="I301" s="282">
        <f t="shared" si="169"/>
        <v>32.067340631919372</v>
      </c>
      <c r="J301" s="282">
        <f t="shared" si="169"/>
        <v>0</v>
      </c>
      <c r="K301" s="282">
        <f t="shared" si="169"/>
        <v>0</v>
      </c>
      <c r="L301" s="282">
        <f t="shared" si="169"/>
        <v>5.3479823901736454</v>
      </c>
      <c r="M301" s="282">
        <f t="shared" si="169"/>
        <v>0</v>
      </c>
      <c r="N301" s="282">
        <f t="shared" si="169"/>
        <v>881.42373870783592</v>
      </c>
      <c r="O301" s="282">
        <f t="shared" si="169"/>
        <v>4293.973143548993</v>
      </c>
      <c r="P301" s="282">
        <f t="shared" si="169"/>
        <v>584.30774200424059</v>
      </c>
      <c r="Q301" s="282">
        <f t="shared" si="169"/>
        <v>0</v>
      </c>
      <c r="R301" s="282">
        <f t="shared" si="167"/>
        <v>9694.2688943199664</v>
      </c>
      <c r="U301" s="404"/>
      <c r="V301" s="281" t="s">
        <v>45</v>
      </c>
      <c r="W301" s="282">
        <f>SUM(W295:W300)</f>
        <v>0</v>
      </c>
      <c r="X301" s="282">
        <f t="shared" ref="X301:AK301" si="170">SUM(X295:X300)</f>
        <v>0</v>
      </c>
      <c r="Y301" s="282">
        <f t="shared" si="170"/>
        <v>489.92204534026462</v>
      </c>
      <c r="Z301" s="282">
        <f t="shared" si="170"/>
        <v>0</v>
      </c>
      <c r="AA301" s="282">
        <f t="shared" si="170"/>
        <v>0</v>
      </c>
      <c r="AB301" s="282">
        <f t="shared" si="170"/>
        <v>0</v>
      </c>
      <c r="AC301" s="282">
        <f t="shared" si="170"/>
        <v>152.87532015184851</v>
      </c>
      <c r="AD301" s="282">
        <f t="shared" si="170"/>
        <v>0</v>
      </c>
      <c r="AE301" s="282">
        <f t="shared" si="170"/>
        <v>95.012999999999991</v>
      </c>
      <c r="AF301" s="282">
        <f t="shared" si="170"/>
        <v>25.495551048297472</v>
      </c>
      <c r="AG301" s="282">
        <f t="shared" si="170"/>
        <v>0</v>
      </c>
      <c r="AH301" s="282">
        <f t="shared" si="170"/>
        <v>476.73549856414598</v>
      </c>
      <c r="AI301" s="282">
        <f t="shared" si="170"/>
        <v>3980.4750221367617</v>
      </c>
      <c r="AJ301" s="282">
        <f t="shared" si="170"/>
        <v>584.30774200424059</v>
      </c>
      <c r="AK301" s="282">
        <f t="shared" si="170"/>
        <v>0</v>
      </c>
      <c r="AL301" s="282">
        <f t="shared" si="168"/>
        <v>5804.8241792455592</v>
      </c>
      <c r="AM301" s="293">
        <f>SUM(W301:AK301)</f>
        <v>5804.8241792455592</v>
      </c>
    </row>
    <row r="302" spans="1:39" ht="14.4" customHeight="1">
      <c r="A302" s="404"/>
      <c r="B302" s="276" t="s">
        <v>46</v>
      </c>
      <c r="C302" s="277">
        <v>0</v>
      </c>
      <c r="D302" s="277">
        <v>0</v>
      </c>
      <c r="E302" s="277">
        <f>Industrie!$I$37</f>
        <v>359.16163958058826</v>
      </c>
      <c r="F302" s="277">
        <v>0</v>
      </c>
      <c r="G302" s="277">
        <v>0</v>
      </c>
      <c r="H302" s="277">
        <v>0</v>
      </c>
      <c r="I302" s="277">
        <v>0</v>
      </c>
      <c r="J302" s="277">
        <v>0</v>
      </c>
      <c r="K302" s="277">
        <v>0</v>
      </c>
      <c r="L302" s="277">
        <v>0</v>
      </c>
      <c r="M302" s="277">
        <v>0</v>
      </c>
      <c r="N302" s="277">
        <v>0</v>
      </c>
      <c r="O302" s="277">
        <v>0</v>
      </c>
      <c r="P302" s="277">
        <v>0</v>
      </c>
      <c r="Q302" s="277">
        <v>0</v>
      </c>
      <c r="R302" s="288">
        <f t="shared" si="167"/>
        <v>359.16163958058826</v>
      </c>
      <c r="U302" s="404"/>
      <c r="V302" s="276" t="s">
        <v>46</v>
      </c>
      <c r="W302" s="277">
        <v>0</v>
      </c>
      <c r="X302" s="277">
        <v>0</v>
      </c>
      <c r="Y302" s="277">
        <f>Industrie!$I$59</f>
        <v>359.16163958058826</v>
      </c>
      <c r="Z302" s="277">
        <v>0</v>
      </c>
      <c r="AA302" s="277">
        <v>0</v>
      </c>
      <c r="AB302" s="277">
        <v>0</v>
      </c>
      <c r="AC302" s="277">
        <v>0</v>
      </c>
      <c r="AD302" s="277">
        <v>0</v>
      </c>
      <c r="AE302" s="277">
        <v>0</v>
      </c>
      <c r="AF302" s="277">
        <v>0</v>
      </c>
      <c r="AG302" s="277">
        <v>0</v>
      </c>
      <c r="AH302" s="277">
        <v>0</v>
      </c>
      <c r="AI302" s="277">
        <v>0</v>
      </c>
      <c r="AJ302" s="277">
        <v>0</v>
      </c>
      <c r="AK302" s="277">
        <v>0</v>
      </c>
      <c r="AL302" s="288">
        <f t="shared" si="168"/>
        <v>359.16163958058826</v>
      </c>
    </row>
    <row r="303" spans="1:39" ht="14.4" customHeight="1">
      <c r="A303" s="404"/>
      <c r="B303" s="281" t="s">
        <v>47</v>
      </c>
      <c r="C303" s="282">
        <f>C302+C301</f>
        <v>0</v>
      </c>
      <c r="D303" s="282">
        <f t="shared" ref="D303:Q303" si="171">D302+D301</f>
        <v>0</v>
      </c>
      <c r="E303" s="282">
        <f t="shared" si="171"/>
        <v>4256.3105866173919</v>
      </c>
      <c r="F303" s="282">
        <f t="shared" si="171"/>
        <v>0</v>
      </c>
      <c r="G303" s="282">
        <f t="shared" si="171"/>
        <v>0</v>
      </c>
      <c r="H303" s="282">
        <f t="shared" si="171"/>
        <v>0</v>
      </c>
      <c r="I303" s="282">
        <f t="shared" si="171"/>
        <v>32.067340631919372</v>
      </c>
      <c r="J303" s="282">
        <f t="shared" si="171"/>
        <v>0</v>
      </c>
      <c r="K303" s="282">
        <f t="shared" si="171"/>
        <v>0</v>
      </c>
      <c r="L303" s="282">
        <f t="shared" si="171"/>
        <v>5.3479823901736454</v>
      </c>
      <c r="M303" s="282">
        <f t="shared" si="171"/>
        <v>0</v>
      </c>
      <c r="N303" s="282">
        <f t="shared" si="171"/>
        <v>881.42373870783592</v>
      </c>
      <c r="O303" s="282">
        <f t="shared" si="171"/>
        <v>4293.973143548993</v>
      </c>
      <c r="P303" s="282">
        <f t="shared" si="171"/>
        <v>584.30774200424059</v>
      </c>
      <c r="Q303" s="282">
        <f t="shared" si="171"/>
        <v>0</v>
      </c>
      <c r="R303" s="282">
        <f t="shared" si="167"/>
        <v>10053.430533900553</v>
      </c>
      <c r="U303" s="404"/>
      <c r="V303" s="281" t="s">
        <v>47</v>
      </c>
      <c r="W303" s="282">
        <f>W302+W301</f>
        <v>0</v>
      </c>
      <c r="X303" s="282">
        <f t="shared" ref="X303:AK303" si="172">X302+X301</f>
        <v>0</v>
      </c>
      <c r="Y303" s="282">
        <f t="shared" si="172"/>
        <v>849.08368492085287</v>
      </c>
      <c r="Z303" s="282">
        <f t="shared" si="172"/>
        <v>0</v>
      </c>
      <c r="AA303" s="282">
        <f t="shared" si="172"/>
        <v>0</v>
      </c>
      <c r="AB303" s="282">
        <f t="shared" si="172"/>
        <v>0</v>
      </c>
      <c r="AC303" s="282">
        <f t="shared" si="172"/>
        <v>152.87532015184851</v>
      </c>
      <c r="AD303" s="282">
        <f t="shared" si="172"/>
        <v>0</v>
      </c>
      <c r="AE303" s="282">
        <f t="shared" si="172"/>
        <v>95.012999999999991</v>
      </c>
      <c r="AF303" s="282">
        <f t="shared" si="172"/>
        <v>25.495551048297472</v>
      </c>
      <c r="AG303" s="282">
        <f t="shared" si="172"/>
        <v>0</v>
      </c>
      <c r="AH303" s="282">
        <f t="shared" si="172"/>
        <v>476.73549856414598</v>
      </c>
      <c r="AI303" s="282">
        <f t="shared" si="172"/>
        <v>3980.4750221367617</v>
      </c>
      <c r="AJ303" s="282">
        <f t="shared" si="172"/>
        <v>584.30774200424059</v>
      </c>
      <c r="AK303" s="282">
        <f t="shared" si="172"/>
        <v>0</v>
      </c>
      <c r="AL303" s="282">
        <f t="shared" si="168"/>
        <v>6163.9858188261478</v>
      </c>
      <c r="AM303" s="293">
        <f>SUM(W303:AK303)</f>
        <v>6163.9858188261478</v>
      </c>
    </row>
    <row r="307" spans="4:34">
      <c r="P307" s="293"/>
    </row>
    <row r="309" spans="4:34">
      <c r="AG309" s="293"/>
      <c r="AH309" s="293"/>
    </row>
    <row r="311" spans="4:34">
      <c r="D311" s="393"/>
      <c r="E311" s="393">
        <v>2019</v>
      </c>
      <c r="F311" s="393">
        <v>2025</v>
      </c>
      <c r="G311" s="393">
        <v>2030</v>
      </c>
      <c r="H311" s="393">
        <v>2035</v>
      </c>
      <c r="I311" s="393">
        <v>2040</v>
      </c>
      <c r="J311" s="393">
        <v>2045</v>
      </c>
      <c r="K311" s="393">
        <v>2050</v>
      </c>
    </row>
    <row r="312" spans="4:34">
      <c r="D312" s="393" t="s">
        <v>514</v>
      </c>
      <c r="E312" s="393">
        <f>-$O$36/SUM($C$36:$N$36)</f>
        <v>0.40775541210163885</v>
      </c>
      <c r="F312" s="393">
        <f>-$O$77/SUM($C$77:$N$77)</f>
        <v>0.50847457627118653</v>
      </c>
      <c r="G312" s="393">
        <f>-$O$118/SUM($C$118:$N$118)</f>
        <v>0.52038161318300091</v>
      </c>
      <c r="H312" s="393">
        <f>-$O$159/SUM($C$159:$N$159)</f>
        <v>0.51416330101278285</v>
      </c>
      <c r="I312" s="393">
        <f>-$O$200/SUM($C$200:$N$200)</f>
        <v>0.50876408467169065</v>
      </c>
      <c r="J312" s="393">
        <f>-$O$241/SUM($C$241:$N$241)</f>
        <v>0.50460967352564345</v>
      </c>
      <c r="K312" s="393">
        <f>-$O$282/SUM($C$282:$N$282)</f>
        <v>0.50159539538368325</v>
      </c>
    </row>
  </sheetData>
  <mergeCells count="187">
    <mergeCell ref="B2:D2"/>
    <mergeCell ref="B14:D14"/>
    <mergeCell ref="B21:R21"/>
    <mergeCell ref="V21:AL21"/>
    <mergeCell ref="A25:A57"/>
    <mergeCell ref="B25:B26"/>
    <mergeCell ref="C25:C26"/>
    <mergeCell ref="D25:D26"/>
    <mergeCell ref="E25:E26"/>
    <mergeCell ref="F25:F26"/>
    <mergeCell ref="V25:V26"/>
    <mergeCell ref="W25:W26"/>
    <mergeCell ref="X25:X26"/>
    <mergeCell ref="Y25:Y26"/>
    <mergeCell ref="G25:G26"/>
    <mergeCell ref="H25:H26"/>
    <mergeCell ref="I25:N25"/>
    <mergeCell ref="O25:O26"/>
    <mergeCell ref="P25:P26"/>
    <mergeCell ref="Q25:Q26"/>
    <mergeCell ref="M5:S8"/>
    <mergeCell ref="I66:N66"/>
    <mergeCell ref="O66:O67"/>
    <mergeCell ref="P66:P67"/>
    <mergeCell ref="Q66:Q67"/>
    <mergeCell ref="R66:R67"/>
    <mergeCell ref="U66:U98"/>
    <mergeCell ref="AK25:AK26"/>
    <mergeCell ref="AL25:AL26"/>
    <mergeCell ref="A66:A98"/>
    <mergeCell ref="B66:B67"/>
    <mergeCell ref="C66:C67"/>
    <mergeCell ref="D66:D67"/>
    <mergeCell ref="E66:E67"/>
    <mergeCell ref="F66:F67"/>
    <mergeCell ref="G66:G67"/>
    <mergeCell ref="H66:H67"/>
    <mergeCell ref="Z25:Z26"/>
    <mergeCell ref="AA25:AA26"/>
    <mergeCell ref="AB25:AB26"/>
    <mergeCell ref="AC25:AH25"/>
    <mergeCell ref="AI25:AI26"/>
    <mergeCell ref="AJ25:AJ26"/>
    <mergeCell ref="R25:R26"/>
    <mergeCell ref="U25:U57"/>
    <mergeCell ref="AB66:AB67"/>
    <mergeCell ref="AC66:AH66"/>
    <mergeCell ref="AI66:AI67"/>
    <mergeCell ref="AJ66:AJ67"/>
    <mergeCell ref="AK66:AK67"/>
    <mergeCell ref="AL66:AL67"/>
    <mergeCell ref="V66:V67"/>
    <mergeCell ref="W66:W67"/>
    <mergeCell ref="X66:X67"/>
    <mergeCell ref="Y66:Y67"/>
    <mergeCell ref="Z66:Z67"/>
    <mergeCell ref="AA66:AA67"/>
    <mergeCell ref="I107:N107"/>
    <mergeCell ref="O107:O108"/>
    <mergeCell ref="P107:P108"/>
    <mergeCell ref="Q107:Q108"/>
    <mergeCell ref="A107:A139"/>
    <mergeCell ref="B107:B108"/>
    <mergeCell ref="C107:C108"/>
    <mergeCell ref="D107:D108"/>
    <mergeCell ref="E107:E108"/>
    <mergeCell ref="F107:F108"/>
    <mergeCell ref="AK107:AK108"/>
    <mergeCell ref="AL107:AL108"/>
    <mergeCell ref="A148:A180"/>
    <mergeCell ref="B148:B149"/>
    <mergeCell ref="C148:C149"/>
    <mergeCell ref="D148:D149"/>
    <mergeCell ref="E148:E149"/>
    <mergeCell ref="F148:F149"/>
    <mergeCell ref="G148:G149"/>
    <mergeCell ref="H148:H149"/>
    <mergeCell ref="Z107:Z108"/>
    <mergeCell ref="AA107:AA108"/>
    <mergeCell ref="AB107:AB108"/>
    <mergeCell ref="AC107:AH107"/>
    <mergeCell ref="AI107:AI108"/>
    <mergeCell ref="AJ107:AJ108"/>
    <mergeCell ref="R107:R108"/>
    <mergeCell ref="U107:U139"/>
    <mergeCell ref="V107:V108"/>
    <mergeCell ref="W107:W108"/>
    <mergeCell ref="X107:X108"/>
    <mergeCell ref="Y107:Y108"/>
    <mergeCell ref="G107:G108"/>
    <mergeCell ref="H107:H108"/>
    <mergeCell ref="AJ148:AJ149"/>
    <mergeCell ref="AK148:AK149"/>
    <mergeCell ref="AL148:AL149"/>
    <mergeCell ref="V148:V149"/>
    <mergeCell ref="W148:W149"/>
    <mergeCell ref="X148:X149"/>
    <mergeCell ref="Y148:Y149"/>
    <mergeCell ref="Z148:Z149"/>
    <mergeCell ref="AA148:AA149"/>
    <mergeCell ref="B189:B190"/>
    <mergeCell ref="C189:C190"/>
    <mergeCell ref="D189:D190"/>
    <mergeCell ref="E189:E190"/>
    <mergeCell ref="F189:F190"/>
    <mergeCell ref="AB148:AB149"/>
    <mergeCell ref="AC148:AH148"/>
    <mergeCell ref="AI148:AI149"/>
    <mergeCell ref="I148:N148"/>
    <mergeCell ref="O148:O149"/>
    <mergeCell ref="P148:P149"/>
    <mergeCell ref="Q148:Q149"/>
    <mergeCell ref="R148:R149"/>
    <mergeCell ref="U148:U180"/>
    <mergeCell ref="V189:V190"/>
    <mergeCell ref="W189:W190"/>
    <mergeCell ref="X189:X190"/>
    <mergeCell ref="Y189:Y190"/>
    <mergeCell ref="G189:G190"/>
    <mergeCell ref="H189:H190"/>
    <mergeCell ref="I189:N189"/>
    <mergeCell ref="O189:O190"/>
    <mergeCell ref="P189:P190"/>
    <mergeCell ref="AK189:AK190"/>
    <mergeCell ref="AL189:AL190"/>
    <mergeCell ref="AA189:AA190"/>
    <mergeCell ref="AB189:AB190"/>
    <mergeCell ref="AC189:AH189"/>
    <mergeCell ref="AI189:AI190"/>
    <mergeCell ref="AJ189:AJ190"/>
    <mergeCell ref="AB230:AB231"/>
    <mergeCell ref="AC230:AH230"/>
    <mergeCell ref="AI230:AI231"/>
    <mergeCell ref="AJ230:AJ231"/>
    <mergeCell ref="AK230:AK231"/>
    <mergeCell ref="AL230:AL231"/>
    <mergeCell ref="AA230:AA231"/>
    <mergeCell ref="A230:A262"/>
    <mergeCell ref="B230:B231"/>
    <mergeCell ref="C230:C231"/>
    <mergeCell ref="D230:D231"/>
    <mergeCell ref="E230:E231"/>
    <mergeCell ref="F230:F231"/>
    <mergeCell ref="G230:G231"/>
    <mergeCell ref="H230:H231"/>
    <mergeCell ref="Z189:Z190"/>
    <mergeCell ref="R189:R190"/>
    <mergeCell ref="U189:U221"/>
    <mergeCell ref="V230:V231"/>
    <mergeCell ref="W230:W231"/>
    <mergeCell ref="X230:X231"/>
    <mergeCell ref="Y230:Y231"/>
    <mergeCell ref="Z230:Z231"/>
    <mergeCell ref="Q189:Q190"/>
    <mergeCell ref="I230:N230"/>
    <mergeCell ref="O230:O231"/>
    <mergeCell ref="P230:P231"/>
    <mergeCell ref="Q230:Q231"/>
    <mergeCell ref="R230:R231"/>
    <mergeCell ref="U230:U262"/>
    <mergeCell ref="A189:A221"/>
    <mergeCell ref="G271:G272"/>
    <mergeCell ref="H271:H272"/>
    <mergeCell ref="I271:N271"/>
    <mergeCell ref="O271:O272"/>
    <mergeCell ref="P271:P272"/>
    <mergeCell ref="Q271:Q272"/>
    <mergeCell ref="A271:A303"/>
    <mergeCell ref="B271:B272"/>
    <mergeCell ref="C271:C272"/>
    <mergeCell ref="D271:D272"/>
    <mergeCell ref="E271:E272"/>
    <mergeCell ref="F271:F272"/>
    <mergeCell ref="AK271:AK272"/>
    <mergeCell ref="AL271:AL272"/>
    <mergeCell ref="Z271:Z272"/>
    <mergeCell ref="AA271:AA272"/>
    <mergeCell ref="AB271:AB272"/>
    <mergeCell ref="AC271:AH271"/>
    <mergeCell ref="AI271:AI272"/>
    <mergeCell ref="AJ271:AJ272"/>
    <mergeCell ref="R271:R272"/>
    <mergeCell ref="U271:U303"/>
    <mergeCell ref="V271:V272"/>
    <mergeCell ref="W271:W272"/>
    <mergeCell ref="X271:X272"/>
    <mergeCell ref="Y271:Y272"/>
  </mergeCells>
  <conditionalFormatting sqref="D44:F44 C45:F46 I26:M26 O48:R48 C48:H48 G44:H46 C40:H43 I40:Q46 O30:R32 D30:H32 I30:N31 P27:R29 F27:F29 C27:C32 C33:R35 C47:Q47 C36:H37 R36:R47 O36:Q37">
    <cfRule type="cellIs" dxfId="565" priority="1419" operator="equal">
      <formula>0</formula>
    </cfRule>
  </conditionalFormatting>
  <conditionalFormatting sqref="O27:O32">
    <cfRule type="cellIs" dxfId="564" priority="1420" operator="equal">
      <formula>0</formula>
    </cfRule>
  </conditionalFormatting>
  <conditionalFormatting sqref="C27:D32 G27:H32">
    <cfRule type="cellIs" dxfId="563" priority="1421" operator="equal">
      <formula>0</formula>
    </cfRule>
  </conditionalFormatting>
  <conditionalFormatting sqref="E27:E32">
    <cfRule type="cellIs" dxfId="562" priority="1422" operator="equal">
      <formula>0</formula>
    </cfRule>
  </conditionalFormatting>
  <conditionalFormatting sqref="C44">
    <cfRule type="cellIs" dxfId="561" priority="1423" operator="equal">
      <formula>0</formula>
    </cfRule>
  </conditionalFormatting>
  <conditionalFormatting sqref="N26">
    <cfRule type="cellIs" dxfId="560" priority="1424" operator="equal">
      <formula>0</formula>
    </cfRule>
  </conditionalFormatting>
  <conditionalFormatting sqref="I30:I32 I48">
    <cfRule type="cellIs" dxfId="559" priority="1425" operator="equal">
      <formula>0</formula>
    </cfRule>
  </conditionalFormatting>
  <conditionalFormatting sqref="I27:I32 J27:N27">
    <cfRule type="cellIs" dxfId="558" priority="1426" operator="equal">
      <formula>0</formula>
    </cfRule>
  </conditionalFormatting>
  <conditionalFormatting sqref="J30:J32 J48">
    <cfRule type="cellIs" dxfId="557" priority="1427" operator="equal">
      <formula>0</formula>
    </cfRule>
  </conditionalFormatting>
  <conditionalFormatting sqref="J27:J32">
    <cfRule type="cellIs" dxfId="556" priority="1428" operator="equal">
      <formula>0</formula>
    </cfRule>
  </conditionalFormatting>
  <conditionalFormatting sqref="K30:K32 K48">
    <cfRule type="cellIs" dxfId="555" priority="1429" operator="equal">
      <formula>0</formula>
    </cfRule>
  </conditionalFormatting>
  <conditionalFormatting sqref="K27:K32">
    <cfRule type="cellIs" dxfId="554" priority="1430" operator="equal">
      <formula>0</formula>
    </cfRule>
  </conditionalFormatting>
  <conditionalFormatting sqref="L30:L32 L48">
    <cfRule type="cellIs" dxfId="553" priority="1431" operator="equal">
      <formula>0</formula>
    </cfRule>
  </conditionalFormatting>
  <conditionalFormatting sqref="L27:L32">
    <cfRule type="cellIs" dxfId="552" priority="1432" operator="equal">
      <formula>0</formula>
    </cfRule>
  </conditionalFormatting>
  <conditionalFormatting sqref="M30:M32 M48">
    <cfRule type="cellIs" dxfId="551" priority="1433" operator="equal">
      <formula>0</formula>
    </cfRule>
  </conditionalFormatting>
  <conditionalFormatting sqref="M27:M32">
    <cfRule type="cellIs" dxfId="550" priority="1434" operator="equal">
      <formula>0</formula>
    </cfRule>
  </conditionalFormatting>
  <conditionalFormatting sqref="N30:N32 N48">
    <cfRule type="cellIs" dxfId="549" priority="1435" operator="equal">
      <formula>0</formula>
    </cfRule>
  </conditionalFormatting>
  <conditionalFormatting sqref="N27:N32">
    <cfRule type="cellIs" dxfId="548" priority="1436" operator="equal">
      <formula>0</formula>
    </cfRule>
  </conditionalFormatting>
  <conditionalFormatting sqref="C35:R35 C40:Q47 C36:H37 R36:R47 O36:Q37 C27:R33">
    <cfRule type="expression" dxfId="547" priority="1437">
      <formula>LEN(TRIM(C27))=0</formula>
    </cfRule>
  </conditionalFormatting>
  <conditionalFormatting sqref="K30:K31">
    <cfRule type="cellIs" dxfId="546" priority="1438" operator="equal">
      <formula>0</formula>
    </cfRule>
  </conditionalFormatting>
  <conditionalFormatting sqref="L30:L31">
    <cfRule type="cellIs" dxfId="545" priority="1439" operator="equal">
      <formula>0</formula>
    </cfRule>
  </conditionalFormatting>
  <conditionalFormatting sqref="C38:Q39">
    <cfRule type="cellIs" dxfId="544" priority="1440" operator="equal">
      <formula>0</formula>
    </cfRule>
  </conditionalFormatting>
  <conditionalFormatting sqref="O38:O39">
    <cfRule type="cellIs" dxfId="543" priority="1441" operator="equal">
      <formula>0</formula>
    </cfRule>
  </conditionalFormatting>
  <conditionalFormatting sqref="C38:Q39">
    <cfRule type="expression" dxfId="542" priority="1442">
      <formula>LEN(TRIM(C38))=0</formula>
    </cfRule>
  </conditionalFormatting>
  <conditionalFormatting sqref="M30:N30">
    <cfRule type="cellIs" dxfId="541" priority="1443" operator="equal">
      <formula>0</formula>
    </cfRule>
  </conditionalFormatting>
  <conditionalFormatting sqref="M31:N31">
    <cfRule type="cellIs" dxfId="540" priority="1444" operator="equal">
      <formula>0</formula>
    </cfRule>
  </conditionalFormatting>
  <conditionalFormatting sqref="C50:Q55 R49:R54 R56 C49:H49 O49:Q49">
    <cfRule type="cellIs" dxfId="539" priority="1445" operator="equal">
      <formula>0</formula>
    </cfRule>
  </conditionalFormatting>
  <conditionalFormatting sqref="C56:Q56">
    <cfRule type="cellIs" dxfId="538" priority="1446" operator="equal">
      <formula>0</formula>
    </cfRule>
  </conditionalFormatting>
  <conditionalFormatting sqref="C50:R54 C56:R56 C55:Q55 C49:H49 O49:R49">
    <cfRule type="expression" dxfId="537" priority="1447">
      <formula>LEN(TRIM(C49))=0</formula>
    </cfRule>
  </conditionalFormatting>
  <conditionalFormatting sqref="C56:Q56">
    <cfRule type="cellIs" dxfId="536" priority="1448" operator="equal">
      <formula>0</formula>
    </cfRule>
  </conditionalFormatting>
  <conditionalFormatting sqref="C57:Q57">
    <cfRule type="cellIs" dxfId="535" priority="1449" operator="equal">
      <formula>0</formula>
    </cfRule>
  </conditionalFormatting>
  <conditionalFormatting sqref="C57:Q57">
    <cfRule type="expression" dxfId="534" priority="1450">
      <formula>LEN(TRIM(C57))=0</formula>
    </cfRule>
  </conditionalFormatting>
  <conditionalFormatting sqref="R57">
    <cfRule type="cellIs" dxfId="533" priority="1417" operator="equal">
      <formula>0</formula>
    </cfRule>
  </conditionalFormatting>
  <conditionalFormatting sqref="R57">
    <cfRule type="expression" dxfId="532" priority="1418">
      <formula>LEN(TRIM(R57))=0</formula>
    </cfRule>
  </conditionalFormatting>
  <conditionalFormatting sqref="R55">
    <cfRule type="cellIs" dxfId="531" priority="1415" operator="equal">
      <formula>0</formula>
    </cfRule>
  </conditionalFormatting>
  <conditionalFormatting sqref="R55">
    <cfRule type="expression" dxfId="530" priority="1416">
      <formula>LEN(TRIM(R55))=0</formula>
    </cfRule>
  </conditionalFormatting>
  <conditionalFormatting sqref="I49:N49">
    <cfRule type="cellIs" dxfId="529" priority="1413" operator="equal">
      <formula>0</formula>
    </cfRule>
  </conditionalFormatting>
  <conditionalFormatting sqref="I49:N49">
    <cfRule type="expression" dxfId="528" priority="1414">
      <formula>LEN(TRIM(I49))=0</formula>
    </cfRule>
  </conditionalFormatting>
  <conditionalFormatting sqref="I36:N37">
    <cfRule type="cellIs" dxfId="527" priority="1411" operator="equal">
      <formula>0</formula>
    </cfRule>
  </conditionalFormatting>
  <conditionalFormatting sqref="I36:N37">
    <cfRule type="expression" dxfId="526" priority="1412">
      <formula>LEN(TRIM(I36))=0</formula>
    </cfRule>
  </conditionalFormatting>
  <conditionalFormatting sqref="AC26:AG26">
    <cfRule type="cellIs" dxfId="525" priority="1379" operator="equal">
      <formula>0</formula>
    </cfRule>
  </conditionalFormatting>
  <conditionalFormatting sqref="AH26">
    <cfRule type="cellIs" dxfId="524" priority="1384" operator="equal">
      <formula>0</formula>
    </cfRule>
  </conditionalFormatting>
  <conditionalFormatting sqref="AC190:AG190">
    <cfRule type="cellIs" dxfId="523" priority="984" operator="equal">
      <formula>0</formula>
    </cfRule>
  </conditionalFormatting>
  <conditionalFormatting sqref="AH190">
    <cfRule type="cellIs" dxfId="522" priority="989" operator="equal">
      <formula>0</formula>
    </cfRule>
  </conditionalFormatting>
  <conditionalFormatting sqref="W38:AK39">
    <cfRule type="cellIs" dxfId="521" priority="863" operator="equal">
      <formula>0</formula>
    </cfRule>
  </conditionalFormatting>
  <conditionalFormatting sqref="I67:M67">
    <cfRule type="cellIs" dxfId="520" priority="1339" operator="equal">
      <formula>0</formula>
    </cfRule>
  </conditionalFormatting>
  <conditionalFormatting sqref="N67">
    <cfRule type="cellIs" dxfId="519" priority="1344" operator="equal">
      <formula>0</formula>
    </cfRule>
  </conditionalFormatting>
  <conditionalFormatting sqref="I108:M108">
    <cfRule type="cellIs" dxfId="518" priority="1299" operator="equal">
      <formula>0</formula>
    </cfRule>
  </conditionalFormatting>
  <conditionalFormatting sqref="N108">
    <cfRule type="cellIs" dxfId="517" priority="1304" operator="equal">
      <formula>0</formula>
    </cfRule>
  </conditionalFormatting>
  <conditionalFormatting sqref="I149:M149">
    <cfRule type="cellIs" dxfId="516" priority="1259" operator="equal">
      <formula>0</formula>
    </cfRule>
  </conditionalFormatting>
  <conditionalFormatting sqref="N149">
    <cfRule type="cellIs" dxfId="515" priority="1264" operator="equal">
      <formula>0</formula>
    </cfRule>
  </conditionalFormatting>
  <conditionalFormatting sqref="AC149:AG149">
    <cfRule type="cellIs" dxfId="514" priority="1024" operator="equal">
      <formula>0</formula>
    </cfRule>
  </conditionalFormatting>
  <conditionalFormatting sqref="AH149">
    <cfRule type="cellIs" dxfId="513" priority="1029" operator="equal">
      <formula>0</formula>
    </cfRule>
  </conditionalFormatting>
  <conditionalFormatting sqref="I190:M190">
    <cfRule type="cellIs" dxfId="512" priority="1219" operator="equal">
      <formula>0</formula>
    </cfRule>
  </conditionalFormatting>
  <conditionalFormatting sqref="N190">
    <cfRule type="cellIs" dxfId="511" priority="1224" operator="equal">
      <formula>0</formula>
    </cfRule>
  </conditionalFormatting>
  <conditionalFormatting sqref="I231:M231">
    <cfRule type="cellIs" dxfId="510" priority="1179" operator="equal">
      <formula>0</formula>
    </cfRule>
  </conditionalFormatting>
  <conditionalFormatting sqref="N231">
    <cfRule type="cellIs" dxfId="509" priority="1184" operator="equal">
      <formula>0</formula>
    </cfRule>
  </conditionalFormatting>
  <conditionalFormatting sqref="AC108:AG108">
    <cfRule type="cellIs" dxfId="508" priority="1064" operator="equal">
      <formula>0</formula>
    </cfRule>
  </conditionalFormatting>
  <conditionalFormatting sqref="AH108">
    <cfRule type="cellIs" dxfId="507" priority="1069" operator="equal">
      <formula>0</formula>
    </cfRule>
  </conditionalFormatting>
  <conditionalFormatting sqref="I272:M272">
    <cfRule type="cellIs" dxfId="506" priority="1139" operator="equal">
      <formula>0</formula>
    </cfRule>
  </conditionalFormatting>
  <conditionalFormatting sqref="N272">
    <cfRule type="cellIs" dxfId="505" priority="1144" operator="equal">
      <formula>0</formula>
    </cfRule>
  </conditionalFormatting>
  <conditionalFormatting sqref="AC67:AH67">
    <cfRule type="cellIs" dxfId="504" priority="1100" operator="equal">
      <formula>0</formula>
    </cfRule>
  </conditionalFormatting>
  <conditionalFormatting sqref="V68:V73">
    <cfRule type="cellIs" dxfId="503" priority="1102" operator="equal">
      <formula>0</formula>
    </cfRule>
  </conditionalFormatting>
  <conditionalFormatting sqref="V79:V80">
    <cfRule type="cellIs" dxfId="502" priority="1120" operator="equal">
      <formula>0</formula>
    </cfRule>
  </conditionalFormatting>
  <conditionalFormatting sqref="V90:V96">
    <cfRule type="cellIs" dxfId="501" priority="1125" operator="equal">
      <formula>0</formula>
    </cfRule>
  </conditionalFormatting>
  <conditionalFormatting sqref="V97">
    <cfRule type="cellIs" dxfId="500" priority="1126" operator="equal">
      <formula>0</formula>
    </cfRule>
  </conditionalFormatting>
  <conditionalFormatting sqref="V98">
    <cfRule type="cellIs" dxfId="499" priority="1129" operator="equal">
      <formula>0</formula>
    </cfRule>
  </conditionalFormatting>
  <conditionalFormatting sqref="D85:F85 C86:F87 O89:R89 C89:H89 G85:H87 C81:H84 I81:Q87 O71:R73 D71:H73 I71:N72 P68:R70 F68:F70 C68:C73 C76:R76 P75:R75 C75:N75 C88:Q88 R77:R88 C74:R74 R69:R74 C78:Q78 O77:Q77">
    <cfRule type="cellIs" dxfId="498" priority="812" operator="equal">
      <formula>0</formula>
    </cfRule>
  </conditionalFormatting>
  <conditionalFormatting sqref="O68:O73">
    <cfRule type="cellIs" dxfId="497" priority="813" operator="equal">
      <formula>0</formula>
    </cfRule>
  </conditionalFormatting>
  <conditionalFormatting sqref="C68:D73 G68:H73">
    <cfRule type="cellIs" dxfId="496" priority="814" operator="equal">
      <formula>0</formula>
    </cfRule>
  </conditionalFormatting>
  <conditionalFormatting sqref="E68:E73">
    <cfRule type="cellIs" dxfId="495" priority="815" operator="equal">
      <formula>0</formula>
    </cfRule>
  </conditionalFormatting>
  <conditionalFormatting sqref="C85">
    <cfRule type="cellIs" dxfId="494" priority="816" operator="equal">
      <formula>0</formula>
    </cfRule>
  </conditionalFormatting>
  <conditionalFormatting sqref="I71:I73 I89">
    <cfRule type="cellIs" dxfId="493" priority="817" operator="equal">
      <formula>0</formula>
    </cfRule>
  </conditionalFormatting>
  <conditionalFormatting sqref="I70:I73 J68:N68">
    <cfRule type="cellIs" dxfId="492" priority="818" operator="equal">
      <formula>0</formula>
    </cfRule>
  </conditionalFormatting>
  <conditionalFormatting sqref="J71:J73 J89">
    <cfRule type="cellIs" dxfId="491" priority="819" operator="equal">
      <formula>0</formula>
    </cfRule>
  </conditionalFormatting>
  <conditionalFormatting sqref="J68:J73">
    <cfRule type="cellIs" dxfId="490" priority="820" operator="equal">
      <formula>0</formula>
    </cfRule>
  </conditionalFormatting>
  <conditionalFormatting sqref="K71:K73 K89">
    <cfRule type="cellIs" dxfId="489" priority="821" operator="equal">
      <formula>0</formula>
    </cfRule>
  </conditionalFormatting>
  <conditionalFormatting sqref="K68:K73">
    <cfRule type="cellIs" dxfId="488" priority="822" operator="equal">
      <formula>0</formula>
    </cfRule>
  </conditionalFormatting>
  <conditionalFormatting sqref="L68:L73">
    <cfRule type="cellIs" dxfId="487" priority="824" operator="equal">
      <formula>0</formula>
    </cfRule>
  </conditionalFormatting>
  <conditionalFormatting sqref="M71:M73 M89">
    <cfRule type="cellIs" dxfId="486" priority="825" operator="equal">
      <formula>0</formula>
    </cfRule>
  </conditionalFormatting>
  <conditionalFormatting sqref="M68:M73">
    <cfRule type="cellIs" dxfId="485" priority="826" operator="equal">
      <formula>0</formula>
    </cfRule>
  </conditionalFormatting>
  <conditionalFormatting sqref="N71:N73 N89">
    <cfRule type="cellIs" dxfId="484" priority="827" operator="equal">
      <formula>0</formula>
    </cfRule>
  </conditionalFormatting>
  <conditionalFormatting sqref="K71:K72">
    <cfRule type="cellIs" dxfId="483" priority="830" operator="equal">
      <formula>0</formula>
    </cfRule>
  </conditionalFormatting>
  <conditionalFormatting sqref="L71:L72">
    <cfRule type="cellIs" dxfId="482" priority="831" operator="equal">
      <formula>0</formula>
    </cfRule>
  </conditionalFormatting>
  <conditionalFormatting sqref="C79:Q80">
    <cfRule type="cellIs" dxfId="481" priority="832" operator="equal">
      <formula>0</formula>
    </cfRule>
  </conditionalFormatting>
  <conditionalFormatting sqref="M71:N71">
    <cfRule type="cellIs" dxfId="480" priority="835" operator="equal">
      <formula>0</formula>
    </cfRule>
  </conditionalFormatting>
  <conditionalFormatting sqref="N68:N73">
    <cfRule type="cellIs" dxfId="479" priority="828" operator="equal">
      <formula>0</formula>
    </cfRule>
  </conditionalFormatting>
  <conditionalFormatting sqref="O79:O80">
    <cfRule type="cellIs" dxfId="478" priority="833" operator="equal">
      <formula>0</formula>
    </cfRule>
  </conditionalFormatting>
  <conditionalFormatting sqref="M72:N72">
    <cfRule type="cellIs" dxfId="477" priority="836" operator="equal">
      <formula>0</formula>
    </cfRule>
  </conditionalFormatting>
  <conditionalFormatting sqref="R90:R97 C90:Q96">
    <cfRule type="cellIs" dxfId="476" priority="837" operator="equal">
      <formula>0</formula>
    </cfRule>
  </conditionalFormatting>
  <conditionalFormatting sqref="C97:Q97">
    <cfRule type="cellIs" dxfId="475" priority="838" operator="equal">
      <formula>0</formula>
    </cfRule>
  </conditionalFormatting>
  <conditionalFormatting sqref="C97:Q97">
    <cfRule type="cellIs" dxfId="474" priority="840" operator="equal">
      <formula>0</formula>
    </cfRule>
  </conditionalFormatting>
  <conditionalFormatting sqref="C98:Q98">
    <cfRule type="cellIs" dxfId="473" priority="841" operator="equal">
      <formula>0</formula>
    </cfRule>
  </conditionalFormatting>
  <conditionalFormatting sqref="X44:Z44 W45:Z46 AI48:AL48 W48:AB48 AA44:AB46 W40:AB43 AC40:AK46 AI30:AL32 X30:AB32 AC30:AH31 AJ27:AL29 Z27:Z29 W27:W32 W47:AL47 AL36:AL46 W33:AL33 W35:AL35 AJ34:AL34 W34:AH34 W36:AK37">
    <cfRule type="cellIs" dxfId="472" priority="843" operator="equal">
      <formula>0</formula>
    </cfRule>
  </conditionalFormatting>
  <conditionalFormatting sqref="AI27:AI32">
    <cfRule type="cellIs" dxfId="471" priority="844" operator="equal">
      <formula>0</formula>
    </cfRule>
  </conditionalFormatting>
  <conditionalFormatting sqref="Y27:Y32">
    <cfRule type="cellIs" dxfId="470" priority="846" operator="equal">
      <formula>0</formula>
    </cfRule>
  </conditionalFormatting>
  <conditionalFormatting sqref="W44">
    <cfRule type="cellIs" dxfId="469" priority="847" operator="equal">
      <formula>0</formula>
    </cfRule>
  </conditionalFormatting>
  <conditionalFormatting sqref="AC30:AC32 AC48">
    <cfRule type="cellIs" dxfId="468" priority="848" operator="equal">
      <formula>0</formula>
    </cfRule>
  </conditionalFormatting>
  <conditionalFormatting sqref="AC27:AC32 AD27:AH27">
    <cfRule type="cellIs" dxfId="467" priority="849" operator="equal">
      <formula>0</formula>
    </cfRule>
  </conditionalFormatting>
  <conditionalFormatting sqref="AD27:AD32">
    <cfRule type="cellIs" dxfId="466" priority="851" operator="equal">
      <formula>0</formula>
    </cfRule>
  </conditionalFormatting>
  <conditionalFormatting sqref="AE30:AE32 AE48">
    <cfRule type="cellIs" dxfId="465" priority="852" operator="equal">
      <formula>0</formula>
    </cfRule>
  </conditionalFormatting>
  <conditionalFormatting sqref="AE27:AE32">
    <cfRule type="cellIs" dxfId="464" priority="853" operator="equal">
      <formula>0</formula>
    </cfRule>
  </conditionalFormatting>
  <conditionalFormatting sqref="AF30:AF32 AF48">
    <cfRule type="cellIs" dxfId="463" priority="854" operator="equal">
      <formula>0</formula>
    </cfRule>
  </conditionalFormatting>
  <conditionalFormatting sqref="AG30:AG32 AG48">
    <cfRule type="cellIs" dxfId="462" priority="856" operator="equal">
      <formula>0</formula>
    </cfRule>
  </conditionalFormatting>
  <conditionalFormatting sqref="AG27:AG32">
    <cfRule type="cellIs" dxfId="461" priority="857" operator="equal">
      <formula>0</formula>
    </cfRule>
  </conditionalFormatting>
  <conditionalFormatting sqref="L71:L73 L89">
    <cfRule type="cellIs" dxfId="460" priority="823" operator="equal">
      <formula>0</formula>
    </cfRule>
  </conditionalFormatting>
  <conditionalFormatting sqref="AC231:AG231">
    <cfRule type="cellIs" dxfId="459" priority="944" operator="equal">
      <formula>0</formula>
    </cfRule>
  </conditionalFormatting>
  <conditionalFormatting sqref="AD30:AD32 AD48">
    <cfRule type="cellIs" dxfId="458" priority="850" operator="equal">
      <formula>0</formula>
    </cfRule>
  </conditionalFormatting>
  <conditionalFormatting sqref="AH231">
    <cfRule type="cellIs" dxfId="457" priority="949" operator="equal">
      <formula>0</formula>
    </cfRule>
  </conditionalFormatting>
  <conditionalFormatting sqref="AF27:AF32">
    <cfRule type="cellIs" dxfId="456" priority="855" operator="equal">
      <formula>0</formula>
    </cfRule>
  </conditionalFormatting>
  <conditionalFormatting sqref="AH30:AH32 AH48">
    <cfRule type="cellIs" dxfId="455" priority="858" operator="equal">
      <formula>0</formula>
    </cfRule>
  </conditionalFormatting>
  <conditionalFormatting sqref="AH27:AH32">
    <cfRule type="cellIs" dxfId="454" priority="859" operator="equal">
      <formula>0</formula>
    </cfRule>
  </conditionalFormatting>
  <conditionalFormatting sqref="AE30:AE31">
    <cfRule type="cellIs" dxfId="453" priority="861" operator="equal">
      <formula>0</formula>
    </cfRule>
  </conditionalFormatting>
  <conditionalFormatting sqref="AF30:AF31">
    <cfRule type="cellIs" dxfId="452" priority="862" operator="equal">
      <formula>0</formula>
    </cfRule>
  </conditionalFormatting>
  <conditionalFormatting sqref="AI38:AI39">
    <cfRule type="cellIs" dxfId="451" priority="864" operator="equal">
      <formula>0</formula>
    </cfRule>
  </conditionalFormatting>
  <conditionalFormatting sqref="AG30:AH30">
    <cfRule type="cellIs" dxfId="450" priority="866" operator="equal">
      <formula>0</formula>
    </cfRule>
  </conditionalFormatting>
  <conditionalFormatting sqref="AL49:AL56 W49:AK55">
    <cfRule type="cellIs" dxfId="449" priority="868" operator="equal">
      <formula>0</formula>
    </cfRule>
  </conditionalFormatting>
  <conditionalFormatting sqref="W56:AK56">
    <cfRule type="cellIs" dxfId="448" priority="869" operator="equal">
      <formula>0</formula>
    </cfRule>
  </conditionalFormatting>
  <conditionalFormatting sqref="W56:AK56">
    <cfRule type="cellIs" dxfId="447" priority="871" operator="equal">
      <formula>0</formula>
    </cfRule>
  </conditionalFormatting>
  <conditionalFormatting sqref="W27:X32 AA27:AB32">
    <cfRule type="cellIs" dxfId="446" priority="845" operator="equal">
      <formula>0</formula>
    </cfRule>
  </conditionalFormatting>
  <conditionalFormatting sqref="C98:Q98">
    <cfRule type="expression" dxfId="445" priority="842">
      <formula>LEN(TRIM(C98))=0</formula>
    </cfRule>
  </conditionalFormatting>
  <conditionalFormatting sqref="AC272:AG272">
    <cfRule type="cellIs" dxfId="444" priority="904" operator="equal">
      <formula>0</formula>
    </cfRule>
  </conditionalFormatting>
  <conditionalFormatting sqref="W57:AL57">
    <cfRule type="cellIs" dxfId="443" priority="872" operator="equal">
      <formula>0</formula>
    </cfRule>
  </conditionalFormatting>
  <conditionalFormatting sqref="AH272">
    <cfRule type="cellIs" dxfId="442" priority="909" operator="equal">
      <formula>0</formula>
    </cfRule>
  </conditionalFormatting>
  <conditionalFormatting sqref="AH67">
    <cfRule type="cellIs" dxfId="441" priority="881" operator="equal">
      <formula>0</formula>
    </cfRule>
  </conditionalFormatting>
  <conditionalFormatting sqref="W49:AL56">
    <cfRule type="expression" dxfId="440" priority="870">
      <formula>LEN(TRIM(W49))=0</formula>
    </cfRule>
  </conditionalFormatting>
  <conditionalFormatting sqref="AG31:AH31">
    <cfRule type="cellIs" dxfId="439" priority="867" operator="equal">
      <formula>0</formula>
    </cfRule>
  </conditionalFormatting>
  <conditionalFormatting sqref="R98">
    <cfRule type="cellIs" dxfId="438" priority="469" operator="equal">
      <formula>0</formula>
    </cfRule>
  </conditionalFormatting>
  <conditionalFormatting sqref="W35:AL35 W40:AK46 W27:AL33 W47:AL47 AL36:AL46 W36:AK37">
    <cfRule type="expression" dxfId="437" priority="860">
      <formula>LEN(TRIM(W27))=0</formula>
    </cfRule>
  </conditionalFormatting>
  <conditionalFormatting sqref="W38:AK39">
    <cfRule type="expression" dxfId="436" priority="865">
      <formula>LEN(TRIM(W38))=0</formula>
    </cfRule>
  </conditionalFormatting>
  <conditionalFormatting sqref="W57:AL57">
    <cfRule type="expression" dxfId="435" priority="873">
      <formula>LEN(TRIM(W57))=0</formula>
    </cfRule>
  </conditionalFormatting>
  <conditionalFormatting sqref="C76:R76 C81:Q88 R77:R88 C70:R74 C78:Q78 C68:H69 J68:R69 O77:Q77">
    <cfRule type="expression" dxfId="434" priority="829">
      <formula>LEN(TRIM(C68))=0</formula>
    </cfRule>
  </conditionalFormatting>
  <conditionalFormatting sqref="C79:Q80">
    <cfRule type="expression" dxfId="433" priority="834">
      <formula>LEN(TRIM(C79))=0</formula>
    </cfRule>
  </conditionalFormatting>
  <conditionalFormatting sqref="C90:R97">
    <cfRule type="expression" dxfId="432" priority="839">
      <formula>LEN(TRIM(C90))=0</formula>
    </cfRule>
  </conditionalFormatting>
  <conditionalFormatting sqref="R98">
    <cfRule type="expression" dxfId="431" priority="470">
      <formula>LEN(TRIM(R98))=0</formula>
    </cfRule>
  </conditionalFormatting>
  <conditionalFormatting sqref="X85:Z85 W86:Z87 AI89:AL89 W89:AB89 AA85:AB87 W81:AB84 AC81:AK85 AI71:AL73 X71:AB73 AC71:AH72 AJ68:AL70 Z68:Z70 W68:W73 W76:AL76 AJ75:AL75 W75:AH75 W88:AK88 AL77:AL88 W74:AL74 AC86:AH87 AK86:AK87 W77:AK78">
    <cfRule type="cellIs" dxfId="430" priority="438" operator="equal">
      <formula>0</formula>
    </cfRule>
  </conditionalFormatting>
  <conditionalFormatting sqref="AI68:AI73">
    <cfRule type="cellIs" dxfId="429" priority="439" operator="equal">
      <formula>0</formula>
    </cfRule>
  </conditionalFormatting>
  <conditionalFormatting sqref="W68:X73 AA68:AB73">
    <cfRule type="cellIs" dxfId="428" priority="440" operator="equal">
      <formula>0</formula>
    </cfRule>
  </conditionalFormatting>
  <conditionalFormatting sqref="Y68:Y73">
    <cfRule type="cellIs" dxfId="427" priority="441" operator="equal">
      <formula>0</formula>
    </cfRule>
  </conditionalFormatting>
  <conditionalFormatting sqref="W85">
    <cfRule type="cellIs" dxfId="426" priority="442" operator="equal">
      <formula>0</formula>
    </cfRule>
  </conditionalFormatting>
  <conditionalFormatting sqref="AC71:AC73 AC89">
    <cfRule type="cellIs" dxfId="425" priority="443" operator="equal">
      <formula>0</formula>
    </cfRule>
  </conditionalFormatting>
  <conditionalFormatting sqref="AC70:AC73 AD68:AH68">
    <cfRule type="cellIs" dxfId="424" priority="444" operator="equal">
      <formula>0</formula>
    </cfRule>
  </conditionalFormatting>
  <conditionalFormatting sqref="AD71:AD73 AD89">
    <cfRule type="cellIs" dxfId="423" priority="445" operator="equal">
      <formula>0</formula>
    </cfRule>
  </conditionalFormatting>
  <conditionalFormatting sqref="AD68:AD73">
    <cfRule type="cellIs" dxfId="422" priority="446" operator="equal">
      <formula>0</formula>
    </cfRule>
  </conditionalFormatting>
  <conditionalFormatting sqref="AE71:AE73 AE89">
    <cfRule type="cellIs" dxfId="421" priority="447" operator="equal">
      <formula>0</formula>
    </cfRule>
  </conditionalFormatting>
  <conditionalFormatting sqref="AE68:AE73">
    <cfRule type="cellIs" dxfId="420" priority="448" operator="equal">
      <formula>0</formula>
    </cfRule>
  </conditionalFormatting>
  <conditionalFormatting sqref="AF68:AF73">
    <cfRule type="cellIs" dxfId="419" priority="450" operator="equal">
      <formula>0</formula>
    </cfRule>
  </conditionalFormatting>
  <conditionalFormatting sqref="AG71:AG73 AG89">
    <cfRule type="cellIs" dxfId="418" priority="451" operator="equal">
      <formula>0</formula>
    </cfRule>
  </conditionalFormatting>
  <conditionalFormatting sqref="AG68:AG73">
    <cfRule type="cellIs" dxfId="417" priority="452" operator="equal">
      <formula>0</formula>
    </cfRule>
  </conditionalFormatting>
  <conditionalFormatting sqref="AH71:AH73 AH89">
    <cfRule type="cellIs" dxfId="416" priority="453" operator="equal">
      <formula>0</formula>
    </cfRule>
  </conditionalFormatting>
  <conditionalFormatting sqref="AE71:AE72">
    <cfRule type="cellIs" dxfId="415" priority="456" operator="equal">
      <formula>0</formula>
    </cfRule>
  </conditionalFormatting>
  <conditionalFormatting sqref="AF71:AF72">
    <cfRule type="cellIs" dxfId="414" priority="457" operator="equal">
      <formula>0</formula>
    </cfRule>
  </conditionalFormatting>
  <conditionalFormatting sqref="W79:AK80">
    <cfRule type="cellIs" dxfId="413" priority="458" operator="equal">
      <formula>0</formula>
    </cfRule>
  </conditionalFormatting>
  <conditionalFormatting sqref="AG71:AH71">
    <cfRule type="cellIs" dxfId="412" priority="461" operator="equal">
      <formula>0</formula>
    </cfRule>
  </conditionalFormatting>
  <conditionalFormatting sqref="AH68:AH73">
    <cfRule type="cellIs" dxfId="411" priority="454" operator="equal">
      <formula>0</formula>
    </cfRule>
  </conditionalFormatting>
  <conditionalFormatting sqref="AI79:AI80">
    <cfRule type="cellIs" dxfId="410" priority="459" operator="equal">
      <formula>0</formula>
    </cfRule>
  </conditionalFormatting>
  <conditionalFormatting sqref="AG72:AH72">
    <cfRule type="cellIs" dxfId="409" priority="462" operator="equal">
      <formula>0</formula>
    </cfRule>
  </conditionalFormatting>
  <conditionalFormatting sqref="AL90:AL97 W90:AK96">
    <cfRule type="cellIs" dxfId="408" priority="463" operator="equal">
      <formula>0</formula>
    </cfRule>
  </conditionalFormatting>
  <conditionalFormatting sqref="W97:AK97">
    <cfRule type="cellIs" dxfId="407" priority="464" operator="equal">
      <formula>0</formula>
    </cfRule>
  </conditionalFormatting>
  <conditionalFormatting sqref="W97:AK97">
    <cfRule type="cellIs" dxfId="406" priority="466" operator="equal">
      <formula>0</formula>
    </cfRule>
  </conditionalFormatting>
  <conditionalFormatting sqref="W98:AK98">
    <cfRule type="cellIs" dxfId="405" priority="467" operator="equal">
      <formula>0</formula>
    </cfRule>
  </conditionalFormatting>
  <conditionalFormatting sqref="AF71:AF73 AF89">
    <cfRule type="cellIs" dxfId="404" priority="449" operator="equal">
      <formula>0</formula>
    </cfRule>
  </conditionalFormatting>
  <conditionalFormatting sqref="W98:AK98">
    <cfRule type="expression" dxfId="403" priority="468">
      <formula>LEN(TRIM(W98))=0</formula>
    </cfRule>
  </conditionalFormatting>
  <conditionalFormatting sqref="AL98">
    <cfRule type="cellIs" dxfId="402" priority="436" operator="equal">
      <formula>0</formula>
    </cfRule>
  </conditionalFormatting>
  <conditionalFormatting sqref="W76:AL76 W81:AK85 AL77:AL88 W70:AL74 W88:AK88 W86:AH87 AK86:AK87 W77:AK78 W68:AB69 AD68:AL69">
    <cfRule type="expression" dxfId="401" priority="455">
      <formula>LEN(TRIM(W68))=0</formula>
    </cfRule>
  </conditionalFormatting>
  <conditionalFormatting sqref="W79:AK80">
    <cfRule type="expression" dxfId="400" priority="460">
      <formula>LEN(TRIM(W79))=0</formula>
    </cfRule>
  </conditionalFormatting>
  <conditionalFormatting sqref="W90:AL97">
    <cfRule type="expression" dxfId="399" priority="465">
      <formula>LEN(TRIM(W90))=0</formula>
    </cfRule>
  </conditionalFormatting>
  <conditionalFormatting sqref="AL98">
    <cfRule type="expression" dxfId="398" priority="437">
      <formula>LEN(TRIM(AL98))=0</formula>
    </cfRule>
  </conditionalFormatting>
  <conditionalFormatting sqref="D126:F126 C127:F128 O130:R130 C130:H130 G126:H128 C122:H125 I122:Q126 O112:R114 D112:H114 I112:N113 P109:R111 F109:F111 C109:C114 C117:R117 P116:R116 C116:N116 C129:Q129 R118:R129 C115:R115 I127:N128 Q127:Q128 C119:Q119 O118:Q118">
    <cfRule type="cellIs" dxfId="397" priority="372" operator="equal">
      <formula>0</formula>
    </cfRule>
  </conditionalFormatting>
  <conditionalFormatting sqref="O109:O114">
    <cfRule type="cellIs" dxfId="396" priority="373" operator="equal">
      <formula>0</formula>
    </cfRule>
  </conditionalFormatting>
  <conditionalFormatting sqref="C109:D114 G109:H114">
    <cfRule type="cellIs" dxfId="395" priority="374" operator="equal">
      <formula>0</formula>
    </cfRule>
  </conditionalFormatting>
  <conditionalFormatting sqref="E109:E114">
    <cfRule type="cellIs" dxfId="394" priority="375" operator="equal">
      <formula>0</formula>
    </cfRule>
  </conditionalFormatting>
  <conditionalFormatting sqref="C126">
    <cfRule type="cellIs" dxfId="393" priority="376" operator="equal">
      <formula>0</formula>
    </cfRule>
  </conditionalFormatting>
  <conditionalFormatting sqref="I112:I114 I130">
    <cfRule type="cellIs" dxfId="392" priority="377" operator="equal">
      <formula>0</formula>
    </cfRule>
  </conditionalFormatting>
  <conditionalFormatting sqref="I111:I114 J109:N109">
    <cfRule type="cellIs" dxfId="391" priority="378" operator="equal">
      <formula>0</formula>
    </cfRule>
  </conditionalFormatting>
  <conditionalFormatting sqref="J112:J114 J130">
    <cfRule type="cellIs" dxfId="390" priority="379" operator="equal">
      <formula>0</formula>
    </cfRule>
  </conditionalFormatting>
  <conditionalFormatting sqref="J109:J114">
    <cfRule type="cellIs" dxfId="389" priority="380" operator="equal">
      <formula>0</formula>
    </cfRule>
  </conditionalFormatting>
  <conditionalFormatting sqref="K112:K114 K130">
    <cfRule type="cellIs" dxfId="388" priority="381" operator="equal">
      <formula>0</formula>
    </cfRule>
  </conditionalFormatting>
  <conditionalFormatting sqref="K109:K114">
    <cfRule type="cellIs" dxfId="387" priority="382" operator="equal">
      <formula>0</formula>
    </cfRule>
  </conditionalFormatting>
  <conditionalFormatting sqref="L109:L114">
    <cfRule type="cellIs" dxfId="386" priority="384" operator="equal">
      <formula>0</formula>
    </cfRule>
  </conditionalFormatting>
  <conditionalFormatting sqref="M112:M114 M130">
    <cfRule type="cellIs" dxfId="385" priority="385" operator="equal">
      <formula>0</formula>
    </cfRule>
  </conditionalFormatting>
  <conditionalFormatting sqref="M109:M114">
    <cfRule type="cellIs" dxfId="384" priority="386" operator="equal">
      <formula>0</formula>
    </cfRule>
  </conditionalFormatting>
  <conditionalFormatting sqref="N112:N114 N130">
    <cfRule type="cellIs" dxfId="383" priority="387" operator="equal">
      <formula>0</formula>
    </cfRule>
  </conditionalFormatting>
  <conditionalFormatting sqref="K112:K113">
    <cfRule type="cellIs" dxfId="382" priority="390" operator="equal">
      <formula>0</formula>
    </cfRule>
  </conditionalFormatting>
  <conditionalFormatting sqref="L112:L113">
    <cfRule type="cellIs" dxfId="381" priority="391" operator="equal">
      <formula>0</formula>
    </cfRule>
  </conditionalFormatting>
  <conditionalFormatting sqref="C120:Q121">
    <cfRule type="cellIs" dxfId="380" priority="392" operator="equal">
      <formula>0</formula>
    </cfRule>
  </conditionalFormatting>
  <conditionalFormatting sqref="M112:N112">
    <cfRule type="cellIs" dxfId="379" priority="395" operator="equal">
      <formula>0</formula>
    </cfRule>
  </conditionalFormatting>
  <conditionalFormatting sqref="N109:N114">
    <cfRule type="cellIs" dxfId="378" priority="388" operator="equal">
      <formula>0</formula>
    </cfRule>
  </conditionalFormatting>
  <conditionalFormatting sqref="O120:O121">
    <cfRule type="cellIs" dxfId="377" priority="393" operator="equal">
      <formula>0</formula>
    </cfRule>
  </conditionalFormatting>
  <conditionalFormatting sqref="M113:N113">
    <cfRule type="cellIs" dxfId="376" priority="396" operator="equal">
      <formula>0</formula>
    </cfRule>
  </conditionalFormatting>
  <conditionalFormatting sqref="R131:R138 C131:Q137">
    <cfRule type="cellIs" dxfId="375" priority="397" operator="equal">
      <formula>0</formula>
    </cfRule>
  </conditionalFormatting>
  <conditionalFormatting sqref="C138:Q138">
    <cfRule type="cellIs" dxfId="374" priority="398" operator="equal">
      <formula>0</formula>
    </cfRule>
  </conditionalFormatting>
  <conditionalFormatting sqref="C138:Q138">
    <cfRule type="cellIs" dxfId="373" priority="400" operator="equal">
      <formula>0</formula>
    </cfRule>
  </conditionalFormatting>
  <conditionalFormatting sqref="C139:Q139">
    <cfRule type="cellIs" dxfId="372" priority="401" operator="equal">
      <formula>0</formula>
    </cfRule>
  </conditionalFormatting>
  <conditionalFormatting sqref="L112:L114 L130">
    <cfRule type="cellIs" dxfId="371" priority="383" operator="equal">
      <formula>0</formula>
    </cfRule>
  </conditionalFormatting>
  <conditionalFormatting sqref="C139:Q139">
    <cfRule type="expression" dxfId="370" priority="402">
      <formula>LEN(TRIM(C139))=0</formula>
    </cfRule>
  </conditionalFormatting>
  <conditionalFormatting sqref="R139">
    <cfRule type="cellIs" dxfId="369" priority="370" operator="equal">
      <formula>0</formula>
    </cfRule>
  </conditionalFormatting>
  <conditionalFormatting sqref="C117:R117 C122:Q126 R118:R129 C111:R115 C129:Q129 C127:N128 Q127:Q128 C119:Q119 C109:H110 J109:R110 O118:Q118">
    <cfRule type="expression" dxfId="368" priority="389">
      <formula>LEN(TRIM(C109))=0</formula>
    </cfRule>
  </conditionalFormatting>
  <conditionalFormatting sqref="C120:Q121">
    <cfRule type="expression" dxfId="367" priority="394">
      <formula>LEN(TRIM(C120))=0</formula>
    </cfRule>
  </conditionalFormatting>
  <conditionalFormatting sqref="C131:R138">
    <cfRule type="expression" dxfId="366" priority="399">
      <formula>LEN(TRIM(C131))=0</formula>
    </cfRule>
  </conditionalFormatting>
  <conditionalFormatting sqref="R139">
    <cfRule type="expression" dxfId="365" priority="371">
      <formula>LEN(TRIM(R139))=0</formula>
    </cfRule>
  </conditionalFormatting>
  <conditionalFormatting sqref="O127:P128">
    <cfRule type="cellIs" dxfId="364" priority="368" operator="equal">
      <formula>0</formula>
    </cfRule>
  </conditionalFormatting>
  <conditionalFormatting sqref="O127:P128">
    <cfRule type="expression" dxfId="363" priority="369">
      <formula>LEN(TRIM(O127))=0</formula>
    </cfRule>
  </conditionalFormatting>
  <conditionalFormatting sqref="D167:F167 C168:F169 O171:R171 C171:H171 G167:H169 C163:H166 I163:Q167 O153:R155 D153:H155 I153:N154 P150:R152 F150:F152 C150:C155 C158:R158 P157:R157 C157:N157 C170:Q170 R159:R170 C156:R156 I168:N169 Q168:Q169 C160:Q160 O159:Q159">
    <cfRule type="cellIs" dxfId="362" priority="337" operator="equal">
      <formula>0</formula>
    </cfRule>
  </conditionalFormatting>
  <conditionalFormatting sqref="O150:O155">
    <cfRule type="cellIs" dxfId="361" priority="338" operator="equal">
      <formula>0</formula>
    </cfRule>
  </conditionalFormatting>
  <conditionalFormatting sqref="C150:D155 G150:H155">
    <cfRule type="cellIs" dxfId="360" priority="339" operator="equal">
      <formula>0</formula>
    </cfRule>
  </conditionalFormatting>
  <conditionalFormatting sqref="E150:E155">
    <cfRule type="cellIs" dxfId="359" priority="340" operator="equal">
      <formula>0</formula>
    </cfRule>
  </conditionalFormatting>
  <conditionalFormatting sqref="C167">
    <cfRule type="cellIs" dxfId="358" priority="341" operator="equal">
      <formula>0</formula>
    </cfRule>
  </conditionalFormatting>
  <conditionalFormatting sqref="I153:I155 I171">
    <cfRule type="cellIs" dxfId="357" priority="342" operator="equal">
      <formula>0</formula>
    </cfRule>
  </conditionalFormatting>
  <conditionalFormatting sqref="I152:I155 J150:N150">
    <cfRule type="cellIs" dxfId="356" priority="343" operator="equal">
      <formula>0</formula>
    </cfRule>
  </conditionalFormatting>
  <conditionalFormatting sqref="J153:J155 J171">
    <cfRule type="cellIs" dxfId="355" priority="344" operator="equal">
      <formula>0</formula>
    </cfRule>
  </conditionalFormatting>
  <conditionalFormatting sqref="J150:J155">
    <cfRule type="cellIs" dxfId="354" priority="345" operator="equal">
      <formula>0</formula>
    </cfRule>
  </conditionalFormatting>
  <conditionalFormatting sqref="K153:K155 K171">
    <cfRule type="cellIs" dxfId="353" priority="346" operator="equal">
      <formula>0</formula>
    </cfRule>
  </conditionalFormatting>
  <conditionalFormatting sqref="K150:K155">
    <cfRule type="cellIs" dxfId="352" priority="347" operator="equal">
      <formula>0</formula>
    </cfRule>
  </conditionalFormatting>
  <conditionalFormatting sqref="L150:L155">
    <cfRule type="cellIs" dxfId="351" priority="349" operator="equal">
      <formula>0</formula>
    </cfRule>
  </conditionalFormatting>
  <conditionalFormatting sqref="M153:M155 M171">
    <cfRule type="cellIs" dxfId="350" priority="350" operator="equal">
      <formula>0</formula>
    </cfRule>
  </conditionalFormatting>
  <conditionalFormatting sqref="M150:M155">
    <cfRule type="cellIs" dxfId="349" priority="351" operator="equal">
      <formula>0</formula>
    </cfRule>
  </conditionalFormatting>
  <conditionalFormatting sqref="N153:N155 N171">
    <cfRule type="cellIs" dxfId="348" priority="352" operator="equal">
      <formula>0</formula>
    </cfRule>
  </conditionalFormatting>
  <conditionalFormatting sqref="K153:K154">
    <cfRule type="cellIs" dxfId="347" priority="355" operator="equal">
      <formula>0</formula>
    </cfRule>
  </conditionalFormatting>
  <conditionalFormatting sqref="L153:L154">
    <cfRule type="cellIs" dxfId="346" priority="356" operator="equal">
      <formula>0</formula>
    </cfRule>
  </conditionalFormatting>
  <conditionalFormatting sqref="C161:Q162">
    <cfRule type="cellIs" dxfId="345" priority="357" operator="equal">
      <formula>0</formula>
    </cfRule>
  </conditionalFormatting>
  <conditionalFormatting sqref="M153:N153">
    <cfRule type="cellIs" dxfId="344" priority="360" operator="equal">
      <formula>0</formula>
    </cfRule>
  </conditionalFormatting>
  <conditionalFormatting sqref="N150:N155">
    <cfRule type="cellIs" dxfId="343" priority="353" operator="equal">
      <formula>0</formula>
    </cfRule>
  </conditionalFormatting>
  <conditionalFormatting sqref="O161:O162">
    <cfRule type="cellIs" dxfId="342" priority="358" operator="equal">
      <formula>0</formula>
    </cfRule>
  </conditionalFormatting>
  <conditionalFormatting sqref="M154:N154">
    <cfRule type="cellIs" dxfId="341" priority="361" operator="equal">
      <formula>0</formula>
    </cfRule>
  </conditionalFormatting>
  <conditionalFormatting sqref="R172:R179 C172:Q178">
    <cfRule type="cellIs" dxfId="340" priority="362" operator="equal">
      <formula>0</formula>
    </cfRule>
  </conditionalFormatting>
  <conditionalFormatting sqref="C179:Q179">
    <cfRule type="cellIs" dxfId="339" priority="363" operator="equal">
      <formula>0</formula>
    </cfRule>
  </conditionalFormatting>
  <conditionalFormatting sqref="C179:Q179">
    <cfRule type="cellIs" dxfId="338" priority="365" operator="equal">
      <formula>0</formula>
    </cfRule>
  </conditionalFormatting>
  <conditionalFormatting sqref="C180:Q180">
    <cfRule type="cellIs" dxfId="337" priority="366" operator="equal">
      <formula>0</formula>
    </cfRule>
  </conditionalFormatting>
  <conditionalFormatting sqref="L153:L155 L171">
    <cfRule type="cellIs" dxfId="336" priority="348" operator="equal">
      <formula>0</formula>
    </cfRule>
  </conditionalFormatting>
  <conditionalFormatting sqref="C180:Q180">
    <cfRule type="expression" dxfId="335" priority="367">
      <formula>LEN(TRIM(C180))=0</formula>
    </cfRule>
  </conditionalFormatting>
  <conditionalFormatting sqref="R180">
    <cfRule type="cellIs" dxfId="334" priority="335" operator="equal">
      <formula>0</formula>
    </cfRule>
  </conditionalFormatting>
  <conditionalFormatting sqref="C158:R158 C163:Q167 R159:R170 C152:R156 C170:Q170 C168:N169 Q168:Q169 C160:Q160 C150:H151 J150:R151 O159:Q159">
    <cfRule type="expression" dxfId="333" priority="354">
      <formula>LEN(TRIM(C150))=0</formula>
    </cfRule>
  </conditionalFormatting>
  <conditionalFormatting sqref="C161:Q162">
    <cfRule type="expression" dxfId="332" priority="359">
      <formula>LEN(TRIM(C161))=0</formula>
    </cfRule>
  </conditionalFormatting>
  <conditionalFormatting sqref="C172:R179">
    <cfRule type="expression" dxfId="331" priority="364">
      <formula>LEN(TRIM(C172))=0</formula>
    </cfRule>
  </conditionalFormatting>
  <conditionalFormatting sqref="R180">
    <cfRule type="expression" dxfId="330" priority="336">
      <formula>LEN(TRIM(R180))=0</formula>
    </cfRule>
  </conditionalFormatting>
  <conditionalFormatting sqref="O168:P169">
    <cfRule type="cellIs" dxfId="329" priority="333" operator="equal">
      <formula>0</formula>
    </cfRule>
  </conditionalFormatting>
  <conditionalFormatting sqref="O168:P169">
    <cfRule type="expression" dxfId="328" priority="334">
      <formula>LEN(TRIM(O168))=0</formula>
    </cfRule>
  </conditionalFormatting>
  <conditionalFormatting sqref="D208:F208 C209:F210 O212:R212 C212:H212 G208:H210 C204:H207 I204:Q208 O194:R196 D194:H196 I194:N195 P191:R193 F191:F193 C191:C196 C199:R199 P198:R198 C198:N198 C211:Q211 R200:R211 C197:R197 I209:N210 Q209:Q210 C201:Q201 O200:Q200">
    <cfRule type="cellIs" dxfId="327" priority="302" operator="equal">
      <formula>0</formula>
    </cfRule>
  </conditionalFormatting>
  <conditionalFormatting sqref="O191:O196">
    <cfRule type="cellIs" dxfId="326" priority="303" operator="equal">
      <formula>0</formula>
    </cfRule>
  </conditionalFormatting>
  <conditionalFormatting sqref="C191:D196 G191:H196">
    <cfRule type="cellIs" dxfId="325" priority="304" operator="equal">
      <formula>0</formula>
    </cfRule>
  </conditionalFormatting>
  <conditionalFormatting sqref="E191:E196">
    <cfRule type="cellIs" dxfId="324" priority="305" operator="equal">
      <formula>0</formula>
    </cfRule>
  </conditionalFormatting>
  <conditionalFormatting sqref="C208">
    <cfRule type="cellIs" dxfId="323" priority="306" operator="equal">
      <formula>0</formula>
    </cfRule>
  </conditionalFormatting>
  <conditionalFormatting sqref="I194:I196 I212">
    <cfRule type="cellIs" dxfId="322" priority="307" operator="equal">
      <formula>0</formula>
    </cfRule>
  </conditionalFormatting>
  <conditionalFormatting sqref="I193:I196 J191:N191">
    <cfRule type="cellIs" dxfId="321" priority="308" operator="equal">
      <formula>0</formula>
    </cfRule>
  </conditionalFormatting>
  <conditionalFormatting sqref="J194:J196 J212">
    <cfRule type="cellIs" dxfId="320" priority="309" operator="equal">
      <formula>0</formula>
    </cfRule>
  </conditionalFormatting>
  <conditionalFormatting sqref="J191:J196">
    <cfRule type="cellIs" dxfId="319" priority="310" operator="equal">
      <formula>0</formula>
    </cfRule>
  </conditionalFormatting>
  <conditionalFormatting sqref="K194:K196 K212">
    <cfRule type="cellIs" dxfId="318" priority="311" operator="equal">
      <formula>0</formula>
    </cfRule>
  </conditionalFormatting>
  <conditionalFormatting sqref="K191:K196">
    <cfRule type="cellIs" dxfId="317" priority="312" operator="equal">
      <formula>0</formula>
    </cfRule>
  </conditionalFormatting>
  <conditionalFormatting sqref="L191:L196">
    <cfRule type="cellIs" dxfId="316" priority="314" operator="equal">
      <formula>0</formula>
    </cfRule>
  </conditionalFormatting>
  <conditionalFormatting sqref="M194:M196 M212">
    <cfRule type="cellIs" dxfId="315" priority="315" operator="equal">
      <formula>0</formula>
    </cfRule>
  </conditionalFormatting>
  <conditionalFormatting sqref="M191:M196">
    <cfRule type="cellIs" dxfId="314" priority="316" operator="equal">
      <formula>0</formula>
    </cfRule>
  </conditionalFormatting>
  <conditionalFormatting sqref="N194:N196 N212">
    <cfRule type="cellIs" dxfId="313" priority="317" operator="equal">
      <formula>0</formula>
    </cfRule>
  </conditionalFormatting>
  <conditionalFormatting sqref="K194:K195">
    <cfRule type="cellIs" dxfId="312" priority="320" operator="equal">
      <formula>0</formula>
    </cfRule>
  </conditionalFormatting>
  <conditionalFormatting sqref="L194:L195">
    <cfRule type="cellIs" dxfId="311" priority="321" operator="equal">
      <formula>0</formula>
    </cfRule>
  </conditionalFormatting>
  <conditionalFormatting sqref="C202:Q203">
    <cfRule type="cellIs" dxfId="310" priority="322" operator="equal">
      <formula>0</formula>
    </cfRule>
  </conditionalFormatting>
  <conditionalFormatting sqref="M194:N194">
    <cfRule type="cellIs" dxfId="309" priority="325" operator="equal">
      <formula>0</formula>
    </cfRule>
  </conditionalFormatting>
  <conditionalFormatting sqref="N191:N196">
    <cfRule type="cellIs" dxfId="308" priority="318" operator="equal">
      <formula>0</formula>
    </cfRule>
  </conditionalFormatting>
  <conditionalFormatting sqref="O202:O203">
    <cfRule type="cellIs" dxfId="307" priority="323" operator="equal">
      <formula>0</formula>
    </cfRule>
  </conditionalFormatting>
  <conditionalFormatting sqref="M195:N195">
    <cfRule type="cellIs" dxfId="306" priority="326" operator="equal">
      <formula>0</formula>
    </cfRule>
  </conditionalFormatting>
  <conditionalFormatting sqref="R213:R220 C213:Q219">
    <cfRule type="cellIs" dxfId="305" priority="327" operator="equal">
      <formula>0</formula>
    </cfRule>
  </conditionalFormatting>
  <conditionalFormatting sqref="C220:Q220">
    <cfRule type="cellIs" dxfId="304" priority="328" operator="equal">
      <formula>0</formula>
    </cfRule>
  </conditionalFormatting>
  <conditionalFormatting sqref="C220:Q220">
    <cfRule type="cellIs" dxfId="303" priority="330" operator="equal">
      <formula>0</formula>
    </cfRule>
  </conditionalFormatting>
  <conditionalFormatting sqref="C221:Q221">
    <cfRule type="cellIs" dxfId="302" priority="331" operator="equal">
      <formula>0</formula>
    </cfRule>
  </conditionalFormatting>
  <conditionalFormatting sqref="L194:L196 L212">
    <cfRule type="cellIs" dxfId="301" priority="313" operator="equal">
      <formula>0</formula>
    </cfRule>
  </conditionalFormatting>
  <conditionalFormatting sqref="C221:Q221">
    <cfRule type="expression" dxfId="300" priority="332">
      <formula>LEN(TRIM(C221))=0</formula>
    </cfRule>
  </conditionalFormatting>
  <conditionalFormatting sqref="R221">
    <cfRule type="cellIs" dxfId="299" priority="300" operator="equal">
      <formula>0</formula>
    </cfRule>
  </conditionalFormatting>
  <conditionalFormatting sqref="C199:R199 C204:Q208 R200:R211 C193:R197 C211:Q211 C209:N210 Q209:Q210 C201:Q201 C191:H192 J191:R192 O200:Q200">
    <cfRule type="expression" dxfId="298" priority="319">
      <formula>LEN(TRIM(C191))=0</formula>
    </cfRule>
  </conditionalFormatting>
  <conditionalFormatting sqref="C202:Q203">
    <cfRule type="expression" dxfId="297" priority="324">
      <formula>LEN(TRIM(C202))=0</formula>
    </cfRule>
  </conditionalFormatting>
  <conditionalFormatting sqref="C213:R220">
    <cfRule type="expression" dxfId="296" priority="329">
      <formula>LEN(TRIM(C213))=0</formula>
    </cfRule>
  </conditionalFormatting>
  <conditionalFormatting sqref="R221">
    <cfRule type="expression" dxfId="295" priority="301">
      <formula>LEN(TRIM(R221))=0</formula>
    </cfRule>
  </conditionalFormatting>
  <conditionalFormatting sqref="O209:P210">
    <cfRule type="cellIs" dxfId="294" priority="298" operator="equal">
      <formula>0</formula>
    </cfRule>
  </conditionalFormatting>
  <conditionalFormatting sqref="O209:P210">
    <cfRule type="expression" dxfId="293" priority="299">
      <formula>LEN(TRIM(O209))=0</formula>
    </cfRule>
  </conditionalFormatting>
  <conditionalFormatting sqref="D249:F249 C250:F251 O253:R253 C253:H253 G249:H251 C245:H248 I245:Q249 O235:R237 D235:H237 I235:N236 P232:R234 F232:F234 C232:C237 C240:R240 P239:R239 C239:N239 C252:Q252 R241:R252 C238:R238 I250:N251 Q250:Q251 C242:Q242 O241:Q241">
    <cfRule type="cellIs" dxfId="292" priority="267" operator="equal">
      <formula>0</formula>
    </cfRule>
  </conditionalFormatting>
  <conditionalFormatting sqref="O232:O237">
    <cfRule type="cellIs" dxfId="291" priority="268" operator="equal">
      <formula>0</formula>
    </cfRule>
  </conditionalFormatting>
  <conditionalFormatting sqref="C232:D237 G232:H237">
    <cfRule type="cellIs" dxfId="290" priority="269" operator="equal">
      <formula>0</formula>
    </cfRule>
  </conditionalFormatting>
  <conditionalFormatting sqref="E232:E237">
    <cfRule type="cellIs" dxfId="289" priority="270" operator="equal">
      <formula>0</formula>
    </cfRule>
  </conditionalFormatting>
  <conditionalFormatting sqref="C249">
    <cfRule type="cellIs" dxfId="288" priority="271" operator="equal">
      <formula>0</formula>
    </cfRule>
  </conditionalFormatting>
  <conditionalFormatting sqref="I235:I237 I253">
    <cfRule type="cellIs" dxfId="287" priority="272" operator="equal">
      <formula>0</formula>
    </cfRule>
  </conditionalFormatting>
  <conditionalFormatting sqref="I234:I237 J232:N232">
    <cfRule type="cellIs" dxfId="286" priority="273" operator="equal">
      <formula>0</formula>
    </cfRule>
  </conditionalFormatting>
  <conditionalFormatting sqref="J235:J237 J253">
    <cfRule type="cellIs" dxfId="285" priority="274" operator="equal">
      <formula>0</formula>
    </cfRule>
  </conditionalFormatting>
  <conditionalFormatting sqref="J232:J237">
    <cfRule type="cellIs" dxfId="284" priority="275" operator="equal">
      <formula>0</formula>
    </cfRule>
  </conditionalFormatting>
  <conditionalFormatting sqref="K235:K237 K253">
    <cfRule type="cellIs" dxfId="283" priority="276" operator="equal">
      <formula>0</formula>
    </cfRule>
  </conditionalFormatting>
  <conditionalFormatting sqref="K232:K237">
    <cfRule type="cellIs" dxfId="282" priority="277" operator="equal">
      <formula>0</formula>
    </cfRule>
  </conditionalFormatting>
  <conditionalFormatting sqref="L232:L237">
    <cfRule type="cellIs" dxfId="281" priority="279" operator="equal">
      <formula>0</formula>
    </cfRule>
  </conditionalFormatting>
  <conditionalFormatting sqref="M235:M237 M253">
    <cfRule type="cellIs" dxfId="280" priority="280" operator="equal">
      <formula>0</formula>
    </cfRule>
  </conditionalFormatting>
  <conditionalFormatting sqref="M232:M237">
    <cfRule type="cellIs" dxfId="279" priority="281" operator="equal">
      <formula>0</formula>
    </cfRule>
  </conditionalFormatting>
  <conditionalFormatting sqref="N235:N237 N253">
    <cfRule type="cellIs" dxfId="278" priority="282" operator="equal">
      <formula>0</formula>
    </cfRule>
  </conditionalFormatting>
  <conditionalFormatting sqref="K235:K236">
    <cfRule type="cellIs" dxfId="277" priority="285" operator="equal">
      <formula>0</formula>
    </cfRule>
  </conditionalFormatting>
  <conditionalFormatting sqref="L235:L236">
    <cfRule type="cellIs" dxfId="276" priority="286" operator="equal">
      <formula>0</formula>
    </cfRule>
  </conditionalFormatting>
  <conditionalFormatting sqref="C243:Q244">
    <cfRule type="cellIs" dxfId="275" priority="287" operator="equal">
      <formula>0</formula>
    </cfRule>
  </conditionalFormatting>
  <conditionalFormatting sqref="M235:N235">
    <cfRule type="cellIs" dxfId="274" priority="290" operator="equal">
      <formula>0</formula>
    </cfRule>
  </conditionalFormatting>
  <conditionalFormatting sqref="N232:N237">
    <cfRule type="cellIs" dxfId="273" priority="283" operator="equal">
      <formula>0</formula>
    </cfRule>
  </conditionalFormatting>
  <conditionalFormatting sqref="O243:O244">
    <cfRule type="cellIs" dxfId="272" priority="288" operator="equal">
      <formula>0</formula>
    </cfRule>
  </conditionalFormatting>
  <conditionalFormatting sqref="M236:N236">
    <cfRule type="cellIs" dxfId="271" priority="291" operator="equal">
      <formula>0</formula>
    </cfRule>
  </conditionalFormatting>
  <conditionalFormatting sqref="R254:R261 C254:Q260">
    <cfRule type="cellIs" dxfId="270" priority="292" operator="equal">
      <formula>0</formula>
    </cfRule>
  </conditionalFormatting>
  <conditionalFormatting sqref="C261:Q261">
    <cfRule type="cellIs" dxfId="269" priority="293" operator="equal">
      <formula>0</formula>
    </cfRule>
  </conditionalFormatting>
  <conditionalFormatting sqref="C261:Q261">
    <cfRule type="cellIs" dxfId="268" priority="295" operator="equal">
      <formula>0</formula>
    </cfRule>
  </conditionalFormatting>
  <conditionalFormatting sqref="C262:Q262">
    <cfRule type="cellIs" dxfId="267" priority="296" operator="equal">
      <formula>0</formula>
    </cfRule>
  </conditionalFormatting>
  <conditionalFormatting sqref="L235:L237 L253">
    <cfRule type="cellIs" dxfId="266" priority="278" operator="equal">
      <formula>0</formula>
    </cfRule>
  </conditionalFormatting>
  <conditionalFormatting sqref="C262:Q262">
    <cfRule type="expression" dxfId="265" priority="297">
      <formula>LEN(TRIM(C262))=0</formula>
    </cfRule>
  </conditionalFormatting>
  <conditionalFormatting sqref="R262">
    <cfRule type="cellIs" dxfId="264" priority="265" operator="equal">
      <formula>0</formula>
    </cfRule>
  </conditionalFormatting>
  <conditionalFormatting sqref="C240:R240 C245:Q249 R241:R252 C234:R238 C252:Q252 C250:N251 Q250:Q251 C242:Q242 C232:H233 J232:R233 O241:Q241">
    <cfRule type="expression" dxfId="263" priority="284">
      <formula>LEN(TRIM(C232))=0</formula>
    </cfRule>
  </conditionalFormatting>
  <conditionalFormatting sqref="C243:Q244">
    <cfRule type="expression" dxfId="262" priority="289">
      <formula>LEN(TRIM(C243))=0</formula>
    </cfRule>
  </conditionalFormatting>
  <conditionalFormatting sqref="C254:R261">
    <cfRule type="expression" dxfId="261" priority="294">
      <formula>LEN(TRIM(C254))=0</formula>
    </cfRule>
  </conditionalFormatting>
  <conditionalFormatting sqref="R262">
    <cfRule type="expression" dxfId="260" priority="266">
      <formula>LEN(TRIM(R262))=0</formula>
    </cfRule>
  </conditionalFormatting>
  <conditionalFormatting sqref="O250:P251">
    <cfRule type="cellIs" dxfId="259" priority="263" operator="equal">
      <formula>0</formula>
    </cfRule>
  </conditionalFormatting>
  <conditionalFormatting sqref="O250:P251">
    <cfRule type="expression" dxfId="258" priority="264">
      <formula>LEN(TRIM(O250))=0</formula>
    </cfRule>
  </conditionalFormatting>
  <conditionalFormatting sqref="D290:F290 C291:F292 O294:R294 C294:H294 G290:H292 C286:H289 I286:Q290 O276:R278 D276:H278 I276:N277 P273:R275 F273:F275 C273:C278 C281:R281 P280:R280 C280:N280 C293:Q293 R282:R293 C279:R279 I291:N292 Q291:Q292 C283:Q283 O282:Q282">
    <cfRule type="cellIs" dxfId="257" priority="232" operator="equal">
      <formula>0</formula>
    </cfRule>
  </conditionalFormatting>
  <conditionalFormatting sqref="O273:O278">
    <cfRule type="cellIs" dxfId="256" priority="233" operator="equal">
      <formula>0</formula>
    </cfRule>
  </conditionalFormatting>
  <conditionalFormatting sqref="C273:D278 G273:H278">
    <cfRule type="cellIs" dxfId="255" priority="234" operator="equal">
      <formula>0</formula>
    </cfRule>
  </conditionalFormatting>
  <conditionalFormatting sqref="E273:E278">
    <cfRule type="cellIs" dxfId="254" priority="235" operator="equal">
      <formula>0</formula>
    </cfRule>
  </conditionalFormatting>
  <conditionalFormatting sqref="C290">
    <cfRule type="cellIs" dxfId="253" priority="236" operator="equal">
      <formula>0</formula>
    </cfRule>
  </conditionalFormatting>
  <conditionalFormatting sqref="I276:I278 I294">
    <cfRule type="cellIs" dxfId="252" priority="237" operator="equal">
      <formula>0</formula>
    </cfRule>
  </conditionalFormatting>
  <conditionalFormatting sqref="I275:I278 J273:N273">
    <cfRule type="cellIs" dxfId="251" priority="238" operator="equal">
      <formula>0</formula>
    </cfRule>
  </conditionalFormatting>
  <conditionalFormatting sqref="J276:J278 J294">
    <cfRule type="cellIs" dxfId="250" priority="239" operator="equal">
      <formula>0</formula>
    </cfRule>
  </conditionalFormatting>
  <conditionalFormatting sqref="J273:J278">
    <cfRule type="cellIs" dxfId="249" priority="240" operator="equal">
      <formula>0</formula>
    </cfRule>
  </conditionalFormatting>
  <conditionalFormatting sqref="K276:K278 K294">
    <cfRule type="cellIs" dxfId="248" priority="241" operator="equal">
      <formula>0</formula>
    </cfRule>
  </conditionalFormatting>
  <conditionalFormatting sqref="K273:K278">
    <cfRule type="cellIs" dxfId="247" priority="242" operator="equal">
      <formula>0</formula>
    </cfRule>
  </conditionalFormatting>
  <conditionalFormatting sqref="L273:L278">
    <cfRule type="cellIs" dxfId="246" priority="244" operator="equal">
      <formula>0</formula>
    </cfRule>
  </conditionalFormatting>
  <conditionalFormatting sqref="M276:M278 M294">
    <cfRule type="cellIs" dxfId="245" priority="245" operator="equal">
      <formula>0</formula>
    </cfRule>
  </conditionalFormatting>
  <conditionalFormatting sqref="M273:M278">
    <cfRule type="cellIs" dxfId="244" priority="246" operator="equal">
      <formula>0</formula>
    </cfRule>
  </conditionalFormatting>
  <conditionalFormatting sqref="N276:N278 N294">
    <cfRule type="cellIs" dxfId="243" priority="247" operator="equal">
      <formula>0</formula>
    </cfRule>
  </conditionalFormatting>
  <conditionalFormatting sqref="K276:K277">
    <cfRule type="cellIs" dxfId="242" priority="250" operator="equal">
      <formula>0</formula>
    </cfRule>
  </conditionalFormatting>
  <conditionalFormatting sqref="L276:L277">
    <cfRule type="cellIs" dxfId="241" priority="251" operator="equal">
      <formula>0</formula>
    </cfRule>
  </conditionalFormatting>
  <conditionalFormatting sqref="C284:Q285">
    <cfRule type="cellIs" dxfId="240" priority="252" operator="equal">
      <formula>0</formula>
    </cfRule>
  </conditionalFormatting>
  <conditionalFormatting sqref="M276:N276">
    <cfRule type="cellIs" dxfId="239" priority="255" operator="equal">
      <formula>0</formula>
    </cfRule>
  </conditionalFormatting>
  <conditionalFormatting sqref="N273:N278">
    <cfRule type="cellIs" dxfId="238" priority="248" operator="equal">
      <formula>0</formula>
    </cfRule>
  </conditionalFormatting>
  <conditionalFormatting sqref="O284:O285">
    <cfRule type="cellIs" dxfId="237" priority="253" operator="equal">
      <formula>0</formula>
    </cfRule>
  </conditionalFormatting>
  <conditionalFormatting sqref="M277:N277">
    <cfRule type="cellIs" dxfId="236" priority="256" operator="equal">
      <formula>0</formula>
    </cfRule>
  </conditionalFormatting>
  <conditionalFormatting sqref="R295:R302 C295:Q301">
    <cfRule type="cellIs" dxfId="235" priority="257" operator="equal">
      <formula>0</formula>
    </cfRule>
  </conditionalFormatting>
  <conditionalFormatting sqref="C302:Q302">
    <cfRule type="cellIs" dxfId="234" priority="258" operator="equal">
      <formula>0</formula>
    </cfRule>
  </conditionalFormatting>
  <conditionalFormatting sqref="C302:Q302">
    <cfRule type="cellIs" dxfId="233" priority="260" operator="equal">
      <formula>0</formula>
    </cfRule>
  </conditionalFormatting>
  <conditionalFormatting sqref="C303:Q303">
    <cfRule type="cellIs" dxfId="232" priority="261" operator="equal">
      <formula>0</formula>
    </cfRule>
  </conditionalFormatting>
  <conditionalFormatting sqref="L276:L278 L294">
    <cfRule type="cellIs" dxfId="231" priority="243" operator="equal">
      <formula>0</formula>
    </cfRule>
  </conditionalFormatting>
  <conditionalFormatting sqref="C303:Q303">
    <cfRule type="expression" dxfId="230" priority="262">
      <formula>LEN(TRIM(C303))=0</formula>
    </cfRule>
  </conditionalFormatting>
  <conditionalFormatting sqref="R303">
    <cfRule type="cellIs" dxfId="229" priority="230" operator="equal">
      <formula>0</formula>
    </cfRule>
  </conditionalFormatting>
  <conditionalFormatting sqref="C281:R281 C286:Q290 R282:R293 C275:R279 C293:Q293 C291:N292 Q291:Q292 C283:Q283 C273:H274 J273:R274 O282:Q282">
    <cfRule type="expression" dxfId="228" priority="249">
      <formula>LEN(TRIM(C273))=0</formula>
    </cfRule>
  </conditionalFormatting>
  <conditionalFormatting sqref="C284:Q285">
    <cfRule type="expression" dxfId="227" priority="254">
      <formula>LEN(TRIM(C284))=0</formula>
    </cfRule>
  </conditionalFormatting>
  <conditionalFormatting sqref="C295:R302">
    <cfRule type="expression" dxfId="226" priority="259">
      <formula>LEN(TRIM(C295))=0</formula>
    </cfRule>
  </conditionalFormatting>
  <conditionalFormatting sqref="R303">
    <cfRule type="expression" dxfId="225" priority="231">
      <formula>LEN(TRIM(R303))=0</formula>
    </cfRule>
  </conditionalFormatting>
  <conditionalFormatting sqref="O291:P292">
    <cfRule type="cellIs" dxfId="224" priority="228" operator="equal">
      <formula>0</formula>
    </cfRule>
  </conditionalFormatting>
  <conditionalFormatting sqref="O291:P292">
    <cfRule type="expression" dxfId="223" priority="229">
      <formula>LEN(TRIM(O291))=0</formula>
    </cfRule>
  </conditionalFormatting>
  <conditionalFormatting sqref="AI86:AJ87">
    <cfRule type="cellIs" dxfId="222" priority="226" operator="equal">
      <formula>0</formula>
    </cfRule>
  </conditionalFormatting>
  <conditionalFormatting sqref="AI86:AJ87">
    <cfRule type="expression" dxfId="221" priority="227">
      <formula>LEN(TRIM(AI86))=0</formula>
    </cfRule>
  </conditionalFormatting>
  <conditionalFormatting sqref="X126:Z126 W127:Z128 AI130:AL130 W130:AB130 AA126:AB128 W122:AB125 AC122:AK126 AI112:AL114 X112:AB114 AC112:AH113 AJ109:AL111 Z109:Z111 W109:W114 W117:AL117 AJ116:AL116 W116:AH116 W129:AK129 AL118:AL129 W115:AL115 AC127:AH128 AK127:AK128 W119:AK119 AI118:AK118">
    <cfRule type="cellIs" dxfId="220" priority="195" operator="equal">
      <formula>0</formula>
    </cfRule>
  </conditionalFormatting>
  <conditionalFormatting sqref="AI109:AI114">
    <cfRule type="cellIs" dxfId="219" priority="196" operator="equal">
      <formula>0</formula>
    </cfRule>
  </conditionalFormatting>
  <conditionalFormatting sqref="W109:X114 AA109:AB114">
    <cfRule type="cellIs" dxfId="218" priority="197" operator="equal">
      <formula>0</formula>
    </cfRule>
  </conditionalFormatting>
  <conditionalFormatting sqref="Y109:Y114">
    <cfRule type="cellIs" dxfId="217" priority="198" operator="equal">
      <formula>0</formula>
    </cfRule>
  </conditionalFormatting>
  <conditionalFormatting sqref="W126">
    <cfRule type="cellIs" dxfId="216" priority="199" operator="equal">
      <formula>0</formula>
    </cfRule>
  </conditionalFormatting>
  <conditionalFormatting sqref="AC112:AC114 AC130">
    <cfRule type="cellIs" dxfId="215" priority="200" operator="equal">
      <formula>0</formula>
    </cfRule>
  </conditionalFormatting>
  <conditionalFormatting sqref="AC111:AC114 AD109:AH109">
    <cfRule type="cellIs" dxfId="214" priority="201" operator="equal">
      <formula>0</formula>
    </cfRule>
  </conditionalFormatting>
  <conditionalFormatting sqref="AD112:AD114 AD130">
    <cfRule type="cellIs" dxfId="213" priority="202" operator="equal">
      <formula>0</formula>
    </cfRule>
  </conditionalFormatting>
  <conditionalFormatting sqref="AD109:AD114">
    <cfRule type="cellIs" dxfId="212" priority="203" operator="equal">
      <formula>0</formula>
    </cfRule>
  </conditionalFormatting>
  <conditionalFormatting sqref="AE112:AE114 AE130">
    <cfRule type="cellIs" dxfId="211" priority="204" operator="equal">
      <formula>0</formula>
    </cfRule>
  </conditionalFormatting>
  <conditionalFormatting sqref="AE109:AE114">
    <cfRule type="cellIs" dxfId="210" priority="205" operator="equal">
      <formula>0</formula>
    </cfRule>
  </conditionalFormatting>
  <conditionalFormatting sqref="AF109:AF114">
    <cfRule type="cellIs" dxfId="209" priority="207" operator="equal">
      <formula>0</formula>
    </cfRule>
  </conditionalFormatting>
  <conditionalFormatting sqref="AG112:AG114 AG130">
    <cfRule type="cellIs" dxfId="208" priority="208" operator="equal">
      <formula>0</formula>
    </cfRule>
  </conditionalFormatting>
  <conditionalFormatting sqref="AG109:AG114">
    <cfRule type="cellIs" dxfId="207" priority="209" operator="equal">
      <formula>0</formula>
    </cfRule>
  </conditionalFormatting>
  <conditionalFormatting sqref="AH112:AH114 AH130">
    <cfRule type="cellIs" dxfId="206" priority="210" operator="equal">
      <formula>0</formula>
    </cfRule>
  </conditionalFormatting>
  <conditionalFormatting sqref="AE112:AE113">
    <cfRule type="cellIs" dxfId="205" priority="213" operator="equal">
      <formula>0</formula>
    </cfRule>
  </conditionalFormatting>
  <conditionalFormatting sqref="AF112:AF113">
    <cfRule type="cellIs" dxfId="204" priority="214" operator="equal">
      <formula>0</formula>
    </cfRule>
  </conditionalFormatting>
  <conditionalFormatting sqref="W120:AK121">
    <cfRule type="cellIs" dxfId="203" priority="215" operator="equal">
      <formula>0</formula>
    </cfRule>
  </conditionalFormatting>
  <conditionalFormatting sqref="AG112:AH112">
    <cfRule type="cellIs" dxfId="202" priority="218" operator="equal">
      <formula>0</formula>
    </cfRule>
  </conditionalFormatting>
  <conditionalFormatting sqref="AH109:AH114">
    <cfRule type="cellIs" dxfId="201" priority="211" operator="equal">
      <formula>0</formula>
    </cfRule>
  </conditionalFormatting>
  <conditionalFormatting sqref="AI120:AI121">
    <cfRule type="cellIs" dxfId="200" priority="216" operator="equal">
      <formula>0</formula>
    </cfRule>
  </conditionalFormatting>
  <conditionalFormatting sqref="AG113:AH113">
    <cfRule type="cellIs" dxfId="199" priority="219" operator="equal">
      <formula>0</formula>
    </cfRule>
  </conditionalFormatting>
  <conditionalFormatting sqref="AL131:AL138 W131:AK137">
    <cfRule type="cellIs" dxfId="198" priority="220" operator="equal">
      <formula>0</formula>
    </cfRule>
  </conditionalFormatting>
  <conditionalFormatting sqref="W138:AK138">
    <cfRule type="cellIs" dxfId="197" priority="221" operator="equal">
      <formula>0</formula>
    </cfRule>
  </conditionalFormatting>
  <conditionalFormatting sqref="W138:AK138">
    <cfRule type="cellIs" dxfId="196" priority="223" operator="equal">
      <formula>0</formula>
    </cfRule>
  </conditionalFormatting>
  <conditionalFormatting sqref="W139:AK139">
    <cfRule type="cellIs" dxfId="195" priority="224" operator="equal">
      <formula>0</formula>
    </cfRule>
  </conditionalFormatting>
  <conditionalFormatting sqref="AF112:AF114 AF130">
    <cfRule type="cellIs" dxfId="194" priority="206" operator="equal">
      <formula>0</formula>
    </cfRule>
  </conditionalFormatting>
  <conditionalFormatting sqref="W139:AK139">
    <cfRule type="expression" dxfId="193" priority="225">
      <formula>LEN(TRIM(W139))=0</formula>
    </cfRule>
  </conditionalFormatting>
  <conditionalFormatting sqref="AL139">
    <cfRule type="cellIs" dxfId="192" priority="193" operator="equal">
      <formula>0</formula>
    </cfRule>
  </conditionalFormatting>
  <conditionalFormatting sqref="W117:AL117 W122:AK126 AL118:AL129 W111:AL115 W129:AK129 W127:AH128 AK127:AK128 W119:AK119 W109:AB110 AD109:AL110 AI118:AK118">
    <cfRule type="expression" dxfId="191" priority="212">
      <formula>LEN(TRIM(W109))=0</formula>
    </cfRule>
  </conditionalFormatting>
  <conditionalFormatting sqref="W120:AK121">
    <cfRule type="expression" dxfId="190" priority="217">
      <formula>LEN(TRIM(W120))=0</formula>
    </cfRule>
  </conditionalFormatting>
  <conditionalFormatting sqref="W131:AL138">
    <cfRule type="expression" dxfId="189" priority="222">
      <formula>LEN(TRIM(W131))=0</formula>
    </cfRule>
  </conditionalFormatting>
  <conditionalFormatting sqref="AL139">
    <cfRule type="expression" dxfId="188" priority="194">
      <formula>LEN(TRIM(AL139))=0</formula>
    </cfRule>
  </conditionalFormatting>
  <conditionalFormatting sqref="AI127:AJ128">
    <cfRule type="cellIs" dxfId="187" priority="191" operator="equal">
      <formula>0</formula>
    </cfRule>
  </conditionalFormatting>
  <conditionalFormatting sqref="AI127:AJ128">
    <cfRule type="expression" dxfId="186" priority="192">
      <formula>LEN(TRIM(AI127))=0</formula>
    </cfRule>
  </conditionalFormatting>
  <conditionalFormatting sqref="X167:Z167 W168:Z169 AI171:AL171 W171:AB171 AA167:AB169 W163:AB166 AC163:AK167 AI153:AL155 X153:AB155 AC153:AH154 AJ150:AL152 Z150:Z152 W150:W155 W158:AL158 AJ157:AL157 W157:AH157 W170:AK170 AL159:AL170 W156:AL156 AC168:AH169 AK168:AK169 W160:AK160 AI159:AK159">
    <cfRule type="cellIs" dxfId="185" priority="160" operator="equal">
      <formula>0</formula>
    </cfRule>
  </conditionalFormatting>
  <conditionalFormatting sqref="AI150:AI155">
    <cfRule type="cellIs" dxfId="184" priority="161" operator="equal">
      <formula>0</formula>
    </cfRule>
  </conditionalFormatting>
  <conditionalFormatting sqref="W150:X155 AA150:AB155">
    <cfRule type="cellIs" dxfId="183" priority="162" operator="equal">
      <formula>0</formula>
    </cfRule>
  </conditionalFormatting>
  <conditionalFormatting sqref="Y150:Y155">
    <cfRule type="cellIs" dxfId="182" priority="163" operator="equal">
      <formula>0</formula>
    </cfRule>
  </conditionalFormatting>
  <conditionalFormatting sqref="W167">
    <cfRule type="cellIs" dxfId="181" priority="164" operator="equal">
      <formula>0</formula>
    </cfRule>
  </conditionalFormatting>
  <conditionalFormatting sqref="AC153:AC155 AC171">
    <cfRule type="cellIs" dxfId="180" priority="165" operator="equal">
      <formula>0</formula>
    </cfRule>
  </conditionalFormatting>
  <conditionalFormatting sqref="AC152:AC155 AD150:AH150">
    <cfRule type="cellIs" dxfId="179" priority="166" operator="equal">
      <formula>0</formula>
    </cfRule>
  </conditionalFormatting>
  <conditionalFormatting sqref="AD153:AD155 AD171">
    <cfRule type="cellIs" dxfId="178" priority="167" operator="equal">
      <formula>0</formula>
    </cfRule>
  </conditionalFormatting>
  <conditionalFormatting sqref="AD150:AD155">
    <cfRule type="cellIs" dxfId="177" priority="168" operator="equal">
      <formula>0</formula>
    </cfRule>
  </conditionalFormatting>
  <conditionalFormatting sqref="AE153:AE155 AE171">
    <cfRule type="cellIs" dxfId="176" priority="169" operator="equal">
      <formula>0</formula>
    </cfRule>
  </conditionalFormatting>
  <conditionalFormatting sqref="AE150:AE155">
    <cfRule type="cellIs" dxfId="175" priority="170" operator="equal">
      <formula>0</formula>
    </cfRule>
  </conditionalFormatting>
  <conditionalFormatting sqref="AF150:AF155">
    <cfRule type="cellIs" dxfId="174" priority="172" operator="equal">
      <formula>0</formula>
    </cfRule>
  </conditionalFormatting>
  <conditionalFormatting sqref="AG153:AG155 AG171">
    <cfRule type="cellIs" dxfId="173" priority="173" operator="equal">
      <formula>0</formula>
    </cfRule>
  </conditionalFormatting>
  <conditionalFormatting sqref="AG150:AG155">
    <cfRule type="cellIs" dxfId="172" priority="174" operator="equal">
      <formula>0</formula>
    </cfRule>
  </conditionalFormatting>
  <conditionalFormatting sqref="AH153:AH155 AH171">
    <cfRule type="cellIs" dxfId="171" priority="175" operator="equal">
      <formula>0</formula>
    </cfRule>
  </conditionalFormatting>
  <conditionalFormatting sqref="AE153:AE154">
    <cfRule type="cellIs" dxfId="170" priority="178" operator="equal">
      <formula>0</formula>
    </cfRule>
  </conditionalFormatting>
  <conditionalFormatting sqref="AF153:AF154">
    <cfRule type="cellIs" dxfId="169" priority="179" operator="equal">
      <formula>0</formula>
    </cfRule>
  </conditionalFormatting>
  <conditionalFormatting sqref="W161:AK162">
    <cfRule type="cellIs" dxfId="168" priority="180" operator="equal">
      <formula>0</formula>
    </cfRule>
  </conditionalFormatting>
  <conditionalFormatting sqref="AG153:AH153">
    <cfRule type="cellIs" dxfId="167" priority="183" operator="equal">
      <formula>0</formula>
    </cfRule>
  </conditionalFormatting>
  <conditionalFormatting sqref="AH150:AH155">
    <cfRule type="cellIs" dxfId="166" priority="176" operator="equal">
      <formula>0</formula>
    </cfRule>
  </conditionalFormatting>
  <conditionalFormatting sqref="AI161:AI162">
    <cfRule type="cellIs" dxfId="165" priority="181" operator="equal">
      <formula>0</formula>
    </cfRule>
  </conditionalFormatting>
  <conditionalFormatting sqref="AG154:AH154">
    <cfRule type="cellIs" dxfId="164" priority="184" operator="equal">
      <formula>0</formula>
    </cfRule>
  </conditionalFormatting>
  <conditionalFormatting sqref="AL172:AL179 W172:AK178">
    <cfRule type="cellIs" dxfId="163" priority="185" operator="equal">
      <formula>0</formula>
    </cfRule>
  </conditionalFormatting>
  <conditionalFormatting sqref="W179:AK179">
    <cfRule type="cellIs" dxfId="162" priority="186" operator="equal">
      <formula>0</formula>
    </cfRule>
  </conditionalFormatting>
  <conditionalFormatting sqref="W179:AK179">
    <cfRule type="cellIs" dxfId="161" priority="188" operator="equal">
      <formula>0</formula>
    </cfRule>
  </conditionalFormatting>
  <conditionalFormatting sqref="W180:AK180">
    <cfRule type="cellIs" dxfId="160" priority="189" operator="equal">
      <formula>0</formula>
    </cfRule>
  </conditionalFormatting>
  <conditionalFormatting sqref="AF153:AF155 AF171">
    <cfRule type="cellIs" dxfId="159" priority="171" operator="equal">
      <formula>0</formula>
    </cfRule>
  </conditionalFormatting>
  <conditionalFormatting sqref="W180:AK180">
    <cfRule type="expression" dxfId="158" priority="190">
      <formula>LEN(TRIM(W180))=0</formula>
    </cfRule>
  </conditionalFormatting>
  <conditionalFormatting sqref="AL180">
    <cfRule type="cellIs" dxfId="157" priority="158" operator="equal">
      <formula>0</formula>
    </cfRule>
  </conditionalFormatting>
  <conditionalFormatting sqref="W158:AL158 W163:AK167 AL159:AL170 W152:AL156 W170:AK170 W168:AH169 AK168:AK169 W160:AK160 W150:AB151 AD150:AL151 AI159:AK159">
    <cfRule type="expression" dxfId="156" priority="177">
      <formula>LEN(TRIM(W150))=0</formula>
    </cfRule>
  </conditionalFormatting>
  <conditionalFormatting sqref="W161:AK162">
    <cfRule type="expression" dxfId="155" priority="182">
      <formula>LEN(TRIM(W161))=0</formula>
    </cfRule>
  </conditionalFormatting>
  <conditionalFormatting sqref="W172:AL179">
    <cfRule type="expression" dxfId="154" priority="187">
      <formula>LEN(TRIM(W172))=0</formula>
    </cfRule>
  </conditionalFormatting>
  <conditionalFormatting sqref="AL180">
    <cfRule type="expression" dxfId="153" priority="159">
      <formula>LEN(TRIM(AL180))=0</formula>
    </cfRule>
  </conditionalFormatting>
  <conditionalFormatting sqref="AI168:AJ169">
    <cfRule type="cellIs" dxfId="152" priority="156" operator="equal">
      <formula>0</formula>
    </cfRule>
  </conditionalFormatting>
  <conditionalFormatting sqref="AI168:AJ169">
    <cfRule type="expression" dxfId="151" priority="157">
      <formula>LEN(TRIM(AI168))=0</formula>
    </cfRule>
  </conditionalFormatting>
  <conditionalFormatting sqref="X208:Z208 W209:Z210 AI212:AL212 W212:AB212 AA208:AB210 W204:AB207 AC204:AK208 AI194:AL196 X194:AB196 AC194:AH195 AJ191:AL193 Z191:Z193 W191:W196 W199:AL199 AJ198:AL198 W198:AH198 W211:AK211 AL200:AL211 W197:AL197 AC209:AH210 AK209:AK210 W201:AK201 AI200:AK200">
    <cfRule type="cellIs" dxfId="150" priority="125" operator="equal">
      <formula>0</formula>
    </cfRule>
  </conditionalFormatting>
  <conditionalFormatting sqref="AI191:AI196">
    <cfRule type="cellIs" dxfId="149" priority="126" operator="equal">
      <formula>0</formula>
    </cfRule>
  </conditionalFormatting>
  <conditionalFormatting sqref="W191:X196 AA191:AB196">
    <cfRule type="cellIs" dxfId="148" priority="127" operator="equal">
      <formula>0</formula>
    </cfRule>
  </conditionalFormatting>
  <conditionalFormatting sqref="Y191:Y196">
    <cfRule type="cellIs" dxfId="147" priority="128" operator="equal">
      <formula>0</formula>
    </cfRule>
  </conditionalFormatting>
  <conditionalFormatting sqref="W208">
    <cfRule type="cellIs" dxfId="146" priority="129" operator="equal">
      <formula>0</formula>
    </cfRule>
  </conditionalFormatting>
  <conditionalFormatting sqref="AC194:AC196 AC212">
    <cfRule type="cellIs" dxfId="145" priority="130" operator="equal">
      <formula>0</formula>
    </cfRule>
  </conditionalFormatting>
  <conditionalFormatting sqref="AC193:AC196 AD191:AH191">
    <cfRule type="cellIs" dxfId="144" priority="131" operator="equal">
      <formula>0</formula>
    </cfRule>
  </conditionalFormatting>
  <conditionalFormatting sqref="AD194:AD196 AD212">
    <cfRule type="cellIs" dxfId="143" priority="132" operator="equal">
      <formula>0</formula>
    </cfRule>
  </conditionalFormatting>
  <conditionalFormatting sqref="AD191:AD196">
    <cfRule type="cellIs" dxfId="142" priority="133" operator="equal">
      <formula>0</formula>
    </cfRule>
  </conditionalFormatting>
  <conditionalFormatting sqref="AE194:AE196 AE212">
    <cfRule type="cellIs" dxfId="141" priority="134" operator="equal">
      <formula>0</formula>
    </cfRule>
  </conditionalFormatting>
  <conditionalFormatting sqref="AE191:AE196">
    <cfRule type="cellIs" dxfId="140" priority="135" operator="equal">
      <formula>0</formula>
    </cfRule>
  </conditionalFormatting>
  <conditionalFormatting sqref="AF191:AF196">
    <cfRule type="cellIs" dxfId="139" priority="137" operator="equal">
      <formula>0</formula>
    </cfRule>
  </conditionalFormatting>
  <conditionalFormatting sqref="AG194:AG196 AG212">
    <cfRule type="cellIs" dxfId="138" priority="138" operator="equal">
      <formula>0</formula>
    </cfRule>
  </conditionalFormatting>
  <conditionalFormatting sqref="AG191:AG196">
    <cfRule type="cellIs" dxfId="137" priority="139" operator="equal">
      <formula>0</formula>
    </cfRule>
  </conditionalFormatting>
  <conditionalFormatting sqref="AH194:AH196 AH212">
    <cfRule type="cellIs" dxfId="136" priority="140" operator="equal">
      <formula>0</formula>
    </cfRule>
  </conditionalFormatting>
  <conditionalFormatting sqref="AE194:AE195">
    <cfRule type="cellIs" dxfId="135" priority="143" operator="equal">
      <formula>0</formula>
    </cfRule>
  </conditionalFormatting>
  <conditionalFormatting sqref="AF194:AF195">
    <cfRule type="cellIs" dxfId="134" priority="144" operator="equal">
      <formula>0</formula>
    </cfRule>
  </conditionalFormatting>
  <conditionalFormatting sqref="W202:AK203">
    <cfRule type="cellIs" dxfId="133" priority="145" operator="equal">
      <formula>0</formula>
    </cfRule>
  </conditionalFormatting>
  <conditionalFormatting sqref="AG194:AH194">
    <cfRule type="cellIs" dxfId="132" priority="148" operator="equal">
      <formula>0</formula>
    </cfRule>
  </conditionalFormatting>
  <conditionalFormatting sqref="AH191:AH196">
    <cfRule type="cellIs" dxfId="131" priority="141" operator="equal">
      <formula>0</formula>
    </cfRule>
  </conditionalFormatting>
  <conditionalFormatting sqref="AI202:AI203">
    <cfRule type="cellIs" dxfId="130" priority="146" operator="equal">
      <formula>0</formula>
    </cfRule>
  </conditionalFormatting>
  <conditionalFormatting sqref="AG195:AH195">
    <cfRule type="cellIs" dxfId="129" priority="149" operator="equal">
      <formula>0</formula>
    </cfRule>
  </conditionalFormatting>
  <conditionalFormatting sqref="AL213:AL220 W213:AK219">
    <cfRule type="cellIs" dxfId="128" priority="150" operator="equal">
      <formula>0</formula>
    </cfRule>
  </conditionalFormatting>
  <conditionalFormatting sqref="W220:AK220">
    <cfRule type="cellIs" dxfId="127" priority="151" operator="equal">
      <formula>0</formula>
    </cfRule>
  </conditionalFormatting>
  <conditionalFormatting sqref="W220:AK220">
    <cfRule type="cellIs" dxfId="126" priority="153" operator="equal">
      <formula>0</formula>
    </cfRule>
  </conditionalFormatting>
  <conditionalFormatting sqref="W221:AK221">
    <cfRule type="cellIs" dxfId="125" priority="154" operator="equal">
      <formula>0</formula>
    </cfRule>
  </conditionalFormatting>
  <conditionalFormatting sqref="AF194:AF196 AF212">
    <cfRule type="cellIs" dxfId="124" priority="136" operator="equal">
      <formula>0</formula>
    </cfRule>
  </conditionalFormatting>
  <conditionalFormatting sqref="W221:AK221">
    <cfRule type="expression" dxfId="123" priority="155">
      <formula>LEN(TRIM(W221))=0</formula>
    </cfRule>
  </conditionalFormatting>
  <conditionalFormatting sqref="AL221">
    <cfRule type="cellIs" dxfId="122" priority="123" operator="equal">
      <formula>0</formula>
    </cfRule>
  </conditionalFormatting>
  <conditionalFormatting sqref="W199:AL199 W204:AK208 AL200:AL211 W193:AL197 W211:AK211 W209:AH210 AK209:AK210 W201:AK201 W191:AB192 AD191:AL192 AI200:AK200">
    <cfRule type="expression" dxfId="121" priority="142">
      <formula>LEN(TRIM(W191))=0</formula>
    </cfRule>
  </conditionalFormatting>
  <conditionalFormatting sqref="W202:AK203">
    <cfRule type="expression" dxfId="120" priority="147">
      <formula>LEN(TRIM(W202))=0</formula>
    </cfRule>
  </conditionalFormatting>
  <conditionalFormatting sqref="W213:AL220">
    <cfRule type="expression" dxfId="119" priority="152">
      <formula>LEN(TRIM(W213))=0</formula>
    </cfRule>
  </conditionalFormatting>
  <conditionalFormatting sqref="AL221">
    <cfRule type="expression" dxfId="118" priority="124">
      <formula>LEN(TRIM(AL221))=0</formula>
    </cfRule>
  </conditionalFormatting>
  <conditionalFormatting sqref="AI209:AJ210">
    <cfRule type="cellIs" dxfId="117" priority="121" operator="equal">
      <formula>0</formula>
    </cfRule>
  </conditionalFormatting>
  <conditionalFormatting sqref="AI209:AJ210">
    <cfRule type="expression" dxfId="116" priority="122">
      <formula>LEN(TRIM(AI209))=0</formula>
    </cfRule>
  </conditionalFormatting>
  <conditionalFormatting sqref="X249:Z249 W250:Z251 AI253:AL253 W253:AB253 AA249:AB251 W245:AB248 AC245:AK249 AI235:AL237 X235:AB237 AC235:AH236 AJ232:AL234 Z232:Z234 W232:W237 W240:AL240 AJ239:AL239 W239:AH239 W252:AK252 AL241:AL252 W238:AL238 AC250:AH251 AK250:AK251 W242:AK242 AI241:AK241">
    <cfRule type="cellIs" dxfId="115" priority="90" operator="equal">
      <formula>0</formula>
    </cfRule>
  </conditionalFormatting>
  <conditionalFormatting sqref="AI232:AI237">
    <cfRule type="cellIs" dxfId="114" priority="91" operator="equal">
      <formula>0</formula>
    </cfRule>
  </conditionalFormatting>
  <conditionalFormatting sqref="W232:X237 AA232:AB237">
    <cfRule type="cellIs" dxfId="113" priority="92" operator="equal">
      <formula>0</formula>
    </cfRule>
  </conditionalFormatting>
  <conditionalFormatting sqref="Y232:Y237">
    <cfRule type="cellIs" dxfId="112" priority="93" operator="equal">
      <formula>0</formula>
    </cfRule>
  </conditionalFormatting>
  <conditionalFormatting sqref="W249">
    <cfRule type="cellIs" dxfId="111" priority="94" operator="equal">
      <formula>0</formula>
    </cfRule>
  </conditionalFormatting>
  <conditionalFormatting sqref="AC235:AC237 AC253">
    <cfRule type="cellIs" dxfId="110" priority="95" operator="equal">
      <formula>0</formula>
    </cfRule>
  </conditionalFormatting>
  <conditionalFormatting sqref="AC234:AC237 AD232:AH232">
    <cfRule type="cellIs" dxfId="109" priority="96" operator="equal">
      <formula>0</formula>
    </cfRule>
  </conditionalFormatting>
  <conditionalFormatting sqref="AD235:AD237 AD253">
    <cfRule type="cellIs" dxfId="108" priority="97" operator="equal">
      <formula>0</formula>
    </cfRule>
  </conditionalFormatting>
  <conditionalFormatting sqref="AD232:AD237">
    <cfRule type="cellIs" dxfId="107" priority="98" operator="equal">
      <formula>0</formula>
    </cfRule>
  </conditionalFormatting>
  <conditionalFormatting sqref="AE235:AE237 AE253">
    <cfRule type="cellIs" dxfId="106" priority="99" operator="equal">
      <formula>0</formula>
    </cfRule>
  </conditionalFormatting>
  <conditionalFormatting sqref="AE232:AE237">
    <cfRule type="cellIs" dxfId="105" priority="100" operator="equal">
      <formula>0</formula>
    </cfRule>
  </conditionalFormatting>
  <conditionalFormatting sqref="AF232:AF237">
    <cfRule type="cellIs" dxfId="104" priority="102" operator="equal">
      <formula>0</formula>
    </cfRule>
  </conditionalFormatting>
  <conditionalFormatting sqref="AG235:AG237 AG253">
    <cfRule type="cellIs" dxfId="103" priority="103" operator="equal">
      <formula>0</formula>
    </cfRule>
  </conditionalFormatting>
  <conditionalFormatting sqref="AG232:AG237">
    <cfRule type="cellIs" dxfId="102" priority="104" operator="equal">
      <formula>0</formula>
    </cfRule>
  </conditionalFormatting>
  <conditionalFormatting sqref="AH235:AH237 AH253">
    <cfRule type="cellIs" dxfId="101" priority="105" operator="equal">
      <formula>0</formula>
    </cfRule>
  </conditionalFormatting>
  <conditionalFormatting sqref="AE235:AE236">
    <cfRule type="cellIs" dxfId="100" priority="108" operator="equal">
      <formula>0</formula>
    </cfRule>
  </conditionalFormatting>
  <conditionalFormatting sqref="AF235:AF236">
    <cfRule type="cellIs" dxfId="99" priority="109" operator="equal">
      <formula>0</formula>
    </cfRule>
  </conditionalFormatting>
  <conditionalFormatting sqref="W243:AK244">
    <cfRule type="cellIs" dxfId="98" priority="110" operator="equal">
      <formula>0</formula>
    </cfRule>
  </conditionalFormatting>
  <conditionalFormatting sqref="AG235:AH235">
    <cfRule type="cellIs" dxfId="97" priority="113" operator="equal">
      <formula>0</formula>
    </cfRule>
  </conditionalFormatting>
  <conditionalFormatting sqref="AH232:AH237">
    <cfRule type="cellIs" dxfId="96" priority="106" operator="equal">
      <formula>0</formula>
    </cfRule>
  </conditionalFormatting>
  <conditionalFormatting sqref="AI243:AI244">
    <cfRule type="cellIs" dxfId="95" priority="111" operator="equal">
      <formula>0</formula>
    </cfRule>
  </conditionalFormatting>
  <conditionalFormatting sqref="AG236:AH236">
    <cfRule type="cellIs" dxfId="94" priority="114" operator="equal">
      <formula>0</formula>
    </cfRule>
  </conditionalFormatting>
  <conditionalFormatting sqref="AL254:AL261 W254:AK260">
    <cfRule type="cellIs" dxfId="93" priority="115" operator="equal">
      <formula>0</formula>
    </cfRule>
  </conditionalFormatting>
  <conditionalFormatting sqref="W261:AK261">
    <cfRule type="cellIs" dxfId="92" priority="116" operator="equal">
      <formula>0</formula>
    </cfRule>
  </conditionalFormatting>
  <conditionalFormatting sqref="W261:AK261">
    <cfRule type="cellIs" dxfId="91" priority="118" operator="equal">
      <formula>0</formula>
    </cfRule>
  </conditionalFormatting>
  <conditionalFormatting sqref="W262:AK262">
    <cfRule type="cellIs" dxfId="90" priority="119" operator="equal">
      <formula>0</formula>
    </cfRule>
  </conditionalFormatting>
  <conditionalFormatting sqref="AF235:AF237 AF253">
    <cfRule type="cellIs" dxfId="89" priority="101" operator="equal">
      <formula>0</formula>
    </cfRule>
  </conditionalFormatting>
  <conditionalFormatting sqref="W262:AK262">
    <cfRule type="expression" dxfId="88" priority="120">
      <formula>LEN(TRIM(W262))=0</formula>
    </cfRule>
  </conditionalFormatting>
  <conditionalFormatting sqref="AL262">
    <cfRule type="cellIs" dxfId="87" priority="88" operator="equal">
      <formula>0</formula>
    </cfRule>
  </conditionalFormatting>
  <conditionalFormatting sqref="W240:AL240 W245:AK249 AL241:AL252 W234:AL238 W252:AK252 W250:AH251 AK250:AK251 W242:AK242 W232:AB233 AD232:AL233 AI241:AK241">
    <cfRule type="expression" dxfId="86" priority="107">
      <formula>LEN(TRIM(W232))=0</formula>
    </cfRule>
  </conditionalFormatting>
  <conditionalFormatting sqref="W243:AK244">
    <cfRule type="expression" dxfId="85" priority="112">
      <formula>LEN(TRIM(W243))=0</formula>
    </cfRule>
  </conditionalFormatting>
  <conditionalFormatting sqref="W254:AL261">
    <cfRule type="expression" dxfId="84" priority="117">
      <formula>LEN(TRIM(W254))=0</formula>
    </cfRule>
  </conditionalFormatting>
  <conditionalFormatting sqref="AL262">
    <cfRule type="expression" dxfId="83" priority="89">
      <formula>LEN(TRIM(AL262))=0</formula>
    </cfRule>
  </conditionalFormatting>
  <conditionalFormatting sqref="AI250:AJ251">
    <cfRule type="cellIs" dxfId="82" priority="86" operator="equal">
      <formula>0</formula>
    </cfRule>
  </conditionalFormatting>
  <conditionalFormatting sqref="AI250:AJ251">
    <cfRule type="expression" dxfId="81" priority="87">
      <formula>LEN(TRIM(AI250))=0</formula>
    </cfRule>
  </conditionalFormatting>
  <conditionalFormatting sqref="X290:Z290 W291:Z292 AA290:AB292 W286:AB289 AC286:AK290 AI276:AL278 X276:AB278 AC276:AH277 AJ273:AL275 Z273:Z275 W273:W278 W293:AK293 AL282:AL293 AC291:AH292 AK291:AK292 W283:AK283 AI282:AK282 W294:AL294 W279:AL281">
    <cfRule type="cellIs" dxfId="80" priority="55" operator="equal">
      <formula>0</formula>
    </cfRule>
  </conditionalFormatting>
  <conditionalFormatting sqref="AI273:AI278">
    <cfRule type="cellIs" dxfId="79" priority="56" operator="equal">
      <formula>0</formula>
    </cfRule>
  </conditionalFormatting>
  <conditionalFormatting sqref="W273:X278 AA273:AB278">
    <cfRule type="cellIs" dxfId="78" priority="57" operator="equal">
      <formula>0</formula>
    </cfRule>
  </conditionalFormatting>
  <conditionalFormatting sqref="Y273:Y278">
    <cfRule type="cellIs" dxfId="77" priority="58" operator="equal">
      <formula>0</formula>
    </cfRule>
  </conditionalFormatting>
  <conditionalFormatting sqref="W290">
    <cfRule type="cellIs" dxfId="76" priority="59" operator="equal">
      <formula>0</formula>
    </cfRule>
  </conditionalFormatting>
  <conditionalFormatting sqref="AC276:AC278">
    <cfRule type="cellIs" dxfId="75" priority="60" operator="equal">
      <formula>0</formula>
    </cfRule>
  </conditionalFormatting>
  <conditionalFormatting sqref="AC275:AC278 AD273:AH273">
    <cfRule type="cellIs" dxfId="74" priority="61" operator="equal">
      <formula>0</formula>
    </cfRule>
  </conditionalFormatting>
  <conditionalFormatting sqref="AD276:AD278">
    <cfRule type="cellIs" dxfId="73" priority="62" operator="equal">
      <formula>0</formula>
    </cfRule>
  </conditionalFormatting>
  <conditionalFormatting sqref="AD273:AD278">
    <cfRule type="cellIs" dxfId="72" priority="63" operator="equal">
      <formula>0</formula>
    </cfRule>
  </conditionalFormatting>
  <conditionalFormatting sqref="AE276:AE278">
    <cfRule type="cellIs" dxfId="71" priority="64" operator="equal">
      <formula>0</formula>
    </cfRule>
  </conditionalFormatting>
  <conditionalFormatting sqref="AE273:AE278">
    <cfRule type="cellIs" dxfId="70" priority="65" operator="equal">
      <formula>0</formula>
    </cfRule>
  </conditionalFormatting>
  <conditionalFormatting sqref="AF273:AF278">
    <cfRule type="cellIs" dxfId="69" priority="67" operator="equal">
      <formula>0</formula>
    </cfRule>
  </conditionalFormatting>
  <conditionalFormatting sqref="AG276:AG278">
    <cfRule type="cellIs" dxfId="68" priority="68" operator="equal">
      <formula>0</formula>
    </cfRule>
  </conditionalFormatting>
  <conditionalFormatting sqref="AG273:AG278">
    <cfRule type="cellIs" dxfId="67" priority="69" operator="equal">
      <formula>0</formula>
    </cfRule>
  </conditionalFormatting>
  <conditionalFormatting sqref="AH276:AH278">
    <cfRule type="cellIs" dxfId="66" priority="70" operator="equal">
      <formula>0</formula>
    </cfRule>
  </conditionalFormatting>
  <conditionalFormatting sqref="AE276:AE277">
    <cfRule type="cellIs" dxfId="65" priority="73" operator="equal">
      <formula>0</formula>
    </cfRule>
  </conditionalFormatting>
  <conditionalFormatting sqref="AF276:AF277">
    <cfRule type="cellIs" dxfId="64" priority="74" operator="equal">
      <formula>0</formula>
    </cfRule>
  </conditionalFormatting>
  <conditionalFormatting sqref="W284:AK285">
    <cfRule type="cellIs" dxfId="63" priority="75" operator="equal">
      <formula>0</formula>
    </cfRule>
  </conditionalFormatting>
  <conditionalFormatting sqref="AG276:AH276">
    <cfRule type="cellIs" dxfId="62" priority="78" operator="equal">
      <formula>0</formula>
    </cfRule>
  </conditionalFormatting>
  <conditionalFormatting sqref="AH273:AH278">
    <cfRule type="cellIs" dxfId="61" priority="71" operator="equal">
      <formula>0</formula>
    </cfRule>
  </conditionalFormatting>
  <conditionalFormatting sqref="AI284:AI285">
    <cfRule type="cellIs" dxfId="60" priority="76" operator="equal">
      <formula>0</formula>
    </cfRule>
  </conditionalFormatting>
  <conditionalFormatting sqref="AG277:AH277">
    <cfRule type="cellIs" dxfId="59" priority="79" operator="equal">
      <formula>0</formula>
    </cfRule>
  </conditionalFormatting>
  <conditionalFormatting sqref="AL295:AL302 W295:AK301">
    <cfRule type="cellIs" dxfId="58" priority="80" operator="equal">
      <formula>0</formula>
    </cfRule>
  </conditionalFormatting>
  <conditionalFormatting sqref="W302:AK302">
    <cfRule type="cellIs" dxfId="57" priority="81" operator="equal">
      <formula>0</formula>
    </cfRule>
  </conditionalFormatting>
  <conditionalFormatting sqref="W302:AK302">
    <cfRule type="cellIs" dxfId="56" priority="83" operator="equal">
      <formula>0</formula>
    </cfRule>
  </conditionalFormatting>
  <conditionalFormatting sqref="W303:AK303">
    <cfRule type="cellIs" dxfId="55" priority="84" operator="equal">
      <formula>0</formula>
    </cfRule>
  </conditionalFormatting>
  <conditionalFormatting sqref="AF276:AF278">
    <cfRule type="cellIs" dxfId="54" priority="66" operator="equal">
      <formula>0</formula>
    </cfRule>
  </conditionalFormatting>
  <conditionalFormatting sqref="W303:AK303">
    <cfRule type="expression" dxfId="53" priority="85">
      <formula>LEN(TRIM(W303))=0</formula>
    </cfRule>
  </conditionalFormatting>
  <conditionalFormatting sqref="AL303">
    <cfRule type="cellIs" dxfId="52" priority="53" operator="equal">
      <formula>0</formula>
    </cfRule>
  </conditionalFormatting>
  <conditionalFormatting sqref="W281:AL281 W286:AK290 AL282:AL293 W275:AL279 W293:AK293 W291:AH292 AK291:AK292 W283:AK283 W273:AB274 AD273:AL274 AI282:AK282">
    <cfRule type="expression" dxfId="51" priority="72">
      <formula>LEN(TRIM(W273))=0</formula>
    </cfRule>
  </conditionalFormatting>
  <conditionalFormatting sqref="W284:AK285">
    <cfRule type="expression" dxfId="50" priority="77">
      <formula>LEN(TRIM(W284))=0</formula>
    </cfRule>
  </conditionalFormatting>
  <conditionalFormatting sqref="W295:AL302">
    <cfRule type="expression" dxfId="49" priority="82">
      <formula>LEN(TRIM(W295))=0</formula>
    </cfRule>
  </conditionalFormatting>
  <conditionalFormatting sqref="AL303">
    <cfRule type="expression" dxfId="48" priority="54">
      <formula>LEN(TRIM(AL303))=0</formula>
    </cfRule>
  </conditionalFormatting>
  <conditionalFormatting sqref="AI291:AJ292">
    <cfRule type="cellIs" dxfId="47" priority="51" operator="equal">
      <formula>0</formula>
    </cfRule>
  </conditionalFormatting>
  <conditionalFormatting sqref="AI291:AJ292">
    <cfRule type="expression" dxfId="46" priority="52">
      <formula>LEN(TRIM(AI291))=0</formula>
    </cfRule>
  </conditionalFormatting>
  <conditionalFormatting sqref="AC273:AC274">
    <cfRule type="cellIs" dxfId="45" priority="27" operator="equal">
      <formula>0</formula>
    </cfRule>
  </conditionalFormatting>
  <conditionalFormatting sqref="I68:I69">
    <cfRule type="cellIs" dxfId="44" priority="49" operator="equal">
      <formula>0</formula>
    </cfRule>
  </conditionalFormatting>
  <conditionalFormatting sqref="I68:I69">
    <cfRule type="expression" dxfId="43" priority="50">
      <formula>LEN(TRIM(I68))=0</formula>
    </cfRule>
  </conditionalFormatting>
  <conditionalFormatting sqref="I109:I110">
    <cfRule type="cellIs" dxfId="42" priority="47" operator="equal">
      <formula>0</formula>
    </cfRule>
  </conditionalFormatting>
  <conditionalFormatting sqref="I109:I110">
    <cfRule type="expression" dxfId="41" priority="48">
      <formula>LEN(TRIM(I109))=0</formula>
    </cfRule>
  </conditionalFormatting>
  <conditionalFormatting sqref="I150:I151">
    <cfRule type="cellIs" dxfId="40" priority="45" operator="equal">
      <formula>0</formula>
    </cfRule>
  </conditionalFormatting>
  <conditionalFormatting sqref="I150:I151">
    <cfRule type="expression" dxfId="39" priority="46">
      <formula>LEN(TRIM(I150))=0</formula>
    </cfRule>
  </conditionalFormatting>
  <conditionalFormatting sqref="I191:I192">
    <cfRule type="cellIs" dxfId="38" priority="43" operator="equal">
      <formula>0</formula>
    </cfRule>
  </conditionalFormatting>
  <conditionalFormatting sqref="I191:I192">
    <cfRule type="expression" dxfId="37" priority="44">
      <formula>LEN(TRIM(I191))=0</formula>
    </cfRule>
  </conditionalFormatting>
  <conditionalFormatting sqref="I232:I233">
    <cfRule type="cellIs" dxfId="36" priority="41" operator="equal">
      <formula>0</formula>
    </cfRule>
  </conditionalFormatting>
  <conditionalFormatting sqref="I232:I233">
    <cfRule type="expression" dxfId="35" priority="42">
      <formula>LEN(TRIM(I232))=0</formula>
    </cfRule>
  </conditionalFormatting>
  <conditionalFormatting sqref="I273:I274">
    <cfRule type="cellIs" dxfId="34" priority="39" operator="equal">
      <formula>0</formula>
    </cfRule>
  </conditionalFormatting>
  <conditionalFormatting sqref="I273:I274">
    <cfRule type="expression" dxfId="33" priority="40">
      <formula>LEN(TRIM(I273))=0</formula>
    </cfRule>
  </conditionalFormatting>
  <conditionalFormatting sqref="AC68:AC69">
    <cfRule type="cellIs" dxfId="32" priority="37" operator="equal">
      <formula>0</formula>
    </cfRule>
  </conditionalFormatting>
  <conditionalFormatting sqref="AC68:AC69">
    <cfRule type="expression" dxfId="31" priority="38">
      <formula>LEN(TRIM(AC68))=0</formula>
    </cfRule>
  </conditionalFormatting>
  <conditionalFormatting sqref="AC109:AC110">
    <cfRule type="cellIs" dxfId="30" priority="35" operator="equal">
      <formula>0</formula>
    </cfRule>
  </conditionalFormatting>
  <conditionalFormatting sqref="AC109:AC110">
    <cfRule type="expression" dxfId="29" priority="36">
      <formula>LEN(TRIM(AC109))=0</formula>
    </cfRule>
  </conditionalFormatting>
  <conditionalFormatting sqref="AC150:AC151">
    <cfRule type="cellIs" dxfId="28" priority="33" operator="equal">
      <formula>0</formula>
    </cfRule>
  </conditionalFormatting>
  <conditionalFormatting sqref="AC150:AC151">
    <cfRule type="expression" dxfId="27" priority="34">
      <formula>LEN(TRIM(AC150))=0</formula>
    </cfRule>
  </conditionalFormatting>
  <conditionalFormatting sqref="AC191:AC192">
    <cfRule type="cellIs" dxfId="26" priority="31" operator="equal">
      <formula>0</formula>
    </cfRule>
  </conditionalFormatting>
  <conditionalFormatting sqref="AC191:AC192">
    <cfRule type="expression" dxfId="25" priority="32">
      <formula>LEN(TRIM(AC191))=0</formula>
    </cfRule>
  </conditionalFormatting>
  <conditionalFormatting sqref="AC232:AC233">
    <cfRule type="cellIs" dxfId="24" priority="29" operator="equal">
      <formula>0</formula>
    </cfRule>
  </conditionalFormatting>
  <conditionalFormatting sqref="AC232:AC233">
    <cfRule type="expression" dxfId="23" priority="30">
      <formula>LEN(TRIM(AC232))=0</formula>
    </cfRule>
  </conditionalFormatting>
  <conditionalFormatting sqref="AC273:AC274">
    <cfRule type="expression" dxfId="22" priority="28">
      <formula>LEN(TRIM(AC273))=0</formula>
    </cfRule>
  </conditionalFormatting>
  <conditionalFormatting sqref="C77:N77">
    <cfRule type="cellIs" dxfId="21" priority="25" operator="equal">
      <formula>0</formula>
    </cfRule>
  </conditionalFormatting>
  <conditionalFormatting sqref="C77:N77">
    <cfRule type="expression" dxfId="20" priority="26">
      <formula>LEN(TRIM(C77))=0</formula>
    </cfRule>
  </conditionalFormatting>
  <conditionalFormatting sqref="C118:N118">
    <cfRule type="cellIs" dxfId="19" priority="23" operator="equal">
      <formula>0</formula>
    </cfRule>
  </conditionalFormatting>
  <conditionalFormatting sqref="C118:N118">
    <cfRule type="expression" dxfId="18" priority="24">
      <formula>LEN(TRIM(C118))=0</formula>
    </cfRule>
  </conditionalFormatting>
  <conditionalFormatting sqref="C159:N159">
    <cfRule type="cellIs" dxfId="17" priority="21" operator="equal">
      <formula>0</formula>
    </cfRule>
  </conditionalFormatting>
  <conditionalFormatting sqref="C159:N159">
    <cfRule type="expression" dxfId="16" priority="22">
      <formula>LEN(TRIM(C159))=0</formula>
    </cfRule>
  </conditionalFormatting>
  <conditionalFormatting sqref="C200:N200">
    <cfRule type="cellIs" dxfId="15" priority="19" operator="equal">
      <formula>0</formula>
    </cfRule>
  </conditionalFormatting>
  <conditionalFormatting sqref="C200:N200">
    <cfRule type="expression" dxfId="14" priority="20">
      <formula>LEN(TRIM(C200))=0</formula>
    </cfRule>
  </conditionalFormatting>
  <conditionalFormatting sqref="C241:N241">
    <cfRule type="cellIs" dxfId="13" priority="17" operator="equal">
      <formula>0</formula>
    </cfRule>
  </conditionalFormatting>
  <conditionalFormatting sqref="C241:N241">
    <cfRule type="expression" dxfId="12" priority="18">
      <formula>LEN(TRIM(C241))=0</formula>
    </cfRule>
  </conditionalFormatting>
  <conditionalFormatting sqref="C282:N282">
    <cfRule type="cellIs" dxfId="11" priority="15" operator="equal">
      <formula>0</formula>
    </cfRule>
  </conditionalFormatting>
  <conditionalFormatting sqref="C282:N282">
    <cfRule type="expression" dxfId="10" priority="16">
      <formula>LEN(TRIM(C282))=0</formula>
    </cfRule>
  </conditionalFormatting>
  <conditionalFormatting sqref="W118:AH118">
    <cfRule type="cellIs" dxfId="9" priority="9" operator="equal">
      <formula>0</formula>
    </cfRule>
  </conditionalFormatting>
  <conditionalFormatting sqref="W118:AH118">
    <cfRule type="expression" dxfId="8" priority="10">
      <formula>LEN(TRIM(W118))=0</formula>
    </cfRule>
  </conditionalFormatting>
  <conditionalFormatting sqref="W159:AH159">
    <cfRule type="cellIs" dxfId="7" priority="7" operator="equal">
      <formula>0</formula>
    </cfRule>
  </conditionalFormatting>
  <conditionalFormatting sqref="W159:AH159">
    <cfRule type="expression" dxfId="6" priority="8">
      <formula>LEN(TRIM(W159))=0</formula>
    </cfRule>
  </conditionalFormatting>
  <conditionalFormatting sqref="W200:AH200">
    <cfRule type="cellIs" dxfId="5" priority="5" operator="equal">
      <formula>0</formula>
    </cfRule>
  </conditionalFormatting>
  <conditionalFormatting sqref="W200:AH200">
    <cfRule type="expression" dxfId="4" priority="6">
      <formula>LEN(TRIM(W200))=0</formula>
    </cfRule>
  </conditionalFormatting>
  <conditionalFormatting sqref="W241:AH241">
    <cfRule type="cellIs" dxfId="3" priority="3" operator="equal">
      <formula>0</formula>
    </cfRule>
  </conditionalFormatting>
  <conditionalFormatting sqref="W241:AH241">
    <cfRule type="expression" dxfId="2" priority="4">
      <formula>LEN(TRIM(W241))=0</formula>
    </cfRule>
  </conditionalFormatting>
  <conditionalFormatting sqref="W282:AH282">
    <cfRule type="cellIs" dxfId="1" priority="1" operator="equal">
      <formula>0</formula>
    </cfRule>
  </conditionalFormatting>
  <conditionalFormatting sqref="W282:AH282">
    <cfRule type="expression" dxfId="0" priority="2">
      <formula>LEN(TRIM(W282))=0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V36"/>
  <sheetViews>
    <sheetView zoomScale="85" zoomScaleNormal="85" workbookViewId="0">
      <selection activeCell="A18" sqref="A18:H18"/>
    </sheetView>
  </sheetViews>
  <sheetFormatPr baseColWidth="10" defaultColWidth="8.88671875" defaultRowHeight="14.4"/>
  <cols>
    <col min="1" max="1" width="31.88671875" customWidth="1"/>
    <col min="2" max="3" width="10.44140625" customWidth="1"/>
    <col min="4" max="4" width="16" customWidth="1"/>
    <col min="5" max="1025" width="10.44140625" customWidth="1"/>
  </cols>
  <sheetData>
    <row r="2" spans="1:19">
      <c r="A2" s="414" t="s">
        <v>55</v>
      </c>
      <c r="B2" s="414"/>
      <c r="C2" s="414"/>
      <c r="D2" s="414"/>
      <c r="E2" s="414"/>
      <c r="F2" s="414"/>
      <c r="G2" s="414"/>
      <c r="K2" s="29"/>
    </row>
    <row r="4" spans="1:19">
      <c r="A4" s="30" t="s">
        <v>56</v>
      </c>
      <c r="B4" s="30">
        <v>2010</v>
      </c>
      <c r="C4" s="30">
        <v>2011</v>
      </c>
      <c r="D4" s="30">
        <v>2012</v>
      </c>
      <c r="E4" s="30">
        <v>2013</v>
      </c>
      <c r="F4" s="30">
        <v>2014</v>
      </c>
      <c r="G4" s="30">
        <v>2015</v>
      </c>
      <c r="H4" s="30">
        <v>2016</v>
      </c>
      <c r="I4" s="30">
        <v>2017</v>
      </c>
      <c r="J4" s="30">
        <v>2018</v>
      </c>
      <c r="K4" s="30">
        <v>2019</v>
      </c>
      <c r="L4" s="30">
        <v>2020</v>
      </c>
      <c r="M4" s="30">
        <v>2021</v>
      </c>
      <c r="N4" s="271" t="s">
        <v>422</v>
      </c>
      <c r="O4" t="s">
        <v>445</v>
      </c>
    </row>
    <row r="5" spans="1:19">
      <c r="A5" s="31" t="s">
        <v>57</v>
      </c>
      <c r="B5" s="32">
        <v>821136</v>
      </c>
      <c r="C5" s="32">
        <v>828581</v>
      </c>
      <c r="D5" s="32">
        <v>833944</v>
      </c>
      <c r="E5" s="32">
        <v>835103</v>
      </c>
      <c r="F5" s="32">
        <v>842767</v>
      </c>
      <c r="G5" s="32">
        <v>850727</v>
      </c>
      <c r="H5" s="32">
        <v>852924</v>
      </c>
      <c r="I5" s="32">
        <v>853659</v>
      </c>
      <c r="J5" s="32">
        <v>855961</v>
      </c>
      <c r="K5" s="32">
        <v>861210</v>
      </c>
      <c r="L5" s="32">
        <v>863197</v>
      </c>
      <c r="M5" s="347">
        <v>866000</v>
      </c>
      <c r="N5" s="348"/>
      <c r="O5" t="s">
        <v>445</v>
      </c>
    </row>
    <row r="6" spans="1:19">
      <c r="A6" s="30" t="s">
        <v>58</v>
      </c>
      <c r="B6" s="314">
        <v>15487</v>
      </c>
      <c r="C6" s="314">
        <v>15926</v>
      </c>
      <c r="D6" s="314">
        <v>17109</v>
      </c>
      <c r="E6" s="314">
        <v>17013</v>
      </c>
      <c r="F6" s="314">
        <v>17534</v>
      </c>
      <c r="G6" s="30">
        <v>17555</v>
      </c>
      <c r="H6" s="30">
        <v>18065</v>
      </c>
      <c r="I6" s="30">
        <v>18715</v>
      </c>
      <c r="J6" s="30">
        <v>19163</v>
      </c>
      <c r="K6" s="30">
        <v>19660</v>
      </c>
      <c r="L6" s="30"/>
      <c r="M6" s="30"/>
      <c r="N6" s="323" t="s">
        <v>59</v>
      </c>
      <c r="O6" t="s">
        <v>445</v>
      </c>
    </row>
    <row r="7" spans="1:19">
      <c r="A7" s="30" t="s">
        <v>60</v>
      </c>
      <c r="B7" s="314">
        <v>18775</v>
      </c>
      <c r="C7" s="314">
        <v>19159</v>
      </c>
      <c r="D7" s="314">
        <v>20445</v>
      </c>
      <c r="E7" s="314">
        <v>20198</v>
      </c>
      <c r="F7" s="314">
        <v>20707</v>
      </c>
      <c r="G7" s="30">
        <v>20608</v>
      </c>
      <c r="H7" s="30">
        <v>21171</v>
      </c>
      <c r="I7" s="30">
        <v>21892</v>
      </c>
      <c r="J7" s="30">
        <v>22359</v>
      </c>
      <c r="K7" s="33">
        <v>22948</v>
      </c>
      <c r="L7" s="30"/>
      <c r="M7" s="30"/>
      <c r="N7" s="323" t="s">
        <v>59</v>
      </c>
      <c r="O7" t="s">
        <v>445</v>
      </c>
    </row>
    <row r="8" spans="1:19">
      <c r="A8" s="415" t="s">
        <v>464</v>
      </c>
      <c r="B8" s="416"/>
      <c r="C8" s="416"/>
      <c r="D8" s="416"/>
      <c r="E8" s="416"/>
      <c r="F8" s="416"/>
      <c r="G8" s="416"/>
      <c r="H8" s="416"/>
      <c r="I8" s="416"/>
      <c r="J8" s="416"/>
      <c r="K8" s="416"/>
      <c r="L8" s="416"/>
      <c r="M8" s="416"/>
      <c r="N8" s="417"/>
    </row>
    <row r="9" spans="1:19">
      <c r="B9" s="34"/>
    </row>
    <row r="10" spans="1:19">
      <c r="B10" s="346"/>
    </row>
    <row r="11" spans="1:19">
      <c r="A11" s="414" t="s">
        <v>62</v>
      </c>
      <c r="B11" s="414"/>
      <c r="C11" s="414"/>
      <c r="D11" s="414"/>
      <c r="E11" s="414"/>
      <c r="F11" s="414"/>
      <c r="G11" s="414"/>
      <c r="H11" s="414"/>
      <c r="M11" s="414" t="s">
        <v>68</v>
      </c>
      <c r="N11" s="414"/>
      <c r="O11" s="414"/>
      <c r="P11" s="414"/>
      <c r="Q11" s="349"/>
      <c r="R11" s="349"/>
      <c r="S11" s="349"/>
    </row>
    <row r="13" spans="1:19">
      <c r="A13" s="35"/>
      <c r="B13" s="350">
        <v>2020</v>
      </c>
      <c r="C13" s="350">
        <v>2025</v>
      </c>
      <c r="D13" s="350">
        <v>2030</v>
      </c>
      <c r="E13" s="350">
        <v>2035</v>
      </c>
      <c r="F13" s="350">
        <v>2040</v>
      </c>
      <c r="G13" s="350">
        <v>2045</v>
      </c>
      <c r="H13" s="350">
        <v>2050</v>
      </c>
      <c r="M13" s="35"/>
      <c r="N13" s="412">
        <v>2015</v>
      </c>
      <c r="O13" s="412"/>
      <c r="P13" s="412"/>
    </row>
    <row r="14" spans="1:19">
      <c r="A14" s="36"/>
      <c r="B14" s="30" t="s">
        <v>63</v>
      </c>
      <c r="C14" s="30" t="s">
        <v>63</v>
      </c>
      <c r="D14" s="30" t="s">
        <v>63</v>
      </c>
      <c r="E14" s="30" t="s">
        <v>63</v>
      </c>
      <c r="F14" s="30" t="s">
        <v>63</v>
      </c>
      <c r="G14" s="30" t="s">
        <v>63</v>
      </c>
      <c r="H14" s="30" t="s">
        <v>63</v>
      </c>
      <c r="M14" s="30"/>
      <c r="N14" s="30" t="s">
        <v>63</v>
      </c>
      <c r="O14" s="30" t="s">
        <v>64</v>
      </c>
      <c r="P14" s="37" t="s">
        <v>69</v>
      </c>
    </row>
    <row r="15" spans="1:19">
      <c r="A15" s="36" t="s">
        <v>65</v>
      </c>
      <c r="B15" s="38">
        <f>K5/1000000</f>
        <v>0.86121000000000003</v>
      </c>
      <c r="C15" s="38">
        <v>0.879</v>
      </c>
      <c r="D15" s="38">
        <v>0.89300000000000002</v>
      </c>
      <c r="E15" s="38">
        <v>0.90400000000000003</v>
      </c>
      <c r="F15" s="38">
        <v>0.91300000000000003</v>
      </c>
      <c r="G15" s="38">
        <v>0.91700000000000004</v>
      </c>
      <c r="H15" s="38">
        <v>0.91800000000000004</v>
      </c>
      <c r="M15" s="30" t="s">
        <v>70</v>
      </c>
      <c r="N15" s="30" t="s">
        <v>71</v>
      </c>
      <c r="O15" s="30" t="s">
        <v>72</v>
      </c>
      <c r="P15" s="37" t="s">
        <v>73</v>
      </c>
    </row>
    <row r="16" spans="1:19">
      <c r="A16" s="41" t="s">
        <v>66</v>
      </c>
      <c r="B16" s="248">
        <f>K6</f>
        <v>19660</v>
      </c>
      <c r="C16" s="42">
        <f>$B$17*((1+0.75%)^(C13-$K4))*C15</f>
        <v>21096.190823125326</v>
      </c>
      <c r="D16" s="42">
        <f t="shared" ref="D16:H16" si="0">$B$17*((1+0.75%)^(D13-$K4))*D15</f>
        <v>22248.047497929623</v>
      </c>
      <c r="E16" s="42">
        <f t="shared" si="0"/>
        <v>23379.442382543286</v>
      </c>
      <c r="F16" s="42">
        <f t="shared" si="0"/>
        <v>24511.041756579045</v>
      </c>
      <c r="G16" s="42">
        <f t="shared" si="0"/>
        <v>25555.571763742591</v>
      </c>
      <c r="H16" s="42">
        <f t="shared" si="0"/>
        <v>26557.318472291503</v>
      </c>
      <c r="M16" s="30" t="s">
        <v>74</v>
      </c>
      <c r="N16" s="30" t="s">
        <v>75</v>
      </c>
      <c r="O16" s="30" t="s">
        <v>76</v>
      </c>
      <c r="P16" s="37" t="s">
        <v>77</v>
      </c>
    </row>
    <row r="17" spans="1:22">
      <c r="A17" s="41" t="s">
        <v>67</v>
      </c>
      <c r="B17" s="249">
        <f>K7</f>
        <v>22948</v>
      </c>
      <c r="C17" s="351">
        <f>C16/C15</f>
        <v>24000.217091155093</v>
      </c>
      <c r="D17" s="351">
        <f t="shared" ref="D17:H17" si="1">D16/D15</f>
        <v>24913.826985363521</v>
      </c>
      <c r="E17" s="351">
        <f t="shared" si="1"/>
        <v>25862.215024937261</v>
      </c>
      <c r="F17" s="351">
        <f t="shared" si="1"/>
        <v>26846.705100305633</v>
      </c>
      <c r="G17" s="351">
        <f t="shared" si="1"/>
        <v>27868.671498083524</v>
      </c>
      <c r="H17" s="351">
        <f t="shared" si="1"/>
        <v>28929.540819489652</v>
      </c>
      <c r="M17" s="30" t="s">
        <v>78</v>
      </c>
      <c r="N17" s="30" t="s">
        <v>79</v>
      </c>
      <c r="O17" s="30" t="s">
        <v>80</v>
      </c>
      <c r="P17" s="37" t="s">
        <v>81</v>
      </c>
    </row>
    <row r="18" spans="1:22" ht="14.4" customHeight="1">
      <c r="A18" s="413" t="s">
        <v>501</v>
      </c>
      <c r="B18" s="413"/>
      <c r="C18" s="413"/>
      <c r="D18" s="413"/>
      <c r="E18" s="413"/>
      <c r="F18" s="413"/>
      <c r="G18" s="413"/>
      <c r="H18" s="413"/>
      <c r="I18" s="236"/>
      <c r="J18" s="236"/>
      <c r="K18" s="236"/>
      <c r="L18" s="236"/>
      <c r="M18" s="30" t="s">
        <v>82</v>
      </c>
      <c r="N18" s="44">
        <v>1.6500000000000001E-2</v>
      </c>
      <c r="O18" s="44">
        <v>1.6799999999999999E-2</v>
      </c>
      <c r="P18" s="45">
        <v>5.4999999999999997E-3</v>
      </c>
      <c r="T18" s="236"/>
      <c r="U18" s="236"/>
      <c r="V18" s="236"/>
    </row>
    <row r="19" spans="1:22">
      <c r="M19" s="30" t="s">
        <v>83</v>
      </c>
      <c r="N19" s="44">
        <v>9.7000000000000003E-3</v>
      </c>
      <c r="O19" s="44">
        <v>8.8999999999999999E-3</v>
      </c>
      <c r="P19" s="45">
        <v>5.8999999999999999E-3</v>
      </c>
    </row>
    <row r="20" spans="1:22">
      <c r="M20" s="30" t="s">
        <v>82</v>
      </c>
      <c r="N20" s="44">
        <v>2.47E-2</v>
      </c>
      <c r="O20" s="44">
        <v>2.1100000000000001E-2</v>
      </c>
      <c r="P20" s="45">
        <v>8.8999999999999999E-3</v>
      </c>
    </row>
    <row r="21" spans="1:22">
      <c r="M21" s="30" t="s">
        <v>84</v>
      </c>
      <c r="N21" s="30">
        <v>5.7</v>
      </c>
      <c r="O21" s="30">
        <v>10.8</v>
      </c>
      <c r="P21" s="37">
        <v>6.7</v>
      </c>
    </row>
    <row r="22" spans="1:22">
      <c r="M22" s="30" t="s">
        <v>82</v>
      </c>
      <c r="N22" s="44">
        <v>2.0199999999999999E-2</v>
      </c>
      <c r="O22" s="30"/>
      <c r="P22" s="37"/>
    </row>
    <row r="25" spans="1:22">
      <c r="M25" s="414" t="s">
        <v>85</v>
      </c>
      <c r="N25" s="414"/>
      <c r="O25" s="414"/>
      <c r="P25" s="414"/>
      <c r="Q25" s="349"/>
      <c r="R25" s="349"/>
      <c r="S25" s="349"/>
    </row>
    <row r="27" spans="1:22">
      <c r="M27" s="35"/>
      <c r="N27" s="412">
        <v>2015</v>
      </c>
      <c r="O27" s="412"/>
      <c r="P27" s="412"/>
    </row>
    <row r="28" spans="1:22">
      <c r="M28" s="30"/>
      <c r="N28" s="30" t="s">
        <v>63</v>
      </c>
      <c r="O28" s="30" t="s">
        <v>64</v>
      </c>
      <c r="P28" s="37" t="s">
        <v>69</v>
      </c>
    </row>
    <row r="29" spans="1:22">
      <c r="M29" s="30" t="s">
        <v>70</v>
      </c>
      <c r="N29" s="30" t="s">
        <v>71</v>
      </c>
      <c r="O29" s="30" t="s">
        <v>72</v>
      </c>
      <c r="P29" s="37" t="s">
        <v>73</v>
      </c>
    </row>
    <row r="30" spans="1:22">
      <c r="M30" s="30" t="s">
        <v>74</v>
      </c>
      <c r="N30" s="30" t="s">
        <v>75</v>
      </c>
      <c r="O30" s="30" t="s">
        <v>76</v>
      </c>
      <c r="P30" s="37" t="s">
        <v>77</v>
      </c>
    </row>
    <row r="31" spans="1:22">
      <c r="M31" s="30" t="s">
        <v>78</v>
      </c>
      <c r="N31" s="30" t="s">
        <v>79</v>
      </c>
      <c r="O31" s="30" t="s">
        <v>80</v>
      </c>
      <c r="P31" s="37" t="s">
        <v>81</v>
      </c>
    </row>
    <row r="32" spans="1:22">
      <c r="M32" s="30" t="s">
        <v>82</v>
      </c>
      <c r="N32" s="44">
        <v>1.6500000000000001E-2</v>
      </c>
      <c r="O32" s="44">
        <v>1.6799999999999999E-2</v>
      </c>
      <c r="P32" s="45">
        <v>5.4999999999999997E-3</v>
      </c>
    </row>
    <row r="33" spans="13:16">
      <c r="M33" s="30" t="s">
        <v>83</v>
      </c>
      <c r="N33" s="44">
        <v>9.7000000000000003E-3</v>
      </c>
      <c r="O33" s="44">
        <v>8.8999999999999999E-3</v>
      </c>
      <c r="P33" s="45">
        <v>5.8999999999999999E-3</v>
      </c>
    </row>
    <row r="34" spans="13:16">
      <c r="M34" s="30" t="s">
        <v>82</v>
      </c>
      <c r="N34" s="44">
        <v>2.47E-2</v>
      </c>
      <c r="O34" s="44">
        <v>2.1100000000000001E-2</v>
      </c>
      <c r="P34" s="45">
        <v>8.8999999999999999E-3</v>
      </c>
    </row>
    <row r="35" spans="13:16">
      <c r="M35" s="30" t="s">
        <v>84</v>
      </c>
      <c r="N35" s="143">
        <v>5.7</v>
      </c>
      <c r="O35" s="143">
        <v>10.8</v>
      </c>
      <c r="P35" s="250">
        <v>6.7</v>
      </c>
    </row>
    <row r="36" spans="13:16">
      <c r="M36" s="30" t="s">
        <v>82</v>
      </c>
      <c r="N36" s="44">
        <v>2.0199999999999999E-2</v>
      </c>
      <c r="O36" s="30"/>
      <c r="P36" s="37"/>
    </row>
  </sheetData>
  <mergeCells count="8">
    <mergeCell ref="N13:P13"/>
    <mergeCell ref="N27:P27"/>
    <mergeCell ref="A18:H18"/>
    <mergeCell ref="M25:P25"/>
    <mergeCell ref="A2:G2"/>
    <mergeCell ref="A8:N8"/>
    <mergeCell ref="M11:P11"/>
    <mergeCell ref="A11:H11"/>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AK65"/>
  <sheetViews>
    <sheetView topLeftCell="A28" zoomScale="70" zoomScaleNormal="70" workbookViewId="0">
      <selection activeCell="I29" sqref="I29"/>
    </sheetView>
  </sheetViews>
  <sheetFormatPr baseColWidth="10" defaultColWidth="8.88671875" defaultRowHeight="14.4"/>
  <cols>
    <col min="1" max="1" width="22.5546875" customWidth="1"/>
    <col min="2" max="13" width="10.44140625" customWidth="1"/>
    <col min="14" max="14" width="10.44140625" style="364" customWidth="1"/>
    <col min="15" max="15" width="15.88671875" customWidth="1"/>
    <col min="16" max="1027" width="10.44140625" customWidth="1"/>
  </cols>
  <sheetData>
    <row r="2" spans="1:25" ht="25.8">
      <c r="A2" s="421" t="s">
        <v>477</v>
      </c>
      <c r="B2" s="421"/>
      <c r="C2" s="421"/>
      <c r="D2" s="421"/>
      <c r="E2" s="421"/>
      <c r="F2" s="421"/>
      <c r="G2" s="421"/>
      <c r="H2" s="421"/>
      <c r="I2" s="421"/>
      <c r="J2" s="421"/>
      <c r="P2" s="421" t="s">
        <v>478</v>
      </c>
      <c r="Q2" s="421"/>
      <c r="R2" s="421"/>
      <c r="S2" s="421"/>
      <c r="T2" s="421"/>
      <c r="U2" s="421"/>
      <c r="V2" s="421"/>
      <c r="W2" s="421"/>
      <c r="X2" s="421"/>
      <c r="Y2" s="421"/>
    </row>
    <row r="6" spans="1:25">
      <c r="A6" s="414" t="s">
        <v>55</v>
      </c>
      <c r="B6" s="414"/>
      <c r="C6" s="414"/>
      <c r="D6" s="414"/>
      <c r="E6" s="414"/>
      <c r="F6" s="414"/>
      <c r="G6" s="414"/>
      <c r="H6" s="414"/>
      <c r="I6" s="414"/>
    </row>
    <row r="7" spans="1:25">
      <c r="A7" s="426" t="s">
        <v>412</v>
      </c>
      <c r="B7" s="426"/>
      <c r="C7" s="426"/>
      <c r="D7" s="426"/>
      <c r="E7" s="426"/>
      <c r="F7" s="426"/>
      <c r="G7" s="426"/>
      <c r="H7" s="426"/>
      <c r="I7" s="426"/>
      <c r="J7" s="426"/>
      <c r="K7" s="426"/>
      <c r="L7" s="426"/>
      <c r="M7" s="298"/>
      <c r="N7" s="365"/>
    </row>
    <row r="8" spans="1:25">
      <c r="A8" s="35"/>
      <c r="B8" s="30">
        <v>2010</v>
      </c>
      <c r="C8" s="30">
        <v>2011</v>
      </c>
      <c r="D8" s="30">
        <v>2012</v>
      </c>
      <c r="E8" s="30">
        <v>2013</v>
      </c>
      <c r="F8" s="30">
        <v>2014</v>
      </c>
      <c r="G8" s="30">
        <v>2015</v>
      </c>
      <c r="H8" s="30">
        <v>2016</v>
      </c>
      <c r="I8" s="30">
        <v>2017</v>
      </c>
      <c r="J8" s="30">
        <v>2018</v>
      </c>
      <c r="K8" s="30">
        <v>2019</v>
      </c>
      <c r="L8" s="30">
        <v>2020</v>
      </c>
      <c r="M8" s="195"/>
      <c r="N8" s="366"/>
    </row>
    <row r="9" spans="1:25">
      <c r="A9" s="419" t="s">
        <v>147</v>
      </c>
      <c r="B9" s="419"/>
      <c r="C9" s="419"/>
      <c r="D9" s="419"/>
      <c r="E9" s="419"/>
      <c r="F9" s="419"/>
      <c r="G9" s="419"/>
      <c r="H9" s="419"/>
      <c r="I9" s="419"/>
      <c r="J9" s="419"/>
      <c r="K9" s="419"/>
      <c r="L9" s="419"/>
      <c r="M9" s="357"/>
      <c r="N9" s="367"/>
    </row>
    <row r="10" spans="1:25">
      <c r="A10" s="30" t="s">
        <v>148</v>
      </c>
      <c r="B10" s="30"/>
      <c r="C10" s="30"/>
      <c r="D10" s="30"/>
      <c r="E10" s="30"/>
      <c r="F10" s="30"/>
      <c r="G10" s="30"/>
      <c r="H10" s="30"/>
      <c r="I10" s="30"/>
      <c r="J10" s="30"/>
      <c r="K10" s="30"/>
      <c r="L10" s="30"/>
      <c r="M10" s="358"/>
      <c r="N10" s="366"/>
    </row>
    <row r="11" spans="1:25">
      <c r="A11" s="30" t="s">
        <v>14</v>
      </c>
      <c r="B11" s="104">
        <v>0.49</v>
      </c>
      <c r="C11" s="104">
        <v>0.47</v>
      </c>
      <c r="D11" s="104">
        <v>0.48</v>
      </c>
      <c r="E11" s="104">
        <v>0.45</v>
      </c>
      <c r="F11" s="104">
        <v>0.42</v>
      </c>
      <c r="G11" s="104">
        <v>0.4</v>
      </c>
      <c r="H11" s="104">
        <v>0.39</v>
      </c>
      <c r="I11" s="104">
        <v>0.38</v>
      </c>
      <c r="J11" s="104">
        <v>0.36</v>
      </c>
      <c r="K11" s="259">
        <v>0.35799999999999998</v>
      </c>
      <c r="L11" s="259">
        <v>0.30199999999999999</v>
      </c>
      <c r="M11" s="359"/>
      <c r="N11" s="368"/>
    </row>
    <row r="12" spans="1:25">
      <c r="A12" s="30" t="s">
        <v>16</v>
      </c>
      <c r="B12" s="104">
        <v>0.18</v>
      </c>
      <c r="C12" s="104">
        <v>0.22</v>
      </c>
      <c r="D12" s="104">
        <v>0.17</v>
      </c>
      <c r="E12" s="104">
        <v>0.17</v>
      </c>
      <c r="F12" s="104">
        <v>0.25</v>
      </c>
      <c r="G12" s="104">
        <v>0.24</v>
      </c>
      <c r="H12" s="104">
        <v>0.27</v>
      </c>
      <c r="I12" s="104">
        <v>0.3</v>
      </c>
      <c r="J12" s="104">
        <v>0.28000000000000003</v>
      </c>
      <c r="K12" s="104">
        <v>0.33</v>
      </c>
      <c r="L12" s="259">
        <v>0.41599999999999998</v>
      </c>
      <c r="M12" s="359"/>
      <c r="N12" s="368"/>
    </row>
    <row r="13" spans="1:25">
      <c r="A13" s="30" t="s">
        <v>27</v>
      </c>
      <c r="B13" s="104">
        <v>0</v>
      </c>
      <c r="C13" s="104">
        <v>0</v>
      </c>
      <c r="D13" s="104">
        <v>0</v>
      </c>
      <c r="E13" s="104">
        <v>0</v>
      </c>
      <c r="F13" s="104">
        <v>0</v>
      </c>
      <c r="G13" s="104">
        <v>0</v>
      </c>
      <c r="H13" s="104">
        <v>0</v>
      </c>
      <c r="I13" s="104">
        <v>0</v>
      </c>
      <c r="J13" s="104">
        <v>0</v>
      </c>
      <c r="K13" s="104">
        <v>0</v>
      </c>
      <c r="L13" s="259">
        <v>0</v>
      </c>
      <c r="M13" s="359"/>
      <c r="N13" s="368"/>
    </row>
    <row r="14" spans="1:25">
      <c r="A14" s="30" t="s">
        <v>149</v>
      </c>
      <c r="B14" s="104">
        <v>0</v>
      </c>
      <c r="C14" s="104">
        <v>0</v>
      </c>
      <c r="D14" s="104">
        <v>0</v>
      </c>
      <c r="E14" s="104">
        <v>0</v>
      </c>
      <c r="F14" s="104">
        <v>0</v>
      </c>
      <c r="G14" s="104">
        <v>0</v>
      </c>
      <c r="H14" s="104">
        <v>0</v>
      </c>
      <c r="I14" s="104">
        <v>0</v>
      </c>
      <c r="J14" s="104">
        <v>0</v>
      </c>
      <c r="K14" s="104">
        <v>0</v>
      </c>
      <c r="L14" s="104">
        <v>0</v>
      </c>
      <c r="M14" s="360"/>
      <c r="N14" s="369"/>
    </row>
    <row r="15" spans="1:25">
      <c r="A15" s="30" t="s">
        <v>7</v>
      </c>
      <c r="B15" s="104">
        <v>0</v>
      </c>
      <c r="C15" s="104">
        <v>0</v>
      </c>
      <c r="D15" s="104">
        <v>0</v>
      </c>
      <c r="E15" s="104">
        <v>0</v>
      </c>
      <c r="F15" s="104">
        <v>0</v>
      </c>
      <c r="G15" s="104">
        <v>0</v>
      </c>
      <c r="H15" s="104">
        <v>0</v>
      </c>
      <c r="I15" s="104">
        <v>0</v>
      </c>
      <c r="J15" s="104">
        <v>0</v>
      </c>
      <c r="K15" s="104">
        <v>0</v>
      </c>
      <c r="L15" s="104">
        <v>0</v>
      </c>
      <c r="M15" s="360"/>
      <c r="N15" s="369"/>
    </row>
    <row r="16" spans="1:25">
      <c r="A16" s="30" t="s">
        <v>385</v>
      </c>
      <c r="B16" s="104">
        <v>0</v>
      </c>
      <c r="C16" s="104">
        <v>0</v>
      </c>
      <c r="D16" s="104">
        <v>0</v>
      </c>
      <c r="E16" s="104">
        <v>0</v>
      </c>
      <c r="F16" s="104">
        <v>0</v>
      </c>
      <c r="G16" s="104">
        <v>0</v>
      </c>
      <c r="H16" s="104">
        <v>0</v>
      </c>
      <c r="I16" s="104">
        <v>0</v>
      </c>
      <c r="J16" s="104">
        <v>0</v>
      </c>
      <c r="K16" s="104">
        <v>2E-3</v>
      </c>
      <c r="L16" s="259">
        <v>2E-3</v>
      </c>
      <c r="M16" s="359"/>
      <c r="N16" s="368"/>
    </row>
    <row r="17" spans="1:37">
      <c r="A17" s="30" t="s">
        <v>384</v>
      </c>
      <c r="B17" s="104">
        <v>0.1</v>
      </c>
      <c r="C17" s="104">
        <v>0.1</v>
      </c>
      <c r="D17" s="104">
        <v>0.1</v>
      </c>
      <c r="E17" s="104">
        <v>0.09</v>
      </c>
      <c r="F17" s="104">
        <v>0.09</v>
      </c>
      <c r="G17" s="104">
        <v>0.09</v>
      </c>
      <c r="H17" s="104">
        <v>0.08</v>
      </c>
      <c r="I17" s="104">
        <v>0.09</v>
      </c>
      <c r="J17" s="104">
        <v>7.0000000000000007E-2</v>
      </c>
      <c r="K17" s="259">
        <v>7.9000000000000001E-2</v>
      </c>
      <c r="L17" s="104">
        <v>7.0000000000000007E-2</v>
      </c>
      <c r="M17" s="360"/>
      <c r="N17" s="369"/>
    </row>
    <row r="18" spans="1:37">
      <c r="A18" s="30" t="s">
        <v>26</v>
      </c>
      <c r="B18" s="104">
        <v>0.04</v>
      </c>
      <c r="C18" s="104">
        <v>0.06</v>
      </c>
      <c r="D18" s="104">
        <v>0.08</v>
      </c>
      <c r="E18" s="104">
        <v>0.09</v>
      </c>
      <c r="F18" s="104">
        <v>0.09</v>
      </c>
      <c r="G18" s="104">
        <v>0.1</v>
      </c>
      <c r="H18" s="104">
        <v>0.1</v>
      </c>
      <c r="I18" s="104">
        <v>0.09</v>
      </c>
      <c r="J18" s="104">
        <v>0.09</v>
      </c>
      <c r="K18" s="259">
        <v>9.4E-2</v>
      </c>
      <c r="L18" s="259">
        <v>9.4E-2</v>
      </c>
      <c r="M18" s="359"/>
      <c r="N18" s="368"/>
    </row>
    <row r="19" spans="1:37">
      <c r="A19" s="30" t="s">
        <v>25</v>
      </c>
      <c r="B19" s="104">
        <v>0.2</v>
      </c>
      <c r="C19" s="104">
        <v>0.15</v>
      </c>
      <c r="D19" s="104">
        <v>0.17</v>
      </c>
      <c r="E19" s="104">
        <v>0.2</v>
      </c>
      <c r="F19" s="104">
        <v>0.15</v>
      </c>
      <c r="G19" s="104">
        <v>0.17</v>
      </c>
      <c r="H19" s="104">
        <v>0.16</v>
      </c>
      <c r="I19" s="104">
        <v>0.14000000000000001</v>
      </c>
      <c r="J19" s="104">
        <v>0.2</v>
      </c>
      <c r="K19" s="259">
        <v>0.13700000000000001</v>
      </c>
      <c r="L19" s="259">
        <v>0.11600000000000001</v>
      </c>
      <c r="M19" s="359"/>
      <c r="N19" s="368"/>
    </row>
    <row r="20" spans="1:37">
      <c r="A20" s="30" t="s">
        <v>411</v>
      </c>
      <c r="B20" s="104">
        <v>0</v>
      </c>
      <c r="C20" s="104">
        <v>0</v>
      </c>
      <c r="D20" s="104">
        <v>0</v>
      </c>
      <c r="E20" s="104">
        <v>0</v>
      </c>
      <c r="F20" s="104">
        <v>0</v>
      </c>
      <c r="G20" s="104">
        <v>0</v>
      </c>
      <c r="H20" s="104">
        <v>0</v>
      </c>
      <c r="I20" s="104">
        <v>0</v>
      </c>
      <c r="J20" s="104">
        <v>0</v>
      </c>
      <c r="K20" s="259">
        <v>0</v>
      </c>
      <c r="L20" s="104">
        <v>0</v>
      </c>
      <c r="M20" s="360"/>
      <c r="N20" s="369"/>
    </row>
    <row r="21" spans="1:37">
      <c r="A21" s="91" t="s">
        <v>23</v>
      </c>
      <c r="B21" s="260">
        <f>SUM(B10:B20)</f>
        <v>1.01</v>
      </c>
      <c r="C21" s="260">
        <f t="shared" ref="C21:K21" si="0">SUM(C10:C20)</f>
        <v>0.99999999999999989</v>
      </c>
      <c r="D21" s="260">
        <f t="shared" si="0"/>
        <v>1</v>
      </c>
      <c r="E21" s="260">
        <f t="shared" si="0"/>
        <v>1</v>
      </c>
      <c r="F21" s="260">
        <f t="shared" si="0"/>
        <v>0.99999999999999989</v>
      </c>
      <c r="G21" s="260">
        <f t="shared" si="0"/>
        <v>1</v>
      </c>
      <c r="H21" s="260">
        <f t="shared" si="0"/>
        <v>1</v>
      </c>
      <c r="I21" s="260">
        <f t="shared" si="0"/>
        <v>0.99999999999999989</v>
      </c>
      <c r="J21" s="260">
        <f t="shared" si="0"/>
        <v>1</v>
      </c>
      <c r="K21" s="260">
        <f t="shared" si="0"/>
        <v>0.99999999999999989</v>
      </c>
      <c r="L21" s="296">
        <f>SUM(L11:L20)</f>
        <v>1</v>
      </c>
      <c r="M21" s="359"/>
      <c r="N21" s="368"/>
    </row>
    <row r="22" spans="1:37">
      <c r="A22" s="30" t="s">
        <v>151</v>
      </c>
      <c r="B22" s="259">
        <f t="shared" ref="B22" si="1">B14+B17+B18+B19+B20</f>
        <v>0.34</v>
      </c>
      <c r="C22" s="259">
        <f t="shared" ref="C22:D22" si="2">C14+C17+C18+C19+C20</f>
        <v>0.31</v>
      </c>
      <c r="D22" s="259">
        <f t="shared" si="2"/>
        <v>0.35</v>
      </c>
      <c r="E22" s="259">
        <f t="shared" ref="E22:H22" si="3">E14+E17+E18+E19+E20</f>
        <v>0.38</v>
      </c>
      <c r="F22" s="259">
        <f t="shared" si="3"/>
        <v>0.32999999999999996</v>
      </c>
      <c r="G22" s="259">
        <f t="shared" si="3"/>
        <v>0.36</v>
      </c>
      <c r="H22" s="259">
        <f t="shared" si="3"/>
        <v>0.33999999999999997</v>
      </c>
      <c r="I22" s="259">
        <f t="shared" ref="I22:J22" si="4">I14+I17+I18+I19+I20</f>
        <v>0.32</v>
      </c>
      <c r="J22" s="259">
        <f t="shared" si="4"/>
        <v>0.36</v>
      </c>
      <c r="K22" s="259">
        <f>K14+K17+K18+K19+K20+K16</f>
        <v>0.312</v>
      </c>
      <c r="L22" s="259">
        <f>L14+L17+L18+L19+L20+L16</f>
        <v>0.28200000000000003</v>
      </c>
      <c r="M22" s="359"/>
      <c r="N22" s="368"/>
    </row>
    <row r="23" spans="1:37">
      <c r="A23" s="427" t="s">
        <v>413</v>
      </c>
      <c r="B23" s="427"/>
      <c r="C23" s="427"/>
      <c r="D23" s="427"/>
      <c r="E23" s="427"/>
      <c r="F23" s="427"/>
      <c r="G23" s="427"/>
      <c r="H23" s="427"/>
      <c r="I23" s="427"/>
      <c r="J23" s="427"/>
      <c r="K23" s="427"/>
      <c r="L23" s="427"/>
      <c r="M23" s="361"/>
      <c r="N23" s="370"/>
    </row>
    <row r="25" spans="1:37">
      <c r="A25" s="414" t="s">
        <v>472</v>
      </c>
      <c r="B25" s="414"/>
      <c r="C25" s="414"/>
      <c r="D25" s="414"/>
      <c r="E25" s="414"/>
      <c r="F25" s="414"/>
      <c r="G25" s="414"/>
      <c r="H25" s="414"/>
      <c r="I25" s="414"/>
      <c r="P25" s="414" t="s">
        <v>475</v>
      </c>
      <c r="Q25" s="414"/>
      <c r="R25" s="414"/>
      <c r="S25" s="414"/>
      <c r="T25" s="414"/>
      <c r="U25" s="414"/>
      <c r="V25" s="414"/>
      <c r="W25" s="414"/>
      <c r="X25" s="414"/>
      <c r="AB25" s="414" t="s">
        <v>153</v>
      </c>
      <c r="AC25" s="414"/>
      <c r="AD25" s="414"/>
      <c r="AE25" s="414"/>
      <c r="AF25" s="414"/>
      <c r="AG25" s="414"/>
      <c r="AH25" s="414"/>
      <c r="AI25" s="414"/>
      <c r="AJ25" s="414"/>
    </row>
    <row r="27" spans="1:37">
      <c r="A27" s="261"/>
      <c r="B27" s="261">
        <v>2015</v>
      </c>
      <c r="C27" s="261">
        <v>2020</v>
      </c>
      <c r="D27" s="261">
        <v>2025</v>
      </c>
      <c r="E27" s="261">
        <v>2030</v>
      </c>
      <c r="F27" s="261">
        <v>2035</v>
      </c>
      <c r="G27" s="261">
        <v>2040</v>
      </c>
      <c r="H27" s="261">
        <v>2045</v>
      </c>
      <c r="I27" s="261">
        <v>2050</v>
      </c>
      <c r="P27" s="261"/>
      <c r="Q27" s="261">
        <v>2015</v>
      </c>
      <c r="R27" s="261">
        <v>2020</v>
      </c>
      <c r="S27" s="261">
        <v>2025</v>
      </c>
      <c r="T27" s="261">
        <v>2030</v>
      </c>
      <c r="U27" s="261">
        <v>2035</v>
      </c>
      <c r="V27" s="261">
        <v>2040</v>
      </c>
      <c r="W27" s="261">
        <v>2045</v>
      </c>
      <c r="X27" s="261">
        <v>2050</v>
      </c>
      <c r="AB27" s="261"/>
      <c r="AC27" s="261">
        <v>2015</v>
      </c>
      <c r="AD27" s="262">
        <v>2018</v>
      </c>
      <c r="AE27" s="262">
        <v>2023</v>
      </c>
      <c r="AF27" s="262">
        <v>2028</v>
      </c>
      <c r="AG27" s="262">
        <v>2033</v>
      </c>
      <c r="AH27" s="261">
        <v>2040</v>
      </c>
      <c r="AI27" s="261">
        <v>2045</v>
      </c>
      <c r="AJ27" s="261">
        <v>2050</v>
      </c>
    </row>
    <row r="28" spans="1:37" s="380" customFormat="1">
      <c r="A28" s="418" t="s">
        <v>496</v>
      </c>
      <c r="B28" s="418"/>
      <c r="C28" s="418"/>
      <c r="D28" s="418"/>
      <c r="E28" s="418"/>
      <c r="F28" s="418"/>
      <c r="G28" s="418"/>
      <c r="H28" s="418"/>
      <c r="I28" s="418"/>
      <c r="N28" s="364"/>
      <c r="P28" s="381"/>
      <c r="Q28" s="382"/>
      <c r="R28" s="382"/>
      <c r="S28" s="382"/>
      <c r="T28" s="382"/>
      <c r="U28" s="382"/>
      <c r="V28" s="382"/>
      <c r="W28" s="382"/>
      <c r="X28" s="383"/>
      <c r="AB28" s="261"/>
      <c r="AC28" s="261"/>
      <c r="AD28" s="262"/>
      <c r="AE28" s="262"/>
      <c r="AF28" s="262"/>
      <c r="AG28" s="262"/>
      <c r="AH28" s="261"/>
      <c r="AI28" s="261"/>
      <c r="AJ28" s="261"/>
    </row>
    <row r="29" spans="1:37" s="380" customFormat="1">
      <c r="A29" s="261"/>
      <c r="B29" s="261"/>
      <c r="C29" s="261"/>
      <c r="D29" s="261"/>
      <c r="E29" s="271">
        <f>-'Bilan d''énergie'!O118</f>
        <v>3299.8402604239241</v>
      </c>
      <c r="F29" s="271">
        <f>-'Bilan d''énergie'!O159</f>
        <v>3640.5473479835086</v>
      </c>
      <c r="G29" s="271">
        <f>-'Bilan d''énergie'!O200</f>
        <v>4008.0729290451982</v>
      </c>
      <c r="H29" s="271">
        <f>-'Bilan d''énergie'!O241</f>
        <v>4352.5746243848353</v>
      </c>
      <c r="I29" s="271">
        <f>-'Bilan d''énergie'!O282</f>
        <v>4646.4865344218279</v>
      </c>
      <c r="N29" s="364"/>
      <c r="P29" s="381"/>
      <c r="Q29" s="382"/>
      <c r="R29" s="382"/>
      <c r="S29" s="382"/>
      <c r="T29" s="382"/>
      <c r="U29" s="382"/>
      <c r="V29" s="382"/>
      <c r="W29" s="382"/>
      <c r="X29" s="383"/>
      <c r="AB29" s="261"/>
      <c r="AC29" s="261"/>
      <c r="AD29" s="262"/>
      <c r="AE29" s="262"/>
      <c r="AF29" s="262"/>
      <c r="AG29" s="262"/>
      <c r="AH29" s="261"/>
      <c r="AI29" s="261"/>
      <c r="AJ29" s="261"/>
    </row>
    <row r="30" spans="1:37">
      <c r="A30" s="418" t="s">
        <v>154</v>
      </c>
      <c r="B30" s="418"/>
      <c r="C30" s="418"/>
      <c r="D30" s="418"/>
      <c r="E30" s="418"/>
      <c r="F30" s="418"/>
      <c r="G30" s="418"/>
      <c r="H30" s="418"/>
      <c r="I30" s="418"/>
      <c r="J30" s="95"/>
      <c r="K30" s="95"/>
      <c r="L30" s="95"/>
      <c r="M30" s="222"/>
      <c r="N30" s="371"/>
      <c r="P30" s="423" t="s">
        <v>154</v>
      </c>
      <c r="Q30" s="424"/>
      <c r="R30" s="424"/>
      <c r="S30" s="424"/>
      <c r="T30" s="424"/>
      <c r="U30" s="424"/>
      <c r="V30" s="424"/>
      <c r="W30" s="424"/>
      <c r="X30" s="425"/>
      <c r="AB30" s="419" t="s">
        <v>154</v>
      </c>
      <c r="AC30" s="419"/>
      <c r="AD30" s="419"/>
      <c r="AE30" s="419"/>
      <c r="AF30" s="419"/>
      <c r="AG30" s="419"/>
      <c r="AH30" s="419"/>
      <c r="AI30" s="419"/>
      <c r="AJ30" s="419"/>
    </row>
    <row r="31" spans="1:37">
      <c r="A31" s="30" t="s">
        <v>148</v>
      </c>
      <c r="B31" s="30"/>
      <c r="C31" s="375"/>
      <c r="D31" s="30"/>
      <c r="E31" s="30"/>
      <c r="F31" s="30"/>
      <c r="G31" s="30"/>
      <c r="H31" s="30"/>
      <c r="I31" s="30"/>
      <c r="J31" s="35"/>
      <c r="K31" s="35"/>
      <c r="L31" s="358"/>
      <c r="M31" s="358"/>
      <c r="N31" s="366"/>
      <c r="P31" s="30" t="s">
        <v>148</v>
      </c>
      <c r="Q31" s="30"/>
      <c r="R31" s="96"/>
      <c r="S31" s="30"/>
      <c r="T31" s="30"/>
      <c r="U31" s="30"/>
      <c r="V31" s="30"/>
      <c r="W31" s="30"/>
      <c r="X31" s="30"/>
      <c r="AB31" s="30" t="s">
        <v>148</v>
      </c>
      <c r="AC31" s="97"/>
      <c r="AD31" s="96"/>
      <c r="AE31" s="30"/>
      <c r="AF31" s="30"/>
      <c r="AG31" s="30"/>
      <c r="AH31" s="30"/>
      <c r="AI31" s="30"/>
      <c r="AJ31" s="30"/>
      <c r="AK31" t="s">
        <v>155</v>
      </c>
    </row>
    <row r="32" spans="1:37">
      <c r="A32" s="30" t="s">
        <v>14</v>
      </c>
      <c r="B32" s="104">
        <v>0.4</v>
      </c>
      <c r="C32" s="375">
        <v>0.30199999999999999</v>
      </c>
      <c r="D32" s="99">
        <v>0</v>
      </c>
      <c r="E32" s="99">
        <v>0</v>
      </c>
      <c r="F32" s="177">
        <v>0</v>
      </c>
      <c r="G32" s="177">
        <v>0</v>
      </c>
      <c r="H32" s="177">
        <v>0</v>
      </c>
      <c r="I32" s="177">
        <v>0</v>
      </c>
      <c r="J32" s="35"/>
      <c r="K32" s="35"/>
      <c r="L32" s="358"/>
      <c r="M32" s="358"/>
      <c r="N32" s="366"/>
      <c r="P32" s="30" t="s">
        <v>14</v>
      </c>
      <c r="Q32" s="30"/>
      <c r="R32" s="98">
        <v>0.36</v>
      </c>
      <c r="S32" s="177">
        <v>0.3</v>
      </c>
      <c r="T32" s="177">
        <v>0.24</v>
      </c>
      <c r="U32" s="177">
        <v>0.18</v>
      </c>
      <c r="V32" s="177">
        <v>0.12000000000000002</v>
      </c>
      <c r="W32" s="177">
        <v>0.06</v>
      </c>
      <c r="X32" s="166">
        <v>0</v>
      </c>
      <c r="AB32" s="30" t="s">
        <v>14</v>
      </c>
      <c r="AC32" s="100">
        <v>0.4</v>
      </c>
      <c r="AD32" s="98">
        <v>0.36</v>
      </c>
      <c r="AE32" s="30"/>
      <c r="AF32" s="30"/>
      <c r="AG32" s="30"/>
      <c r="AH32" s="30"/>
      <c r="AI32" s="30"/>
      <c r="AJ32" s="30"/>
      <c r="AK32" t="s">
        <v>156</v>
      </c>
    </row>
    <row r="33" spans="1:37">
      <c r="A33" s="30" t="s">
        <v>16</v>
      </c>
      <c r="B33" s="104">
        <v>0.24</v>
      </c>
      <c r="C33" s="375">
        <v>0.41599999999999998</v>
      </c>
      <c r="D33" s="99">
        <v>0</v>
      </c>
      <c r="E33" s="99">
        <v>0</v>
      </c>
      <c r="F33" s="177">
        <v>0</v>
      </c>
      <c r="G33" s="177">
        <v>0</v>
      </c>
      <c r="H33" s="177">
        <v>0</v>
      </c>
      <c r="I33" s="177">
        <v>0</v>
      </c>
      <c r="J33" s="35"/>
      <c r="K33" s="35"/>
      <c r="L33" s="358"/>
      <c r="M33" s="358"/>
      <c r="N33" s="366"/>
      <c r="P33" s="30" t="s">
        <v>468</v>
      </c>
      <c r="Q33" s="30"/>
      <c r="R33" s="105">
        <v>0.33</v>
      </c>
      <c r="S33" s="177">
        <v>0.3066666666666667</v>
      </c>
      <c r="T33" s="177">
        <v>0.28333333333333333</v>
      </c>
      <c r="U33" s="177">
        <v>0.26</v>
      </c>
      <c r="V33" s="177">
        <v>0.23666666666666669</v>
      </c>
      <c r="W33" s="177">
        <v>0.21333333333333332</v>
      </c>
      <c r="X33" s="166">
        <v>0.19</v>
      </c>
      <c r="AB33" s="30" t="s">
        <v>16</v>
      </c>
      <c r="AC33" s="100">
        <v>0.24</v>
      </c>
      <c r="AD33" s="101">
        <v>0.33</v>
      </c>
      <c r="AE33" s="30"/>
      <c r="AF33" s="30"/>
      <c r="AG33" s="30"/>
      <c r="AH33" s="30"/>
      <c r="AI33" s="30"/>
      <c r="AJ33" s="102">
        <v>0.19</v>
      </c>
    </row>
    <row r="34" spans="1:37">
      <c r="A34" s="30" t="s">
        <v>27</v>
      </c>
      <c r="B34" s="104">
        <v>0</v>
      </c>
      <c r="C34" s="375">
        <v>0</v>
      </c>
      <c r="D34" s="104">
        <v>0.15</v>
      </c>
      <c r="E34" s="104">
        <v>0.18</v>
      </c>
      <c r="F34" s="104">
        <v>0.18</v>
      </c>
      <c r="G34" s="104">
        <v>0.18</v>
      </c>
      <c r="H34" s="104">
        <v>0.18</v>
      </c>
      <c r="I34" s="104">
        <v>0.18</v>
      </c>
      <c r="J34" s="35"/>
      <c r="K34" s="35"/>
      <c r="L34" s="35"/>
      <c r="M34" s="195"/>
      <c r="N34" s="366"/>
      <c r="P34" s="30" t="s">
        <v>469</v>
      </c>
      <c r="Q34" s="30"/>
      <c r="R34" s="96"/>
      <c r="S34" s="30"/>
      <c r="T34" s="30"/>
      <c r="U34" s="30"/>
      <c r="V34" s="30"/>
      <c r="W34" s="30"/>
      <c r="X34" s="30"/>
      <c r="AB34" s="30" t="s">
        <v>27</v>
      </c>
      <c r="AC34" s="97">
        <v>0</v>
      </c>
      <c r="AD34" s="96"/>
      <c r="AE34" s="30"/>
      <c r="AF34" s="30"/>
      <c r="AG34" s="30"/>
      <c r="AH34" s="30"/>
      <c r="AI34" s="30"/>
      <c r="AJ34" s="30"/>
    </row>
    <row r="35" spans="1:37">
      <c r="A35" s="30" t="s">
        <v>149</v>
      </c>
      <c r="B35" s="104">
        <v>0</v>
      </c>
      <c r="C35" s="375">
        <v>0</v>
      </c>
      <c r="D35" s="104">
        <v>0</v>
      </c>
      <c r="E35" s="104">
        <v>0</v>
      </c>
      <c r="F35" s="104">
        <v>0</v>
      </c>
      <c r="G35" s="104">
        <v>0</v>
      </c>
      <c r="H35" s="104">
        <v>0</v>
      </c>
      <c r="I35" s="104">
        <v>0</v>
      </c>
      <c r="J35" s="103"/>
      <c r="K35" s="35"/>
      <c r="L35" s="35"/>
      <c r="M35" s="195"/>
      <c r="N35" s="366"/>
      <c r="P35" s="30" t="s">
        <v>149</v>
      </c>
      <c r="Q35" s="30"/>
      <c r="R35" s="96"/>
      <c r="S35" s="30"/>
      <c r="T35" s="30"/>
      <c r="U35" s="30"/>
      <c r="V35" s="30"/>
      <c r="W35" s="30"/>
      <c r="X35" s="30"/>
      <c r="AB35" s="30" t="s">
        <v>149</v>
      </c>
      <c r="AC35" s="97">
        <v>0</v>
      </c>
      <c r="AD35" s="96"/>
      <c r="AE35" s="30"/>
      <c r="AF35" s="30"/>
      <c r="AG35" s="30"/>
      <c r="AH35" s="30"/>
      <c r="AI35" s="30"/>
      <c r="AJ35" s="30"/>
    </row>
    <row r="36" spans="1:37">
      <c r="A36" s="30" t="s">
        <v>7</v>
      </c>
      <c r="B36" s="104">
        <v>0</v>
      </c>
      <c r="C36" s="375">
        <v>0</v>
      </c>
      <c r="D36" s="104">
        <v>7.0000000000000007E-2</v>
      </c>
      <c r="E36" s="104">
        <v>7.0000000000000007E-2</v>
      </c>
      <c r="F36" s="104">
        <f>$E$36*$E$29/F29</f>
        <v>6.3448925711024992E-2</v>
      </c>
      <c r="G36" s="104">
        <f t="shared" ref="G36:I36" si="5">$E$36*$E$29/G29</f>
        <v>5.763089203187248E-2</v>
      </c>
      <c r="H36" s="104">
        <f t="shared" si="5"/>
        <v>5.3069467651533066E-2</v>
      </c>
      <c r="I36" s="104">
        <f t="shared" si="5"/>
        <v>4.9712576700368535E-2</v>
      </c>
      <c r="J36" s="182"/>
      <c r="K36" s="195"/>
      <c r="L36" s="195"/>
      <c r="M36" s="195"/>
      <c r="N36" s="366"/>
      <c r="P36" s="30" t="s">
        <v>470</v>
      </c>
      <c r="Q36" s="30"/>
      <c r="R36" s="98">
        <v>0.08</v>
      </c>
      <c r="S36" s="104">
        <v>0.10150537634408602</v>
      </c>
      <c r="T36" s="104">
        <v>0.12301075268817205</v>
      </c>
      <c r="U36" s="104">
        <v>0.14451612903225808</v>
      </c>
      <c r="V36" s="104">
        <v>0.16602150537634408</v>
      </c>
      <c r="W36" s="104">
        <v>0.18752688172043011</v>
      </c>
      <c r="X36" s="104">
        <v>0.20903225806451614</v>
      </c>
      <c r="AB36" s="30" t="s">
        <v>7</v>
      </c>
      <c r="AC36" s="97">
        <v>0</v>
      </c>
      <c r="AD36" s="96"/>
      <c r="AE36" s="30"/>
      <c r="AF36" s="30"/>
      <c r="AG36" s="30"/>
      <c r="AH36" s="30"/>
      <c r="AI36" s="30"/>
      <c r="AJ36" s="30"/>
    </row>
    <row r="37" spans="1:37">
      <c r="A37" s="30" t="s">
        <v>385</v>
      </c>
      <c r="B37" s="104">
        <v>0</v>
      </c>
      <c r="C37" s="375">
        <v>2E-3</v>
      </c>
      <c r="D37" s="104">
        <v>0.25</v>
      </c>
      <c r="E37" s="104">
        <v>0.17</v>
      </c>
      <c r="F37" s="104">
        <f>(1-(F32+F33+F34+F35+F36+F39+F40+F41))*$E$37/($E$38+$E$37)</f>
        <v>0.17707100081984603</v>
      </c>
      <c r="G37" s="104">
        <f t="shared" ref="G37:I37" si="6">(1-(G32+G33+G34+G35+G36+G39+G40+G41))*$E$37/($E$38+$E$37)</f>
        <v>0.18335078320369322</v>
      </c>
      <c r="H37" s="104">
        <f t="shared" si="6"/>
        <v>0.18827422539199606</v>
      </c>
      <c r="I37" s="104">
        <f t="shared" si="6"/>
        <v>0.1918975362599197</v>
      </c>
      <c r="J37" s="182"/>
      <c r="K37" s="195"/>
      <c r="L37" s="195"/>
      <c r="M37" s="195"/>
      <c r="N37" s="366"/>
      <c r="P37" s="30" t="s">
        <v>471</v>
      </c>
      <c r="Q37" s="30"/>
      <c r="R37" s="105">
        <v>0.09</v>
      </c>
      <c r="S37" s="104">
        <v>0.11419354838709675</v>
      </c>
      <c r="T37" s="104">
        <v>0.13838709677419353</v>
      </c>
      <c r="U37" s="104">
        <v>0.16258064516129031</v>
      </c>
      <c r="V37" s="104">
        <v>0.18677419354838706</v>
      </c>
      <c r="W37" s="104">
        <v>0.21096774193548384</v>
      </c>
      <c r="X37" s="104">
        <v>0.23516129032258062</v>
      </c>
      <c r="AB37" s="30" t="s">
        <v>385</v>
      </c>
      <c r="AC37" s="97">
        <v>0</v>
      </c>
      <c r="AD37" s="96"/>
      <c r="AE37" s="30"/>
      <c r="AF37" s="30"/>
      <c r="AG37" s="30"/>
      <c r="AH37" s="30"/>
      <c r="AI37" s="30"/>
      <c r="AJ37" s="30"/>
    </row>
    <row r="38" spans="1:37">
      <c r="A38" s="30" t="s">
        <v>384</v>
      </c>
      <c r="B38" s="104">
        <v>0.09</v>
      </c>
      <c r="C38" s="375">
        <v>7.0000000000000007E-2</v>
      </c>
      <c r="D38" s="104">
        <v>0.32</v>
      </c>
      <c r="E38" s="104">
        <v>0.37</v>
      </c>
      <c r="F38" s="104">
        <f>(1-(F32+F33+F34+F35+F36+F39+F40+F41))*$E$38/($E$38+$E$37)</f>
        <v>0.38538982531378246</v>
      </c>
      <c r="G38" s="104">
        <f t="shared" ref="G38:I38" si="7">(1-(G32+G33+G34+G35+G36+G39+G40+G41))*$E$38/($E$38+$E$37)</f>
        <v>0.39905758697274402</v>
      </c>
      <c r="H38" s="104">
        <f t="shared" si="7"/>
        <v>0.40977331408846202</v>
      </c>
      <c r="I38" s="104">
        <f t="shared" si="7"/>
        <v>0.41765934362453111</v>
      </c>
      <c r="J38" s="35"/>
      <c r="K38" s="35"/>
      <c r="L38" s="35"/>
      <c r="M38" s="195"/>
      <c r="N38" s="366"/>
      <c r="P38" s="30" t="s">
        <v>25</v>
      </c>
      <c r="Q38" s="30"/>
      <c r="R38" s="98">
        <v>0.14000000000000001</v>
      </c>
      <c r="S38" s="104">
        <v>0.17763440860215055</v>
      </c>
      <c r="T38" s="104">
        <v>0.21526881720430111</v>
      </c>
      <c r="U38" s="104">
        <v>0.25290322580645164</v>
      </c>
      <c r="V38" s="104">
        <v>0.29053763440860214</v>
      </c>
      <c r="W38" s="104">
        <v>0.3281720430107527</v>
      </c>
      <c r="X38" s="104">
        <v>0.36580645161290326</v>
      </c>
      <c r="AB38" s="30" t="s">
        <v>384</v>
      </c>
      <c r="AC38" s="100">
        <v>0.09</v>
      </c>
      <c r="AD38" s="98">
        <v>0.08</v>
      </c>
      <c r="AE38" s="30"/>
      <c r="AF38" s="30"/>
      <c r="AG38" s="30"/>
      <c r="AH38" s="30"/>
      <c r="AI38" s="30"/>
      <c r="AJ38" s="30"/>
    </row>
    <row r="39" spans="1:37">
      <c r="A39" s="30" t="s">
        <v>26</v>
      </c>
      <c r="B39" s="104">
        <v>0.1</v>
      </c>
      <c r="C39" s="375">
        <v>9.4E-2</v>
      </c>
      <c r="D39" s="104">
        <v>0.02</v>
      </c>
      <c r="E39" s="104">
        <v>0.04</v>
      </c>
      <c r="F39" s="104">
        <v>0.04</v>
      </c>
      <c r="G39" s="104">
        <v>0.04</v>
      </c>
      <c r="H39" s="104">
        <v>0.04</v>
      </c>
      <c r="I39" s="104">
        <v>0.04</v>
      </c>
      <c r="J39" s="103"/>
      <c r="K39" s="35"/>
      <c r="L39" s="35"/>
      <c r="M39" s="195"/>
      <c r="N39" s="366"/>
      <c r="P39" s="30" t="s">
        <v>150</v>
      </c>
      <c r="Q39" s="30"/>
      <c r="R39" s="105"/>
      <c r="S39" s="30"/>
      <c r="T39" s="30"/>
      <c r="U39" s="30"/>
      <c r="V39" s="30"/>
      <c r="W39" s="30"/>
      <c r="X39" s="30"/>
      <c r="AB39" s="30" t="s">
        <v>26</v>
      </c>
      <c r="AC39" s="295">
        <v>0.1</v>
      </c>
      <c r="AD39" s="96"/>
      <c r="AE39" s="30"/>
      <c r="AF39" s="30"/>
      <c r="AG39" s="30"/>
      <c r="AH39" s="30"/>
      <c r="AI39" s="30"/>
      <c r="AJ39" s="30"/>
    </row>
    <row r="40" spans="1:37">
      <c r="A40" s="30" t="s">
        <v>25</v>
      </c>
      <c r="B40" s="104">
        <v>0.17</v>
      </c>
      <c r="C40" s="375">
        <v>0.11600000000000001</v>
      </c>
      <c r="D40" s="104">
        <v>0.18</v>
      </c>
      <c r="E40" s="104">
        <v>0.16</v>
      </c>
      <c r="F40" s="104">
        <f>$E$40*$E$29/F29</f>
        <v>0.14502611591091424</v>
      </c>
      <c r="G40" s="104">
        <f t="shared" ref="G40:I40" si="8">$E$40*$E$29/G29</f>
        <v>0.13172775321570851</v>
      </c>
      <c r="H40" s="104">
        <f t="shared" si="8"/>
        <v>0.12130164034636128</v>
      </c>
      <c r="I40" s="104">
        <f t="shared" si="8"/>
        <v>0.11362874674369949</v>
      </c>
      <c r="J40" s="35"/>
      <c r="K40" s="35"/>
      <c r="L40" s="35"/>
      <c r="M40" s="195"/>
      <c r="N40" s="366"/>
      <c r="P40" s="179" t="s">
        <v>23</v>
      </c>
      <c r="Q40" s="179"/>
      <c r="R40" s="105">
        <v>1</v>
      </c>
      <c r="S40" s="179"/>
      <c r="T40" s="179"/>
      <c r="U40" s="179"/>
      <c r="V40" s="179"/>
      <c r="W40" s="179"/>
      <c r="X40" s="356">
        <v>1</v>
      </c>
      <c r="AB40" s="30" t="s">
        <v>25</v>
      </c>
      <c r="AC40" s="100">
        <v>0.17</v>
      </c>
      <c r="AD40" s="98">
        <v>0.14000000000000001</v>
      </c>
      <c r="AE40" s="30"/>
      <c r="AF40" s="30"/>
      <c r="AG40" s="30"/>
      <c r="AH40" s="30"/>
      <c r="AI40" s="30"/>
      <c r="AJ40" s="30"/>
    </row>
    <row r="41" spans="1:37">
      <c r="A41" s="30" t="s">
        <v>411</v>
      </c>
      <c r="B41" s="104">
        <v>0</v>
      </c>
      <c r="C41" s="375">
        <v>0</v>
      </c>
      <c r="D41" s="104">
        <v>0.01</v>
      </c>
      <c r="E41" s="104">
        <v>0.01</v>
      </c>
      <c r="F41" s="104">
        <f>$E$41*$E$29/F29</f>
        <v>9.0641322444321402E-3</v>
      </c>
      <c r="G41" s="104">
        <f t="shared" ref="G41:I41" si="9">$E$41*$E$29/G29</f>
        <v>8.2329845759817818E-3</v>
      </c>
      <c r="H41" s="104">
        <f t="shared" si="9"/>
        <v>7.5813525216475797E-3</v>
      </c>
      <c r="I41" s="104">
        <f t="shared" si="9"/>
        <v>7.1017966714812183E-3</v>
      </c>
      <c r="J41" s="103"/>
      <c r="K41" s="35"/>
      <c r="L41" s="35"/>
      <c r="M41" s="195"/>
      <c r="N41" s="366"/>
      <c r="P41" s="30" t="s">
        <v>151</v>
      </c>
      <c r="Q41" s="30"/>
      <c r="R41" s="105">
        <v>0.31</v>
      </c>
      <c r="S41" s="166">
        <v>0.39333333333333331</v>
      </c>
      <c r="T41" s="166">
        <v>0.47666666666666668</v>
      </c>
      <c r="U41" s="166">
        <v>0.56000000000000005</v>
      </c>
      <c r="V41" s="166">
        <v>0.64333333333333331</v>
      </c>
      <c r="W41" s="166">
        <v>0.72666666666666668</v>
      </c>
      <c r="X41" s="166">
        <v>0.81</v>
      </c>
      <c r="AB41" s="30" t="s">
        <v>411</v>
      </c>
      <c r="AC41" s="97">
        <v>0</v>
      </c>
      <c r="AD41" s="96"/>
      <c r="AE41" s="30"/>
      <c r="AF41" s="30"/>
      <c r="AG41" s="30"/>
      <c r="AH41" s="30"/>
      <c r="AI41" s="30"/>
      <c r="AJ41" s="30"/>
    </row>
    <row r="42" spans="1:37">
      <c r="A42" s="91" t="s">
        <v>23</v>
      </c>
      <c r="B42" s="91"/>
      <c r="C42" s="101">
        <f>SUM(C31:C41)</f>
        <v>1</v>
      </c>
      <c r="D42" s="109">
        <f>SUM(D32:D41)</f>
        <v>1</v>
      </c>
      <c r="E42" s="109">
        <f>SUM(E32:E41)</f>
        <v>1</v>
      </c>
      <c r="F42" s="109">
        <f>SUM(F32:F41)</f>
        <v>0.99999999999999989</v>
      </c>
      <c r="G42" s="109">
        <f t="shared" ref="G42:I42" si="10">SUM(G32:G41)</f>
        <v>1</v>
      </c>
      <c r="H42" s="109">
        <f t="shared" si="10"/>
        <v>1</v>
      </c>
      <c r="I42" s="109">
        <f t="shared" si="10"/>
        <v>1</v>
      </c>
      <c r="J42" s="35"/>
      <c r="K42" s="35"/>
      <c r="L42" s="35"/>
      <c r="M42" s="195"/>
      <c r="N42" s="366"/>
      <c r="AB42" s="91" t="s">
        <v>23</v>
      </c>
      <c r="AC42" s="100">
        <v>1</v>
      </c>
      <c r="AD42" s="101">
        <v>1</v>
      </c>
      <c r="AE42" s="91"/>
      <c r="AF42" s="91"/>
      <c r="AG42" s="91"/>
      <c r="AH42" s="91"/>
      <c r="AI42" s="91"/>
      <c r="AJ42" s="106">
        <v>1</v>
      </c>
    </row>
    <row r="43" spans="1:37">
      <c r="A43" s="30" t="s">
        <v>151</v>
      </c>
      <c r="B43" s="30"/>
      <c r="C43" s="101">
        <v>0.31</v>
      </c>
      <c r="D43" s="102">
        <f>1-(D32+D33)/SUM(D34:D41)</f>
        <v>1</v>
      </c>
      <c r="E43" s="166">
        <f t="shared" ref="E43:I43" si="11">1-(E32+E33)/SUM(E34:E41)</f>
        <v>1</v>
      </c>
      <c r="F43" s="166">
        <f t="shared" si="11"/>
        <v>1</v>
      </c>
      <c r="G43" s="166">
        <f t="shared" si="11"/>
        <v>1</v>
      </c>
      <c r="H43" s="166">
        <f t="shared" si="11"/>
        <v>1</v>
      </c>
      <c r="I43" s="166">
        <f t="shared" si="11"/>
        <v>1</v>
      </c>
      <c r="J43" s="35"/>
      <c r="K43" s="35"/>
      <c r="L43" s="35"/>
      <c r="M43" s="195"/>
      <c r="N43" s="366"/>
      <c r="AB43" s="30" t="s">
        <v>151</v>
      </c>
      <c r="AC43" s="100">
        <v>0.38</v>
      </c>
      <c r="AD43" s="101">
        <v>0.31</v>
      </c>
      <c r="AE43" s="30"/>
      <c r="AF43" s="30"/>
      <c r="AG43" s="30"/>
      <c r="AH43" s="30"/>
      <c r="AI43" s="30"/>
      <c r="AJ43" s="102">
        <v>0.81</v>
      </c>
      <c r="AK43" t="s">
        <v>157</v>
      </c>
    </row>
    <row r="44" spans="1:37" s="362" customFormat="1" ht="31.2" customHeight="1">
      <c r="A44" s="420" t="s">
        <v>497</v>
      </c>
      <c r="B44" s="420"/>
      <c r="C44" s="420"/>
      <c r="D44" s="420"/>
      <c r="E44" s="420"/>
      <c r="F44" s="420"/>
      <c r="G44" s="420"/>
      <c r="H44" s="420"/>
      <c r="I44" s="420"/>
      <c r="N44" s="364"/>
    </row>
    <row r="46" spans="1:37">
      <c r="A46" s="414" t="s">
        <v>473</v>
      </c>
      <c r="B46" s="414"/>
      <c r="C46" s="414"/>
      <c r="D46" s="414"/>
      <c r="E46" s="414"/>
      <c r="F46" s="414"/>
      <c r="G46" s="414"/>
      <c r="H46" s="414"/>
      <c r="I46" s="414"/>
      <c r="P46" s="414" t="s">
        <v>476</v>
      </c>
      <c r="Q46" s="414"/>
      <c r="R46" s="414"/>
      <c r="S46" s="414"/>
      <c r="T46" s="414"/>
      <c r="U46" s="414"/>
      <c r="V46" s="414"/>
      <c r="W46" s="414"/>
      <c r="X46" s="414"/>
      <c r="AB46" s="414" t="s">
        <v>159</v>
      </c>
      <c r="AC46" s="414"/>
      <c r="AD46" s="414"/>
      <c r="AE46" s="414"/>
      <c r="AF46" s="414"/>
      <c r="AG46" s="414"/>
      <c r="AH46" s="414"/>
      <c r="AI46" s="414"/>
      <c r="AJ46" s="414"/>
    </row>
    <row r="48" spans="1:37">
      <c r="A48" s="261"/>
      <c r="B48" s="261">
        <v>2015</v>
      </c>
      <c r="C48" s="261">
        <v>2020</v>
      </c>
      <c r="D48" s="261">
        <v>2025</v>
      </c>
      <c r="E48" s="261">
        <v>2030</v>
      </c>
      <c r="F48" s="261">
        <v>2035</v>
      </c>
      <c r="G48" s="261">
        <v>2040</v>
      </c>
      <c r="H48" s="261">
        <v>2045</v>
      </c>
      <c r="I48" s="261">
        <v>2050</v>
      </c>
      <c r="L48" s="362"/>
      <c r="M48" s="362"/>
      <c r="P48" s="261"/>
      <c r="Q48" s="261">
        <v>2015</v>
      </c>
      <c r="R48" s="261">
        <v>2020</v>
      </c>
      <c r="S48" s="261">
        <v>2025</v>
      </c>
      <c r="T48" s="261">
        <v>2030</v>
      </c>
      <c r="U48" s="261">
        <v>2035</v>
      </c>
      <c r="V48" s="261">
        <v>2040</v>
      </c>
      <c r="W48" s="261">
        <v>2045</v>
      </c>
      <c r="X48" s="261">
        <v>2050</v>
      </c>
      <c r="AB48" s="261"/>
      <c r="AC48" s="261">
        <v>2015</v>
      </c>
      <c r="AD48" s="262">
        <v>2018</v>
      </c>
      <c r="AE48" s="262">
        <v>2023</v>
      </c>
      <c r="AF48" s="262">
        <v>2028</v>
      </c>
      <c r="AG48" s="262">
        <v>2033</v>
      </c>
      <c r="AH48" s="261">
        <v>2040</v>
      </c>
      <c r="AI48" s="261">
        <v>2045</v>
      </c>
      <c r="AJ48" s="261">
        <v>2050</v>
      </c>
    </row>
    <row r="49" spans="1:36" s="380" customFormat="1">
      <c r="A49" s="418" t="s">
        <v>496</v>
      </c>
      <c r="B49" s="418"/>
      <c r="C49" s="418"/>
      <c r="D49" s="418"/>
      <c r="E49" s="418"/>
      <c r="F49" s="418"/>
      <c r="G49" s="418"/>
      <c r="H49" s="418"/>
      <c r="I49" s="418"/>
      <c r="L49" s="362"/>
      <c r="M49" s="362"/>
      <c r="N49" s="364"/>
      <c r="P49" s="261"/>
      <c r="Q49" s="261"/>
      <c r="R49" s="261"/>
      <c r="S49" s="261"/>
      <c r="T49" s="261"/>
      <c r="U49" s="261"/>
      <c r="V49" s="261"/>
      <c r="W49" s="261"/>
      <c r="X49" s="261"/>
      <c r="AB49" s="261"/>
      <c r="AC49" s="261"/>
      <c r="AD49" s="262"/>
      <c r="AE49" s="262"/>
      <c r="AF49" s="262"/>
      <c r="AG49" s="262"/>
      <c r="AH49" s="261"/>
      <c r="AI49" s="261"/>
      <c r="AJ49" s="261"/>
    </row>
    <row r="50" spans="1:36" s="380" customFormat="1">
      <c r="A50" s="261"/>
      <c r="B50" s="261"/>
      <c r="C50" s="261"/>
      <c r="D50" s="261"/>
      <c r="E50" s="261">
        <f>-'Bilan d''énergie'!AI118</f>
        <v>2997.7438898511318</v>
      </c>
      <c r="F50" s="261">
        <f>-'Bilan d''énergie'!AI159</f>
        <v>3378.4371570159101</v>
      </c>
      <c r="G50" s="261">
        <f>-'Bilan d''énergie'!AI200</f>
        <v>3760.8542315942705</v>
      </c>
      <c r="H50" s="261">
        <f>-'Bilan d''énergie'!AI241</f>
        <v>4112.6574864144159</v>
      </c>
      <c r="I50" s="261">
        <f>-'Bilan d''énergie'!AI282</f>
        <v>4307.2518091425418</v>
      </c>
      <c r="L50" s="362"/>
      <c r="M50" s="362"/>
      <c r="N50" s="364"/>
      <c r="P50" s="261"/>
      <c r="Q50" s="261"/>
      <c r="R50" s="261"/>
      <c r="S50" s="261"/>
      <c r="T50" s="261"/>
      <c r="U50" s="261"/>
      <c r="V50" s="261"/>
      <c r="W50" s="261"/>
      <c r="X50" s="261"/>
      <c r="AB50" s="261"/>
      <c r="AC50" s="261"/>
      <c r="AD50" s="262"/>
      <c r="AE50" s="262"/>
      <c r="AF50" s="262"/>
      <c r="AG50" s="262"/>
      <c r="AH50" s="261"/>
      <c r="AI50" s="261"/>
      <c r="AJ50" s="261"/>
    </row>
    <row r="51" spans="1:36">
      <c r="A51" s="418" t="s">
        <v>154</v>
      </c>
      <c r="B51" s="418"/>
      <c r="C51" s="418"/>
      <c r="D51" s="418"/>
      <c r="E51" s="418"/>
      <c r="F51" s="418"/>
      <c r="G51" s="418"/>
      <c r="H51" s="418"/>
      <c r="I51" s="418"/>
      <c r="L51" s="363"/>
      <c r="M51" s="363"/>
      <c r="N51" s="372"/>
      <c r="P51" s="418" t="s">
        <v>154</v>
      </c>
      <c r="Q51" s="418"/>
      <c r="R51" s="418"/>
      <c r="S51" s="418"/>
      <c r="T51" s="418"/>
      <c r="U51" s="418"/>
      <c r="V51" s="418"/>
      <c r="W51" s="418"/>
      <c r="X51" s="418"/>
      <c r="AB51" s="419" t="s">
        <v>154</v>
      </c>
      <c r="AC51" s="419"/>
      <c r="AD51" s="419"/>
      <c r="AE51" s="419"/>
      <c r="AF51" s="419"/>
      <c r="AG51" s="419"/>
      <c r="AH51" s="419"/>
      <c r="AI51" s="419"/>
      <c r="AJ51" s="419"/>
    </row>
    <row r="52" spans="1:36">
      <c r="A52" s="30" t="s">
        <v>148</v>
      </c>
      <c r="B52" s="97"/>
      <c r="C52" s="375"/>
      <c r="D52" s="30"/>
      <c r="E52" s="30"/>
      <c r="F52" s="30"/>
      <c r="G52" s="30"/>
      <c r="H52" s="30"/>
      <c r="I52" s="30"/>
      <c r="L52" s="362"/>
      <c r="M52" s="362"/>
      <c r="P52" s="30" t="s">
        <v>148</v>
      </c>
      <c r="Q52" s="97"/>
      <c r="R52" s="96"/>
      <c r="S52" s="30"/>
      <c r="T52" s="30"/>
      <c r="U52" s="30"/>
      <c r="V52" s="30"/>
      <c r="W52" s="30"/>
      <c r="X52" s="30"/>
      <c r="AB52" s="30" t="s">
        <v>148</v>
      </c>
      <c r="AC52" s="97"/>
      <c r="AD52" s="30"/>
      <c r="AE52" s="30"/>
      <c r="AF52" s="30"/>
      <c r="AG52" s="30"/>
      <c r="AH52" s="30"/>
      <c r="AI52" s="30"/>
      <c r="AJ52" s="30"/>
    </row>
    <row r="53" spans="1:36">
      <c r="A53" s="30" t="s">
        <v>14</v>
      </c>
      <c r="B53" s="100">
        <v>0.4</v>
      </c>
      <c r="C53" s="375">
        <v>0.30199999999999999</v>
      </c>
      <c r="D53" s="177">
        <v>0</v>
      </c>
      <c r="E53" s="102">
        <v>0</v>
      </c>
      <c r="F53" s="166">
        <v>0</v>
      </c>
      <c r="G53" s="166">
        <v>0</v>
      </c>
      <c r="H53" s="166">
        <v>0</v>
      </c>
      <c r="I53" s="166">
        <v>0</v>
      </c>
      <c r="P53" s="30" t="s">
        <v>14</v>
      </c>
      <c r="Q53" s="100">
        <v>0.45</v>
      </c>
      <c r="R53" s="98">
        <v>0.36</v>
      </c>
      <c r="S53" s="166">
        <v>0.3</v>
      </c>
      <c r="T53" s="166">
        <v>0.24</v>
      </c>
      <c r="U53" s="166">
        <v>0.18</v>
      </c>
      <c r="V53" s="166">
        <v>0.12000000000000002</v>
      </c>
      <c r="W53" s="166">
        <v>0.06</v>
      </c>
      <c r="X53" s="107">
        <v>0</v>
      </c>
      <c r="AB53" s="30" t="s">
        <v>14</v>
      </c>
      <c r="AC53" s="100">
        <v>0.4</v>
      </c>
      <c r="AD53" s="30"/>
      <c r="AE53" s="30"/>
      <c r="AF53" s="30"/>
      <c r="AG53" s="30"/>
      <c r="AH53" s="30"/>
      <c r="AI53" s="30"/>
      <c r="AJ53" s="30">
        <v>0</v>
      </c>
    </row>
    <row r="54" spans="1:36">
      <c r="A54" s="30" t="s">
        <v>16</v>
      </c>
      <c r="B54" s="100">
        <v>0.24</v>
      </c>
      <c r="C54" s="375">
        <v>0.41599999999999998</v>
      </c>
      <c r="D54" s="177">
        <v>0</v>
      </c>
      <c r="E54" s="102">
        <v>0</v>
      </c>
      <c r="F54" s="166">
        <v>0</v>
      </c>
      <c r="G54" s="166">
        <v>0</v>
      </c>
      <c r="H54" s="166">
        <v>0</v>
      </c>
      <c r="I54" s="166">
        <v>0</v>
      </c>
      <c r="P54" s="30" t="s">
        <v>468</v>
      </c>
      <c r="Q54" s="100">
        <v>0.17</v>
      </c>
      <c r="R54" s="105">
        <v>0.33</v>
      </c>
      <c r="S54" s="166">
        <v>0.27500000000000002</v>
      </c>
      <c r="T54" s="166">
        <v>0.22</v>
      </c>
      <c r="U54" s="166">
        <v>0.16500000000000001</v>
      </c>
      <c r="V54" s="166">
        <v>0.10999999999999999</v>
      </c>
      <c r="W54" s="166">
        <v>5.4999999999999993E-2</v>
      </c>
      <c r="X54" s="107">
        <v>0</v>
      </c>
      <c r="AB54" s="30" t="s">
        <v>16</v>
      </c>
      <c r="AC54" s="100">
        <v>0.24</v>
      </c>
      <c r="AD54" s="30"/>
      <c r="AE54" s="30"/>
      <c r="AF54" s="30"/>
      <c r="AG54" s="30"/>
      <c r="AH54" s="30"/>
      <c r="AI54" s="30"/>
      <c r="AJ54" s="30">
        <v>0</v>
      </c>
    </row>
    <row r="55" spans="1:36">
      <c r="A55" s="30" t="s">
        <v>27</v>
      </c>
      <c r="B55" s="295">
        <v>0</v>
      </c>
      <c r="C55" s="375">
        <v>0</v>
      </c>
      <c r="D55" s="104">
        <v>0.15</v>
      </c>
      <c r="E55" s="104">
        <v>0.21</v>
      </c>
      <c r="F55" s="104">
        <v>0.21</v>
      </c>
      <c r="G55" s="104">
        <v>0.21</v>
      </c>
      <c r="H55" s="104">
        <v>0.21</v>
      </c>
      <c r="I55" s="104">
        <v>0.21</v>
      </c>
      <c r="P55" s="30" t="s">
        <v>469</v>
      </c>
      <c r="Q55" s="97"/>
      <c r="R55" s="96"/>
      <c r="S55" s="30"/>
      <c r="T55" s="30"/>
      <c r="U55" s="30"/>
      <c r="V55" s="30"/>
      <c r="W55" s="30"/>
      <c r="X55" s="30"/>
      <c r="AB55" s="30" t="s">
        <v>27</v>
      </c>
      <c r="AC55" s="97">
        <v>0</v>
      </c>
      <c r="AD55" s="30"/>
      <c r="AE55" s="30"/>
      <c r="AF55" s="30"/>
      <c r="AG55" s="30"/>
      <c r="AH55" s="30"/>
      <c r="AI55" s="30"/>
      <c r="AJ55" s="30"/>
    </row>
    <row r="56" spans="1:36">
      <c r="A56" s="30" t="s">
        <v>149</v>
      </c>
      <c r="B56" s="295">
        <v>0</v>
      </c>
      <c r="C56" s="375">
        <v>0</v>
      </c>
      <c r="D56" s="104">
        <v>0</v>
      </c>
      <c r="E56" s="104">
        <v>0.01</v>
      </c>
      <c r="F56" s="104">
        <f>$E$56*$E$50/F50</f>
        <v>8.8731675343606663E-3</v>
      </c>
      <c r="G56" s="104">
        <f t="shared" ref="G56:I56" si="12">$E$56*$E$50/G50</f>
        <v>7.9709122057101192E-3</v>
      </c>
      <c r="H56" s="104">
        <f t="shared" si="12"/>
        <v>7.2890677129173924E-3</v>
      </c>
      <c r="I56" s="104">
        <f t="shared" si="12"/>
        <v>6.9597600109845966E-3</v>
      </c>
      <c r="P56" s="30" t="s">
        <v>149</v>
      </c>
      <c r="Q56" s="97"/>
      <c r="R56" s="96"/>
      <c r="S56" s="30"/>
      <c r="T56" s="30"/>
      <c r="U56" s="30"/>
      <c r="V56" s="30"/>
      <c r="W56" s="30"/>
      <c r="X56" s="30"/>
      <c r="AB56" s="30" t="s">
        <v>149</v>
      </c>
      <c r="AC56" s="97">
        <v>0</v>
      </c>
      <c r="AD56" s="30"/>
      <c r="AE56" s="30"/>
      <c r="AF56" s="30"/>
      <c r="AG56" s="30"/>
      <c r="AH56" s="30"/>
      <c r="AI56" s="30"/>
      <c r="AJ56" s="30"/>
    </row>
    <row r="57" spans="1:36">
      <c r="A57" s="30" t="s">
        <v>7</v>
      </c>
      <c r="B57" s="295">
        <v>0</v>
      </c>
      <c r="C57" s="375">
        <v>0</v>
      </c>
      <c r="D57" s="104">
        <v>7.0000000000000007E-2</v>
      </c>
      <c r="E57" s="104">
        <v>7.0000000000000007E-2</v>
      </c>
      <c r="F57" s="104">
        <f>$E$57*$E$50/F50</f>
        <v>6.2112172740524663E-2</v>
      </c>
      <c r="G57" s="104">
        <f t="shared" ref="G57:I57" si="13">$E$57*$E$50/G50</f>
        <v>5.5796385439970834E-2</v>
      </c>
      <c r="H57" s="104">
        <f t="shared" si="13"/>
        <v>5.1023473990421751E-2</v>
      </c>
      <c r="I57" s="104">
        <f t="shared" si="13"/>
        <v>4.8718320076892176E-2</v>
      </c>
      <c r="P57" s="30" t="s">
        <v>470</v>
      </c>
      <c r="Q57" s="100">
        <v>0.09</v>
      </c>
      <c r="R57" s="98">
        <v>0.08</v>
      </c>
      <c r="S57" s="104">
        <v>0.1096774193548387</v>
      </c>
      <c r="T57" s="104">
        <v>0.13935483870967744</v>
      </c>
      <c r="U57" s="104">
        <v>0.16903225806451613</v>
      </c>
      <c r="V57" s="104">
        <v>0.19870967741935483</v>
      </c>
      <c r="W57" s="104">
        <v>0.22838709677419355</v>
      </c>
      <c r="X57" s="104">
        <v>0.25806451612903225</v>
      </c>
      <c r="AB57" s="30" t="s">
        <v>7</v>
      </c>
      <c r="AC57" s="97">
        <v>0</v>
      </c>
      <c r="AD57" s="30"/>
      <c r="AE57" s="30"/>
      <c r="AF57" s="30"/>
      <c r="AG57" s="30"/>
      <c r="AH57" s="30"/>
      <c r="AI57" s="30"/>
      <c r="AJ57" s="30"/>
    </row>
    <row r="58" spans="1:36">
      <c r="A58" s="30" t="s">
        <v>385</v>
      </c>
      <c r="B58" s="295">
        <v>0</v>
      </c>
      <c r="C58" s="375">
        <v>2E-3</v>
      </c>
      <c r="D58" s="104">
        <v>0.25</v>
      </c>
      <c r="E58" s="104">
        <v>0.13</v>
      </c>
      <c r="F58" s="104">
        <f>(1-(F53+F54+F55+F56+F57+F60+F61+F62))*$E$58/($E$58+$E$59)</f>
        <v>0.13846376385302434</v>
      </c>
      <c r="G58" s="104">
        <f t="shared" ref="G58:I58" si="14">(1-(G53+G54+G55+G56+G57+G60+G61+G62))*$E$58/($E$58+$E$59)</f>
        <v>0.14524070387711066</v>
      </c>
      <c r="H58" s="104">
        <f t="shared" si="14"/>
        <v>0.15036211362297602</v>
      </c>
      <c r="I58" s="104">
        <f t="shared" si="14"/>
        <v>0.15283558036193792</v>
      </c>
      <c r="P58" s="30" t="s">
        <v>474</v>
      </c>
      <c r="Q58" s="97"/>
      <c r="R58" s="105">
        <v>0.09</v>
      </c>
      <c r="S58" s="104">
        <v>0.12338709677419353</v>
      </c>
      <c r="T58" s="104">
        <v>0.15677419354838709</v>
      </c>
      <c r="U58" s="104">
        <v>0.19016129032258064</v>
      </c>
      <c r="V58" s="104">
        <v>0.22354838709677416</v>
      </c>
      <c r="W58" s="104">
        <v>0.25693548387096771</v>
      </c>
      <c r="X58" s="104">
        <v>0.29032258064516125</v>
      </c>
      <c r="AB58" s="30" t="s">
        <v>385</v>
      </c>
      <c r="AC58" s="97">
        <v>0</v>
      </c>
      <c r="AD58" s="30"/>
      <c r="AE58" s="30"/>
      <c r="AF58" s="30"/>
      <c r="AG58" s="30"/>
      <c r="AH58" s="30"/>
      <c r="AI58" s="30"/>
      <c r="AJ58" s="30"/>
    </row>
    <row r="59" spans="1:36">
      <c r="A59" s="30" t="s">
        <v>384</v>
      </c>
      <c r="B59" s="100">
        <v>0.09</v>
      </c>
      <c r="C59" s="375">
        <v>7.0000000000000007E-2</v>
      </c>
      <c r="D59" s="104">
        <v>0.32</v>
      </c>
      <c r="E59" s="104">
        <v>0.32</v>
      </c>
      <c r="F59" s="104">
        <f>(1-(F53+F54+F55+F56+F57+F60+F61+F62))*$E$59/($E$58+$E$59)</f>
        <v>0.34083388025359834</v>
      </c>
      <c r="G59" s="104">
        <f t="shared" ref="G59:I59" si="15">(1-(G53+G54+G55+G56+G57+G60+G61+G62))*$E$59/($E$58+$E$59)</f>
        <v>0.35751557877442625</v>
      </c>
      <c r="H59" s="104">
        <f t="shared" si="15"/>
        <v>0.37012212584117177</v>
      </c>
      <c r="I59" s="104">
        <f t="shared" si="15"/>
        <v>0.37621065935246251</v>
      </c>
      <c r="P59" s="30" t="s">
        <v>25</v>
      </c>
      <c r="Q59" s="100">
        <v>0.2</v>
      </c>
      <c r="R59" s="98">
        <v>0.14000000000000001</v>
      </c>
      <c r="S59" s="104">
        <v>0.19193548387096776</v>
      </c>
      <c r="T59" s="104">
        <v>0.24387096774193553</v>
      </c>
      <c r="U59" s="104">
        <v>0.29580645161290325</v>
      </c>
      <c r="V59" s="104">
        <v>0.347741935483871</v>
      </c>
      <c r="W59" s="104">
        <v>0.39967741935483875</v>
      </c>
      <c r="X59" s="104">
        <v>0.45161290322580649</v>
      </c>
      <c r="AB59" s="30" t="s">
        <v>384</v>
      </c>
      <c r="AC59" s="100">
        <v>0.09</v>
      </c>
      <c r="AD59" s="30"/>
      <c r="AE59" s="30"/>
      <c r="AF59" s="30"/>
      <c r="AG59" s="30"/>
      <c r="AH59" s="30"/>
      <c r="AI59" s="30"/>
      <c r="AJ59" s="30"/>
    </row>
    <row r="60" spans="1:36">
      <c r="A60" s="30" t="s">
        <v>26</v>
      </c>
      <c r="B60" s="295">
        <v>0.1</v>
      </c>
      <c r="C60" s="375">
        <v>9.4E-2</v>
      </c>
      <c r="D60" s="104">
        <v>0.02</v>
      </c>
      <c r="E60" s="104">
        <v>0.08</v>
      </c>
      <c r="F60" s="104">
        <v>0.08</v>
      </c>
      <c r="G60" s="104">
        <v>0.08</v>
      </c>
      <c r="H60" s="104">
        <v>0.08</v>
      </c>
      <c r="I60" s="104">
        <v>0.08</v>
      </c>
      <c r="L60" s="108"/>
      <c r="M60" s="108"/>
      <c r="N60" s="373"/>
      <c r="P60" s="30" t="s">
        <v>150</v>
      </c>
      <c r="Q60" s="97"/>
      <c r="R60" s="96"/>
      <c r="S60" s="177"/>
      <c r="T60" s="177"/>
      <c r="U60" s="177"/>
      <c r="V60" s="177"/>
      <c r="W60" s="177"/>
      <c r="X60" s="30"/>
      <c r="AB60" s="30" t="s">
        <v>26</v>
      </c>
      <c r="AC60" s="295">
        <v>0.1</v>
      </c>
      <c r="AD60" s="30"/>
      <c r="AE60" s="30"/>
      <c r="AF60" s="30"/>
      <c r="AG60" s="30"/>
      <c r="AH60" s="30"/>
      <c r="AI60" s="30"/>
      <c r="AJ60" s="30"/>
    </row>
    <row r="61" spans="1:36">
      <c r="A61" s="30" t="s">
        <v>25</v>
      </c>
      <c r="B61" s="100">
        <v>0.17</v>
      </c>
      <c r="C61" s="375">
        <v>0.11600000000000001</v>
      </c>
      <c r="D61" s="104">
        <v>0.18</v>
      </c>
      <c r="E61" s="104">
        <v>0.17</v>
      </c>
      <c r="F61" s="104">
        <f>$E$61*$E$50/F50</f>
        <v>0.15084384808413132</v>
      </c>
      <c r="G61" s="104">
        <f t="shared" ref="G61:I61" si="16">$E$61*$E$50/G50</f>
        <v>0.13550550749707202</v>
      </c>
      <c r="H61" s="104">
        <f t="shared" si="16"/>
        <v>0.12391415111959568</v>
      </c>
      <c r="I61" s="104">
        <f t="shared" si="16"/>
        <v>0.11831592018673814</v>
      </c>
      <c r="P61" s="179" t="s">
        <v>23</v>
      </c>
      <c r="Q61" s="100">
        <v>1</v>
      </c>
      <c r="R61" s="105">
        <v>1</v>
      </c>
      <c r="S61" s="180">
        <v>1</v>
      </c>
      <c r="T61" s="180">
        <v>1</v>
      </c>
      <c r="U61" s="180">
        <v>1</v>
      </c>
      <c r="V61" s="180">
        <v>1</v>
      </c>
      <c r="W61" s="180">
        <v>1</v>
      </c>
      <c r="X61" s="356">
        <v>1</v>
      </c>
      <c r="AB61" s="30" t="s">
        <v>25</v>
      </c>
      <c r="AC61" s="100">
        <v>0.17</v>
      </c>
      <c r="AD61" s="30"/>
      <c r="AE61" s="30"/>
      <c r="AF61" s="30"/>
      <c r="AG61" s="30"/>
      <c r="AH61" s="30"/>
      <c r="AI61" s="30"/>
      <c r="AJ61" s="30"/>
    </row>
    <row r="62" spans="1:36">
      <c r="A62" s="30" t="s">
        <v>411</v>
      </c>
      <c r="B62" s="295">
        <v>0</v>
      </c>
      <c r="C62" s="375">
        <v>0</v>
      </c>
      <c r="D62" s="104">
        <v>0.01</v>
      </c>
      <c r="E62" s="99">
        <v>0.01</v>
      </c>
      <c r="F62" s="177">
        <f>$E$50*$E$62/F50</f>
        <v>8.8731675343606663E-3</v>
      </c>
      <c r="G62" s="177">
        <f t="shared" ref="G62:I62" si="17">$E$50*$E$62/G50</f>
        <v>7.9709122057101192E-3</v>
      </c>
      <c r="H62" s="177">
        <f t="shared" si="17"/>
        <v>7.2890677129173924E-3</v>
      </c>
      <c r="I62" s="177">
        <f t="shared" si="17"/>
        <v>6.9597600109845966E-3</v>
      </c>
      <c r="P62" s="30" t="s">
        <v>151</v>
      </c>
      <c r="Q62" s="100">
        <v>0.38</v>
      </c>
      <c r="R62" s="105">
        <v>0.31</v>
      </c>
      <c r="S62" s="166">
        <v>0.42499999999999999</v>
      </c>
      <c r="T62" s="166">
        <v>0.54</v>
      </c>
      <c r="U62" s="166">
        <v>0.65500000000000003</v>
      </c>
      <c r="V62" s="166">
        <v>0.77</v>
      </c>
      <c r="W62" s="166">
        <v>0.88500000000000001</v>
      </c>
      <c r="X62" s="166">
        <v>1</v>
      </c>
      <c r="AB62" s="30" t="s">
        <v>411</v>
      </c>
      <c r="AC62" s="97">
        <v>0</v>
      </c>
      <c r="AD62" s="30"/>
      <c r="AE62" s="30"/>
      <c r="AF62" s="30"/>
      <c r="AG62" s="30"/>
      <c r="AH62" s="30"/>
      <c r="AI62" s="30"/>
      <c r="AJ62" s="30"/>
    </row>
    <row r="63" spans="1:36">
      <c r="A63" s="91" t="s">
        <v>23</v>
      </c>
      <c r="B63" s="100">
        <v>1</v>
      </c>
      <c r="C63" s="101">
        <v>1</v>
      </c>
      <c r="D63" s="109">
        <f t="shared" ref="D63:I63" si="18">SUM(D53:D62)</f>
        <v>1</v>
      </c>
      <c r="E63" s="109">
        <f t="shared" si="18"/>
        <v>1</v>
      </c>
      <c r="F63" s="109">
        <f t="shared" si="18"/>
        <v>0.99999999999999989</v>
      </c>
      <c r="G63" s="109">
        <f t="shared" si="18"/>
        <v>1</v>
      </c>
      <c r="H63" s="109">
        <f t="shared" si="18"/>
        <v>1</v>
      </c>
      <c r="I63" s="106">
        <f t="shared" si="18"/>
        <v>0.99999999999999989</v>
      </c>
      <c r="AB63" s="91" t="s">
        <v>23</v>
      </c>
      <c r="AC63" s="100">
        <v>1</v>
      </c>
      <c r="AD63" s="91"/>
      <c r="AE63" s="91"/>
      <c r="AF63" s="91"/>
      <c r="AG63" s="91"/>
      <c r="AH63" s="91"/>
      <c r="AI63" s="91"/>
      <c r="AJ63" s="106">
        <v>1</v>
      </c>
    </row>
    <row r="64" spans="1:36">
      <c r="A64" s="30" t="s">
        <v>151</v>
      </c>
      <c r="B64" s="100">
        <v>0.38</v>
      </c>
      <c r="C64" s="101">
        <v>0.31</v>
      </c>
      <c r="D64" s="102">
        <f>$C64+($I64-$C64)*5/30</f>
        <v>0.42499999999999999</v>
      </c>
      <c r="E64" s="102">
        <f>$C64+($I64-$C64)*10/30</f>
        <v>0.54</v>
      </c>
      <c r="F64" s="102">
        <f>$C64+($I64-$C64)*15/30</f>
        <v>0.65500000000000003</v>
      </c>
      <c r="G64" s="102">
        <f>$C64+($I64-$C64)*20/30</f>
        <v>0.77</v>
      </c>
      <c r="H64" s="102">
        <f>$C64+($I64-$C64)*25/30</f>
        <v>0.88500000000000001</v>
      </c>
      <c r="I64" s="102">
        <v>1</v>
      </c>
      <c r="AB64" s="30" t="s">
        <v>151</v>
      </c>
      <c r="AC64" s="100">
        <v>0.38</v>
      </c>
      <c r="AD64" s="30"/>
      <c r="AE64" s="30"/>
      <c r="AF64" s="30"/>
      <c r="AG64" s="30"/>
      <c r="AH64" s="30"/>
      <c r="AI64" s="30"/>
      <c r="AJ64" s="102">
        <v>1</v>
      </c>
    </row>
    <row r="65" spans="1:9" ht="27.6" customHeight="1">
      <c r="A65" s="422" t="s">
        <v>465</v>
      </c>
      <c r="B65" s="422"/>
      <c r="C65" s="422"/>
      <c r="D65" s="422"/>
      <c r="E65" s="422"/>
      <c r="F65" s="422"/>
      <c r="G65" s="422"/>
      <c r="H65" s="422"/>
      <c r="I65" s="422"/>
    </row>
  </sheetData>
  <mergeCells count="22">
    <mergeCell ref="P2:Y2"/>
    <mergeCell ref="A65:I65"/>
    <mergeCell ref="P30:X30"/>
    <mergeCell ref="P25:X25"/>
    <mergeCell ref="P51:X51"/>
    <mergeCell ref="P46:X46"/>
    <mergeCell ref="A2:J2"/>
    <mergeCell ref="A6:I6"/>
    <mergeCell ref="A9:L9"/>
    <mergeCell ref="A7:L7"/>
    <mergeCell ref="A23:L23"/>
    <mergeCell ref="A28:I28"/>
    <mergeCell ref="A49:I49"/>
    <mergeCell ref="AB46:AJ46"/>
    <mergeCell ref="A51:I51"/>
    <mergeCell ref="AB51:AJ51"/>
    <mergeCell ref="AB25:AJ25"/>
    <mergeCell ref="A30:I30"/>
    <mergeCell ref="AB30:AJ30"/>
    <mergeCell ref="A44:I44"/>
    <mergeCell ref="A25:I25"/>
    <mergeCell ref="A46:I46"/>
  </mergeCells>
  <pageMargins left="0.7" right="0.7" top="0.75" bottom="0.75" header="0.51180555555555496" footer="0.51180555555555496"/>
  <pageSetup paperSize="9" firstPageNumber="0"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76"/>
  <sheetViews>
    <sheetView topLeftCell="A49" zoomScaleNormal="100" workbookViewId="0">
      <selection activeCell="G16" sqref="G16"/>
    </sheetView>
  </sheetViews>
  <sheetFormatPr baseColWidth="10" defaultColWidth="8.88671875" defaultRowHeight="14.4"/>
  <cols>
    <col min="1" max="1" width="44.109375" customWidth="1"/>
    <col min="2" max="1025" width="10.44140625" customWidth="1"/>
  </cols>
  <sheetData>
    <row r="1" spans="1:13" ht="12.75" customHeight="1">
      <c r="A1" s="112"/>
      <c r="B1" s="112"/>
      <c r="C1" s="112"/>
      <c r="D1" s="112"/>
      <c r="E1" s="112"/>
      <c r="F1" s="112"/>
      <c r="G1" s="112"/>
      <c r="H1" s="112"/>
      <c r="I1" s="112"/>
      <c r="J1" s="112"/>
      <c r="K1" s="112"/>
      <c r="L1" s="112"/>
      <c r="M1" s="112"/>
    </row>
    <row r="2" spans="1:13" ht="12.75" customHeight="1">
      <c r="A2" s="429" t="s">
        <v>420</v>
      </c>
      <c r="B2" s="429"/>
      <c r="C2" s="429"/>
      <c r="D2" s="429"/>
      <c r="E2" s="429"/>
      <c r="F2" s="429"/>
      <c r="G2" s="429"/>
      <c r="H2" s="429"/>
      <c r="I2" s="429"/>
      <c r="J2" s="429"/>
      <c r="K2" s="429"/>
      <c r="L2" s="112"/>
      <c r="M2" s="112"/>
    </row>
    <row r="3" spans="1:13" ht="12.75" customHeight="1">
      <c r="A3" s="112"/>
      <c r="B3" s="112"/>
      <c r="C3" s="112"/>
      <c r="D3" s="112"/>
      <c r="E3" s="112"/>
      <c r="F3" s="112"/>
      <c r="G3" s="112"/>
      <c r="H3" s="112"/>
      <c r="I3" s="112"/>
      <c r="J3" s="112"/>
      <c r="K3" s="112"/>
      <c r="L3" s="112"/>
      <c r="M3" s="112"/>
    </row>
    <row r="4" spans="1:13" ht="12.75" customHeight="1">
      <c r="A4" s="114" t="s">
        <v>163</v>
      </c>
      <c r="B4" s="115" t="s">
        <v>164</v>
      </c>
      <c r="C4" s="115" t="s">
        <v>165</v>
      </c>
      <c r="D4" s="115" t="s">
        <v>166</v>
      </c>
      <c r="E4" s="115" t="s">
        <v>167</v>
      </c>
      <c r="F4" s="115" t="s">
        <v>168</v>
      </c>
      <c r="G4" s="116">
        <v>2018</v>
      </c>
      <c r="H4" s="117"/>
      <c r="I4" s="112"/>
      <c r="J4" s="112"/>
      <c r="K4" s="112"/>
      <c r="L4" s="112"/>
      <c r="M4" s="112"/>
    </row>
    <row r="5" spans="1:13" ht="12.75" customHeight="1">
      <c r="A5" s="118" t="s">
        <v>169</v>
      </c>
      <c r="B5" s="119">
        <v>316176</v>
      </c>
      <c r="C5" s="119">
        <v>340011</v>
      </c>
      <c r="D5" s="119">
        <v>338920</v>
      </c>
      <c r="E5" s="119">
        <v>341476</v>
      </c>
      <c r="F5" s="119">
        <v>341395</v>
      </c>
      <c r="G5" s="119">
        <v>345981</v>
      </c>
      <c r="H5" s="117"/>
      <c r="I5" s="112"/>
      <c r="J5" s="112"/>
      <c r="K5" s="112"/>
      <c r="L5" s="112"/>
      <c r="M5" s="112"/>
    </row>
    <row r="6" spans="1:13" ht="12.75" customHeight="1">
      <c r="A6" s="118" t="s">
        <v>170</v>
      </c>
      <c r="B6" s="120">
        <v>170709</v>
      </c>
      <c r="C6" s="119">
        <v>122904.65072974301</v>
      </c>
      <c r="D6" s="119">
        <v>125092.800301963</v>
      </c>
      <c r="E6" s="119">
        <v>119966.39305485701</v>
      </c>
      <c r="F6" s="119">
        <v>120128.849622547</v>
      </c>
      <c r="G6" s="119">
        <v>110931</v>
      </c>
      <c r="H6" s="121"/>
      <c r="I6" s="112"/>
      <c r="J6" s="112"/>
      <c r="K6" s="112"/>
      <c r="L6" s="112"/>
      <c r="M6" s="112"/>
    </row>
    <row r="7" spans="1:13" ht="12.75" customHeight="1">
      <c r="A7" s="118" t="s">
        <v>171</v>
      </c>
      <c r="B7" s="120">
        <v>142523</v>
      </c>
      <c r="C7" s="119">
        <v>215993.65777554101</v>
      </c>
      <c r="D7" s="119">
        <v>212630.68367723501</v>
      </c>
      <c r="E7" s="119">
        <v>220509.47542358699</v>
      </c>
      <c r="F7" s="119">
        <v>220259.795403456</v>
      </c>
      <c r="G7" s="119">
        <v>234396</v>
      </c>
      <c r="H7" s="121"/>
      <c r="I7" s="112"/>
      <c r="J7" s="112"/>
      <c r="K7" s="112"/>
      <c r="L7" s="112"/>
      <c r="M7" s="112"/>
    </row>
    <row r="8" spans="1:13" ht="12.75" customHeight="1">
      <c r="A8" s="118" t="s">
        <v>172</v>
      </c>
      <c r="B8" s="119">
        <v>1486</v>
      </c>
      <c r="C8" s="119">
        <v>1794</v>
      </c>
      <c r="D8" s="119">
        <v>1839</v>
      </c>
      <c r="E8" s="119">
        <v>1935</v>
      </c>
      <c r="F8" s="119">
        <v>1963</v>
      </c>
      <c r="G8" s="119">
        <v>2029</v>
      </c>
      <c r="H8" s="117"/>
      <c r="I8" s="112"/>
      <c r="J8" s="112"/>
      <c r="K8" s="112"/>
      <c r="L8" s="112"/>
      <c r="M8" s="112"/>
    </row>
    <row r="9" spans="1:13" ht="12.75" customHeight="1">
      <c r="A9" s="118" t="s">
        <v>173</v>
      </c>
      <c r="B9" s="119">
        <v>78191</v>
      </c>
      <c r="C9" s="119">
        <v>98888</v>
      </c>
      <c r="D9" s="119">
        <v>99377</v>
      </c>
      <c r="E9" s="119">
        <v>99707</v>
      </c>
      <c r="F9" s="119">
        <v>99925</v>
      </c>
      <c r="G9" s="119">
        <v>96833</v>
      </c>
      <c r="H9" s="117"/>
      <c r="I9" s="112"/>
      <c r="J9" s="112"/>
      <c r="K9" s="112"/>
      <c r="L9" s="112"/>
      <c r="M9" s="112"/>
    </row>
    <row r="10" spans="1:13" ht="12.75" customHeight="1">
      <c r="A10" s="118" t="s">
        <v>174</v>
      </c>
      <c r="B10" s="119">
        <v>609</v>
      </c>
      <c r="C10" s="119">
        <v>633</v>
      </c>
      <c r="D10" s="119">
        <v>671</v>
      </c>
      <c r="E10" s="119">
        <v>745</v>
      </c>
      <c r="F10" s="119">
        <v>769</v>
      </c>
      <c r="G10" s="122"/>
      <c r="H10" s="117"/>
      <c r="I10" s="112"/>
      <c r="J10" s="112"/>
      <c r="K10" s="112"/>
      <c r="L10" s="112"/>
      <c r="M10" s="112"/>
    </row>
    <row r="11" spans="1:13" ht="12.75" customHeight="1">
      <c r="A11" s="112"/>
      <c r="B11" s="112"/>
      <c r="C11" s="112"/>
      <c r="D11" s="112"/>
      <c r="E11" s="112"/>
      <c r="F11" s="112"/>
      <c r="G11" s="112"/>
      <c r="H11" s="112"/>
      <c r="I11" s="112"/>
      <c r="J11" s="112"/>
      <c r="K11" s="112"/>
      <c r="L11" s="112"/>
      <c r="M11" s="112"/>
    </row>
    <row r="12" spans="1:13" ht="12.75" customHeight="1">
      <c r="A12" s="114" t="s">
        <v>175</v>
      </c>
      <c r="B12" s="123" t="s">
        <v>164</v>
      </c>
      <c r="C12" s="123" t="s">
        <v>165</v>
      </c>
      <c r="D12" s="123" t="s">
        <v>166</v>
      </c>
      <c r="E12" s="123" t="s">
        <v>167</v>
      </c>
      <c r="F12" s="123" t="s">
        <v>168</v>
      </c>
      <c r="G12" s="123">
        <v>2018</v>
      </c>
      <c r="H12" s="123">
        <v>2019</v>
      </c>
      <c r="I12" s="123">
        <v>2020</v>
      </c>
      <c r="J12" s="112"/>
      <c r="K12" s="112"/>
      <c r="L12" s="112"/>
      <c r="M12" s="112"/>
    </row>
    <row r="13" spans="1:13" ht="12.75" customHeight="1">
      <c r="A13" s="124" t="s">
        <v>12</v>
      </c>
      <c r="B13" s="123"/>
      <c r="C13" s="306">
        <v>4987</v>
      </c>
      <c r="D13" s="306">
        <v>5436</v>
      </c>
      <c r="E13" s="307">
        <v>5736</v>
      </c>
      <c r="F13" s="307">
        <v>4383</v>
      </c>
      <c r="G13" s="306">
        <v>5236</v>
      </c>
      <c r="H13" s="306">
        <v>5620</v>
      </c>
      <c r="I13" s="306">
        <v>5084</v>
      </c>
      <c r="J13" s="112"/>
      <c r="K13" s="112"/>
      <c r="L13" s="112"/>
      <c r="M13" s="112"/>
    </row>
    <row r="14" spans="1:13" ht="12.75" customHeight="1">
      <c r="A14" s="112"/>
      <c r="B14" s="112"/>
      <c r="C14" s="112"/>
      <c r="D14" s="112"/>
      <c r="E14" s="112"/>
      <c r="F14" s="112"/>
      <c r="G14" s="112"/>
      <c r="H14" s="112"/>
      <c r="I14" s="112"/>
      <c r="J14" s="112"/>
      <c r="K14" s="112"/>
      <c r="L14" s="112"/>
      <c r="M14" s="112"/>
    </row>
    <row r="15" spans="1:13" ht="12.75" customHeight="1">
      <c r="A15" s="125" t="s">
        <v>176</v>
      </c>
      <c r="B15" s="126">
        <v>2007</v>
      </c>
      <c r="C15" s="126">
        <v>2014</v>
      </c>
      <c r="D15" s="394"/>
      <c r="E15" s="112"/>
      <c r="F15" s="128" t="s">
        <v>177</v>
      </c>
      <c r="G15" s="124">
        <v>2014</v>
      </c>
      <c r="H15" s="124" t="s">
        <v>178</v>
      </c>
      <c r="I15" s="124" t="s">
        <v>179</v>
      </c>
      <c r="J15" s="112" t="s">
        <v>445</v>
      </c>
      <c r="K15" s="112"/>
      <c r="L15" s="112"/>
      <c r="M15" s="112"/>
    </row>
    <row r="16" spans="1:13" ht="12.75" customHeight="1">
      <c r="A16" s="129" t="s">
        <v>180</v>
      </c>
      <c r="B16" s="130">
        <v>167181</v>
      </c>
      <c r="C16" s="131">
        <v>130340</v>
      </c>
      <c r="D16" s="127"/>
      <c r="E16" s="112"/>
      <c r="F16" s="124" t="s">
        <v>181</v>
      </c>
      <c r="G16" s="303">
        <f>(0.77*C18*C6+0.84*C19*C7)/C5*11630</f>
        <v>10261.696499745132</v>
      </c>
      <c r="H16" s="303">
        <f>(0.77*C18*C6+0.84*C19*C7)/C5*11630</f>
        <v>10261.696499745132</v>
      </c>
      <c r="I16" s="124"/>
      <c r="J16" s="112"/>
      <c r="K16" s="112"/>
      <c r="L16" s="112"/>
      <c r="M16" s="112"/>
    </row>
    <row r="17" spans="1:13" ht="12.75" customHeight="1">
      <c r="A17" s="129" t="s">
        <v>182</v>
      </c>
      <c r="B17" s="130">
        <v>312700</v>
      </c>
      <c r="C17" s="131">
        <v>381140</v>
      </c>
      <c r="D17" s="127">
        <f>B16/B6</f>
        <v>0.97933325132242588</v>
      </c>
      <c r="E17" s="112"/>
      <c r="F17" s="124" t="s">
        <v>183</v>
      </c>
      <c r="G17" s="303">
        <f>0.84*C20*11630</f>
        <v>14173.114366001533</v>
      </c>
      <c r="H17" s="303">
        <f>H19/C9*10^6</f>
        <v>15147.543801322285</v>
      </c>
      <c r="I17" s="124"/>
      <c r="J17" s="112"/>
      <c r="K17" s="112"/>
      <c r="L17" s="112"/>
      <c r="M17" s="112"/>
    </row>
    <row r="18" spans="1:13" ht="12.75" customHeight="1">
      <c r="A18" s="129" t="s">
        <v>184</v>
      </c>
      <c r="B18" s="132">
        <v>0.97933325132242599</v>
      </c>
      <c r="C18" s="133">
        <v>1.06049689109492</v>
      </c>
      <c r="D18" s="127">
        <f>B17/(B7+B8+B9+B10+3000)</f>
        <v>1.3847986572722966</v>
      </c>
      <c r="E18" s="112"/>
      <c r="F18" s="124" t="s">
        <v>185</v>
      </c>
      <c r="G18" s="303">
        <f>G16*C5/10^6</f>
        <v>3489.0896885748421</v>
      </c>
      <c r="H18" s="303">
        <f>H16*C5/10^6</f>
        <v>3489.0896885748421</v>
      </c>
      <c r="I18" s="304">
        <f>H18/H20</f>
        <v>0.69963699389910605</v>
      </c>
      <c r="J18" s="112"/>
      <c r="K18" s="112"/>
      <c r="L18" s="112"/>
      <c r="M18" s="112"/>
    </row>
    <row r="19" spans="1:13" ht="12.75" customHeight="1">
      <c r="A19" s="129" t="s">
        <v>186</v>
      </c>
      <c r="B19" s="132">
        <v>1.27313322671915</v>
      </c>
      <c r="C19" s="133">
        <v>1.1003735341418599</v>
      </c>
      <c r="D19" s="127"/>
      <c r="E19" s="112"/>
      <c r="F19" s="124" t="s">
        <v>187</v>
      </c>
      <c r="G19" s="303">
        <f>G17*C9/10^6</f>
        <v>1401.5509334251597</v>
      </c>
      <c r="H19" s="303">
        <f>H20-H18</f>
        <v>1497.9103114251579</v>
      </c>
      <c r="I19" s="304">
        <f>H19/H20</f>
        <v>0.30036300610089389</v>
      </c>
      <c r="J19" s="112"/>
      <c r="K19" s="112"/>
      <c r="L19" s="112"/>
      <c r="M19" s="112"/>
    </row>
    <row r="20" spans="1:13" ht="12.75" customHeight="1">
      <c r="A20" s="129" t="s">
        <v>188</v>
      </c>
      <c r="B20" s="132">
        <v>1.67857212631001</v>
      </c>
      <c r="C20" s="135">
        <v>1.45079580375072</v>
      </c>
      <c r="D20" s="127"/>
      <c r="E20" s="112"/>
      <c r="F20" s="124" t="s">
        <v>189</v>
      </c>
      <c r="G20" s="305">
        <f>G18+G19</f>
        <v>4890.6406220000017</v>
      </c>
      <c r="H20" s="305">
        <f>C13</f>
        <v>4987</v>
      </c>
      <c r="I20" s="304">
        <f>H20/H20</f>
        <v>1</v>
      </c>
      <c r="J20" s="112"/>
      <c r="K20" s="112"/>
      <c r="L20" s="112"/>
      <c r="M20" s="112"/>
    </row>
    <row r="21" spans="1:13" ht="12.75" customHeight="1">
      <c r="A21" s="129" t="s">
        <v>190</v>
      </c>
      <c r="B21" s="136">
        <v>1</v>
      </c>
      <c r="C21" s="135">
        <v>0.86430352381698905</v>
      </c>
      <c r="D21" s="127"/>
      <c r="E21" s="112"/>
      <c r="F21" s="428" t="s">
        <v>421</v>
      </c>
      <c r="G21" s="428"/>
      <c r="H21" s="428"/>
      <c r="I21" s="428"/>
      <c r="J21" s="112"/>
      <c r="K21" s="112"/>
      <c r="L21" s="112"/>
      <c r="M21" s="112"/>
    </row>
    <row r="22" spans="1:13" ht="12.75" customHeight="1">
      <c r="A22" s="112"/>
      <c r="B22" s="112"/>
      <c r="C22" s="112"/>
      <c r="D22" s="113"/>
      <c r="E22" s="112"/>
      <c r="F22" s="112"/>
      <c r="G22" s="112"/>
      <c r="H22" s="112"/>
      <c r="I22" s="112"/>
      <c r="J22" s="112"/>
      <c r="K22" s="112"/>
      <c r="L22" s="112"/>
      <c r="M22" s="112"/>
    </row>
    <row r="23" spans="1:13" ht="12.75" customHeight="1">
      <c r="A23" s="429" t="s">
        <v>152</v>
      </c>
      <c r="B23" s="429"/>
      <c r="C23" s="429"/>
      <c r="D23" s="429"/>
      <c r="E23" s="429"/>
      <c r="F23" s="429"/>
      <c r="G23" s="429"/>
      <c r="H23" s="429"/>
      <c r="I23" s="429"/>
      <c r="J23" s="429"/>
      <c r="K23" s="429"/>
      <c r="L23" s="112"/>
      <c r="M23" s="112"/>
    </row>
    <row r="24" spans="1:13" ht="12.75" customHeight="1">
      <c r="A24" s="137"/>
      <c r="B24" s="137"/>
      <c r="C24" s="137"/>
      <c r="D24" s="137"/>
      <c r="E24" s="137"/>
      <c r="F24" s="137"/>
      <c r="G24" s="137"/>
      <c r="H24" s="137"/>
      <c r="I24" s="137"/>
      <c r="J24" s="137"/>
      <c r="K24" s="112"/>
      <c r="L24" s="112"/>
      <c r="M24" s="112"/>
    </row>
    <row r="25" spans="1:13" ht="12.75" customHeight="1">
      <c r="A25" s="138" t="s">
        <v>191</v>
      </c>
      <c r="B25" s="1">
        <v>2015</v>
      </c>
      <c r="C25" s="1">
        <v>2018</v>
      </c>
      <c r="D25" s="1">
        <v>2019</v>
      </c>
      <c r="E25" s="1">
        <v>2020</v>
      </c>
      <c r="F25" s="1">
        <v>2025</v>
      </c>
      <c r="G25" s="1">
        <v>2030</v>
      </c>
      <c r="H25" s="1">
        <v>2035</v>
      </c>
      <c r="I25" s="1">
        <v>2040</v>
      </c>
      <c r="J25" s="1">
        <v>2045</v>
      </c>
      <c r="K25" s="1">
        <v>2050</v>
      </c>
      <c r="L25" s="112"/>
      <c r="M25" s="112"/>
    </row>
    <row r="26" spans="1:13" ht="12.75" customHeight="1">
      <c r="A26" s="139" t="s">
        <v>192</v>
      </c>
      <c r="B26" s="140">
        <f>'Cadrage macroéconomique '!$G$5</f>
        <v>850727</v>
      </c>
      <c r="C26" s="140">
        <f>'Cadrage macroéconomique '!$J$5</f>
        <v>855961</v>
      </c>
      <c r="D26" s="140">
        <f>'Cadrage macroéconomique '!$K$5</f>
        <v>861210</v>
      </c>
      <c r="E26" s="140">
        <f>'Cadrage macroéconomique '!$L$5</f>
        <v>863197</v>
      </c>
      <c r="F26" s="140">
        <f>'Cadrage macroéconomique '!$C$15*1000*1000</f>
        <v>879000</v>
      </c>
      <c r="G26" s="140">
        <f>'Cadrage macroéconomique '!$D$15*1000000</f>
        <v>893000</v>
      </c>
      <c r="H26" s="140">
        <f>'Cadrage macroéconomique '!$E$15*1000000</f>
        <v>904000</v>
      </c>
      <c r="I26" s="140">
        <f>'Cadrage macroéconomique '!$F$15*1000000</f>
        <v>913000</v>
      </c>
      <c r="J26" s="140">
        <f>'Cadrage macroéconomique '!$G$15*1000000</f>
        <v>917000</v>
      </c>
      <c r="K26" s="140">
        <f>'Cadrage macroéconomique '!$H$15*1000000</f>
        <v>918000</v>
      </c>
      <c r="L26" s="134"/>
      <c r="M26" s="112"/>
    </row>
    <row r="27" spans="1:13" ht="12.75" customHeight="1">
      <c r="A27" s="141" t="s">
        <v>193</v>
      </c>
      <c r="B27" s="142"/>
      <c r="C27" s="166">
        <f>G5/C26</f>
        <v>0.4042018269523962</v>
      </c>
      <c r="D27" s="142">
        <f t="shared" ref="D27:K27" si="0">C27</f>
        <v>0.4042018269523962</v>
      </c>
      <c r="E27" s="142">
        <f t="shared" si="0"/>
        <v>0.4042018269523962</v>
      </c>
      <c r="F27" s="142">
        <f t="shared" si="0"/>
        <v>0.4042018269523962</v>
      </c>
      <c r="G27" s="142">
        <f t="shared" si="0"/>
        <v>0.4042018269523962</v>
      </c>
      <c r="H27" s="142">
        <f t="shared" si="0"/>
        <v>0.4042018269523962</v>
      </c>
      <c r="I27" s="142">
        <f t="shared" si="0"/>
        <v>0.4042018269523962</v>
      </c>
      <c r="J27" s="142">
        <f t="shared" si="0"/>
        <v>0.4042018269523962</v>
      </c>
      <c r="K27" s="142">
        <f t="shared" si="0"/>
        <v>0.4042018269523962</v>
      </c>
      <c r="L27" s="112"/>
      <c r="M27" s="112"/>
    </row>
    <row r="28" spans="1:13" ht="12.75" customHeight="1">
      <c r="A28" s="141" t="s">
        <v>194</v>
      </c>
      <c r="B28" s="143"/>
      <c r="C28" s="144">
        <f t="shared" ref="C28:K28" si="1">C26*C27</f>
        <v>345981</v>
      </c>
      <c r="D28" s="144">
        <f t="shared" si="1"/>
        <v>348102.65538967313</v>
      </c>
      <c r="E28" s="144">
        <f t="shared" si="1"/>
        <v>348905.80441982753</v>
      </c>
      <c r="F28" s="144">
        <f t="shared" si="1"/>
        <v>355293.40589115629</v>
      </c>
      <c r="G28" s="144">
        <f t="shared" si="1"/>
        <v>360952.2314684898</v>
      </c>
      <c r="H28" s="144">
        <f t="shared" si="1"/>
        <v>365398.45156496618</v>
      </c>
      <c r="I28" s="144">
        <f t="shared" si="1"/>
        <v>369036.26800753776</v>
      </c>
      <c r="J28" s="144">
        <f t="shared" si="1"/>
        <v>370653.07531534729</v>
      </c>
      <c r="K28" s="144">
        <f t="shared" si="1"/>
        <v>371057.27714229969</v>
      </c>
      <c r="L28" s="112"/>
      <c r="M28" s="112"/>
    </row>
    <row r="29" spans="1:13" ht="12.75" customHeight="1">
      <c r="A29" s="141" t="s">
        <v>195</v>
      </c>
      <c r="B29" s="1"/>
      <c r="C29" s="145">
        <f>G9</f>
        <v>96833</v>
      </c>
      <c r="D29" s="140">
        <f t="shared" ref="D29:K29" si="2">$C29*D26/$C26</f>
        <v>97426.807915313897</v>
      </c>
      <c r="E29" s="140">
        <f t="shared" si="2"/>
        <v>97651.592889162013</v>
      </c>
      <c r="F29" s="140">
        <f t="shared" si="2"/>
        <v>99439.351792897112</v>
      </c>
      <c r="G29" s="140">
        <f t="shared" si="2"/>
        <v>101023.14124124814</v>
      </c>
      <c r="H29" s="140">
        <f t="shared" si="2"/>
        <v>102267.5472363811</v>
      </c>
      <c r="I29" s="140">
        <f t="shared" si="2"/>
        <v>103285.69759603533</v>
      </c>
      <c r="J29" s="140">
        <f t="shared" si="2"/>
        <v>103738.20886699278</v>
      </c>
      <c r="K29" s="140">
        <f t="shared" si="2"/>
        <v>103851.33668473213</v>
      </c>
      <c r="L29" s="112"/>
      <c r="M29" s="112"/>
    </row>
    <row r="30" spans="1:13" ht="12.75" customHeight="1">
      <c r="A30" s="428" t="s">
        <v>417</v>
      </c>
      <c r="B30" s="428"/>
      <c r="C30" s="428"/>
      <c r="D30" s="428"/>
      <c r="E30" s="428"/>
      <c r="F30" s="428"/>
      <c r="G30" s="428"/>
      <c r="H30" s="428"/>
      <c r="I30" s="428"/>
      <c r="J30" s="428"/>
      <c r="K30" s="428"/>
      <c r="L30" s="112"/>
      <c r="M30" s="112"/>
    </row>
    <row r="31" spans="1:13" ht="12.75" customHeight="1">
      <c r="A31" s="138" t="s">
        <v>196</v>
      </c>
      <c r="B31" s="1">
        <v>2015</v>
      </c>
      <c r="C31" s="1">
        <v>2018</v>
      </c>
      <c r="D31" s="1">
        <v>2019</v>
      </c>
      <c r="E31" s="1">
        <v>2020</v>
      </c>
      <c r="F31" s="1">
        <v>2025</v>
      </c>
      <c r="G31" s="1">
        <v>2030</v>
      </c>
      <c r="H31" s="1">
        <v>2035</v>
      </c>
      <c r="I31" s="1">
        <v>2040</v>
      </c>
      <c r="J31" s="1">
        <v>2045</v>
      </c>
      <c r="K31" s="1">
        <v>2050</v>
      </c>
      <c r="L31" s="112"/>
      <c r="M31" s="112"/>
    </row>
    <row r="32" spans="1:13" ht="12.75" customHeight="1">
      <c r="A32" s="139" t="s">
        <v>197</v>
      </c>
      <c r="B32" s="146">
        <f>1</f>
        <v>1</v>
      </c>
      <c r="C32" s="146">
        <f>1</f>
        <v>1</v>
      </c>
      <c r="D32" s="146">
        <f>1</f>
        <v>1</v>
      </c>
      <c r="E32" s="146">
        <f>1</f>
        <v>1</v>
      </c>
      <c r="F32" s="146">
        <f>0.5*D32+0.5*G32</f>
        <v>1.0150000000000001</v>
      </c>
      <c r="G32" s="146">
        <v>1.03</v>
      </c>
      <c r="H32" s="146">
        <f>0.75*G32+0.25*K32</f>
        <v>1.0474999999999999</v>
      </c>
      <c r="I32" s="146">
        <f>0.5*G32+0.5*K32</f>
        <v>1.0649999999999999</v>
      </c>
      <c r="J32" s="146">
        <f>0.25*G32+0.75*K32</f>
        <v>1.0825</v>
      </c>
      <c r="K32" s="146">
        <v>1.1000000000000001</v>
      </c>
      <c r="L32" s="112"/>
      <c r="M32" s="112"/>
    </row>
    <row r="33" spans="1:13" ht="12.75" customHeight="1">
      <c r="A33" s="139" t="s">
        <v>198</v>
      </c>
      <c r="B33" s="147">
        <f>0%</f>
        <v>0</v>
      </c>
      <c r="C33" s="147">
        <f>0%</f>
        <v>0</v>
      </c>
      <c r="D33" s="147">
        <f>0%</f>
        <v>0</v>
      </c>
      <c r="E33" s="147">
        <f>0%</f>
        <v>0</v>
      </c>
      <c r="F33" s="147">
        <v>4.6713653383253402E-2</v>
      </c>
      <c r="G33" s="147">
        <v>0.12051352422207701</v>
      </c>
      <c r="H33" s="147">
        <v>0.224424455029753</v>
      </c>
      <c r="I33" s="147">
        <v>0.33129999999999998</v>
      </c>
      <c r="J33" s="147">
        <v>0.41649999999999998</v>
      </c>
      <c r="K33" s="147">
        <v>0.47499999999999998</v>
      </c>
      <c r="L33" s="112"/>
      <c r="M33" s="112"/>
    </row>
    <row r="34" spans="1:13" ht="12.75" customHeight="1">
      <c r="A34" s="139" t="s">
        <v>199</v>
      </c>
      <c r="B34" s="147"/>
      <c r="C34" s="147"/>
      <c r="D34" s="147"/>
      <c r="E34" s="147">
        <v>0.99272954898911403</v>
      </c>
      <c r="F34" s="147">
        <v>0.90069945087288505</v>
      </c>
      <c r="G34" s="147">
        <v>0.84416717546272102</v>
      </c>
      <c r="H34" s="147">
        <v>0.80593952326986795</v>
      </c>
      <c r="I34" s="147">
        <v>0.77853415799552395</v>
      </c>
      <c r="J34" s="147">
        <v>0.76285818755827595</v>
      </c>
      <c r="K34" s="147">
        <v>0.76205287713841396</v>
      </c>
      <c r="L34" s="112"/>
      <c r="M34" s="112"/>
    </row>
    <row r="35" spans="1:13" ht="12.75" customHeight="1">
      <c r="A35" s="139" t="s">
        <v>200</v>
      </c>
      <c r="B35" s="148"/>
      <c r="C35" s="148"/>
      <c r="D35" s="148"/>
      <c r="E35" s="149">
        <v>0.3</v>
      </c>
      <c r="F35" s="149">
        <v>0.3</v>
      </c>
      <c r="G35" s="149">
        <v>0.3</v>
      </c>
      <c r="H35" s="149">
        <v>0.3</v>
      </c>
      <c r="I35" s="149">
        <v>0.3</v>
      </c>
      <c r="J35" s="149">
        <v>0.3</v>
      </c>
      <c r="K35" s="149">
        <v>0.3</v>
      </c>
      <c r="L35" s="112"/>
      <c r="M35" s="112"/>
    </row>
    <row r="36" spans="1:13" ht="12.75" customHeight="1">
      <c r="A36" s="150" t="s">
        <v>201</v>
      </c>
      <c r="B36" s="344">
        <f>B46*I18</f>
        <v>3803.2266988355404</v>
      </c>
      <c r="C36" s="344">
        <f>C46*I18</f>
        <v>3663.2993000557194</v>
      </c>
      <c r="D36" s="344">
        <f>D46*I18</f>
        <v>3931.9599057129758</v>
      </c>
      <c r="E36" s="344">
        <f>E46*I18</f>
        <v>3556.954476983055</v>
      </c>
      <c r="F36" s="151">
        <f t="shared" ref="F36:K36" si="3">$D36*(F26/$D26)*(F27/$D27)*F32*(1-F33)*F34</f>
        <v>3497.5038791887778</v>
      </c>
      <c r="G36" s="151">
        <f t="shared" si="3"/>
        <v>3117.7861741656038</v>
      </c>
      <c r="H36" s="151">
        <f t="shared" si="3"/>
        <v>2702.3963120084895</v>
      </c>
      <c r="I36" s="151">
        <f t="shared" si="3"/>
        <v>2311.1567251726974</v>
      </c>
      <c r="J36" s="151">
        <f t="shared" si="3"/>
        <v>2017.3531440431045</v>
      </c>
      <c r="K36" s="151">
        <f t="shared" si="3"/>
        <v>1844.5048160565025</v>
      </c>
      <c r="L36" s="152"/>
      <c r="M36" s="152"/>
    </row>
    <row r="37" spans="1:13" ht="12.75" customHeight="1">
      <c r="A37" s="150" t="s">
        <v>202</v>
      </c>
      <c r="B37" s="151">
        <f>0</f>
        <v>0</v>
      </c>
      <c r="C37" s="151">
        <f>0</f>
        <v>0</v>
      </c>
      <c r="D37" s="151">
        <f>0</f>
        <v>0</v>
      </c>
      <c r="E37" s="151">
        <f>0</f>
        <v>0</v>
      </c>
      <c r="F37" s="151">
        <f t="shared" ref="F37:K37" si="4">$D36*(F26/$D26)*(F27/$D27)*F32*F33*F35</f>
        <v>57.084739380333268</v>
      </c>
      <c r="G37" s="151">
        <f t="shared" si="4"/>
        <v>151.82585721178296</v>
      </c>
      <c r="H37" s="151">
        <f t="shared" si="4"/>
        <v>291.08103651788485</v>
      </c>
      <c r="I37" s="151">
        <f t="shared" si="4"/>
        <v>441.22802835985505</v>
      </c>
      <c r="J37" s="151">
        <f t="shared" si="4"/>
        <v>566.28299171712285</v>
      </c>
      <c r="K37" s="151">
        <f t="shared" si="4"/>
        <v>656.97712354992063</v>
      </c>
      <c r="L37" s="152"/>
      <c r="M37" s="152"/>
    </row>
    <row r="38" spans="1:13" ht="12.75" customHeight="1">
      <c r="A38" s="139" t="s">
        <v>203</v>
      </c>
      <c r="B38" s="146">
        <f>1</f>
        <v>1</v>
      </c>
      <c r="C38" s="146">
        <f>1</f>
        <v>1</v>
      </c>
      <c r="D38" s="146">
        <f>1</f>
        <v>1</v>
      </c>
      <c r="E38" s="146">
        <f>1</f>
        <v>1</v>
      </c>
      <c r="F38" s="146">
        <f>1</f>
        <v>1</v>
      </c>
      <c r="G38" s="146">
        <f>1</f>
        <v>1</v>
      </c>
      <c r="H38" s="146">
        <f>1</f>
        <v>1</v>
      </c>
      <c r="I38" s="146">
        <f>1</f>
        <v>1</v>
      </c>
      <c r="J38" s="146">
        <f>1</f>
        <v>1</v>
      </c>
      <c r="K38" s="146">
        <f>1</f>
        <v>1</v>
      </c>
      <c r="L38" s="112"/>
      <c r="M38" s="112"/>
    </row>
    <row r="39" spans="1:13" ht="12.75" customHeight="1">
      <c r="A39" s="139" t="s">
        <v>204</v>
      </c>
      <c r="B39" s="147">
        <f>0%</f>
        <v>0</v>
      </c>
      <c r="C39" s="147">
        <f>0%</f>
        <v>0</v>
      </c>
      <c r="D39" s="147">
        <f>0%</f>
        <v>0</v>
      </c>
      <c r="E39" s="147">
        <f>0%</f>
        <v>0</v>
      </c>
      <c r="F39" s="153">
        <v>5.7459674346041004E-3</v>
      </c>
      <c r="G39" s="153">
        <v>2.74023721123305E-2</v>
      </c>
      <c r="H39" s="153">
        <v>6.1820690272617398E-2</v>
      </c>
      <c r="I39" s="153">
        <v>9.3100000000000002E-2</v>
      </c>
      <c r="J39" s="153">
        <v>0.10829999999999999</v>
      </c>
      <c r="K39" s="153">
        <v>0.11</v>
      </c>
      <c r="L39" s="112"/>
      <c r="M39" s="112"/>
    </row>
    <row r="40" spans="1:13" ht="12.75" customHeight="1">
      <c r="A40" s="139" t="s">
        <v>205</v>
      </c>
      <c r="B40" s="148"/>
      <c r="C40" s="148"/>
      <c r="D40" s="148"/>
      <c r="E40" s="147">
        <v>0.99</v>
      </c>
      <c r="F40" s="147">
        <v>0.95146261136309096</v>
      </c>
      <c r="G40" s="147">
        <v>0.82840277834767595</v>
      </c>
      <c r="H40" s="147">
        <v>0.75636775414352997</v>
      </c>
      <c r="I40" s="147">
        <v>0.69934002664858097</v>
      </c>
      <c r="J40" s="147">
        <v>0.67232689257202705</v>
      </c>
      <c r="K40" s="147">
        <v>0.66332251454650903</v>
      </c>
      <c r="L40" s="112"/>
      <c r="M40" s="112"/>
    </row>
    <row r="41" spans="1:13" ht="12.75" customHeight="1">
      <c r="A41" s="139" t="s">
        <v>206</v>
      </c>
      <c r="B41" s="148"/>
      <c r="C41" s="148"/>
      <c r="D41" s="148"/>
      <c r="E41" s="149">
        <v>0.4</v>
      </c>
      <c r="F41" s="149">
        <f t="shared" ref="F41:K41" si="5">E41</f>
        <v>0.4</v>
      </c>
      <c r="G41" s="149">
        <f t="shared" si="5"/>
        <v>0.4</v>
      </c>
      <c r="H41" s="149">
        <f t="shared" si="5"/>
        <v>0.4</v>
      </c>
      <c r="I41" s="149">
        <f t="shared" si="5"/>
        <v>0.4</v>
      </c>
      <c r="J41" s="149">
        <f t="shared" si="5"/>
        <v>0.4</v>
      </c>
      <c r="K41" s="149">
        <f t="shared" si="5"/>
        <v>0.4</v>
      </c>
      <c r="L41" s="112"/>
      <c r="M41" s="112"/>
    </row>
    <row r="42" spans="1:13" ht="12.75" customHeight="1">
      <c r="A42" s="150" t="s">
        <v>207</v>
      </c>
      <c r="B42" s="344">
        <f>B46*I19</f>
        <v>1632.7733011644591</v>
      </c>
      <c r="C42" s="344">
        <f>C46*I19</f>
        <v>1572.7006999442804</v>
      </c>
      <c r="D42" s="344">
        <f>D46*I19</f>
        <v>1688.0400942870237</v>
      </c>
      <c r="E42" s="344">
        <f>E46*I19</f>
        <v>1527.0455230169446</v>
      </c>
      <c r="F42" s="151">
        <f t="shared" ref="F42:K42" si="6">$D42*(F29/$D29)*F38*(1-F39)*F40</f>
        <v>1629.8650867682156</v>
      </c>
      <c r="G42" s="151">
        <f t="shared" si="6"/>
        <v>1410.2623298607</v>
      </c>
      <c r="H42" s="151">
        <f t="shared" si="6"/>
        <v>1257.3638810005077</v>
      </c>
      <c r="I42" s="151">
        <f t="shared" si="6"/>
        <v>1134.9905848637134</v>
      </c>
      <c r="J42" s="151">
        <f t="shared" si="6"/>
        <v>1077.5620283606027</v>
      </c>
      <c r="K42" s="151">
        <f t="shared" si="6"/>
        <v>1062.2607137611014</v>
      </c>
      <c r="L42" s="152"/>
      <c r="M42" s="152"/>
    </row>
    <row r="43" spans="1:13" ht="12.75" customHeight="1">
      <c r="A43" s="150" t="s">
        <v>208</v>
      </c>
      <c r="B43" s="151">
        <f>0</f>
        <v>0</v>
      </c>
      <c r="C43" s="151">
        <f>0</f>
        <v>0</v>
      </c>
      <c r="D43" s="151">
        <f>0</f>
        <v>0</v>
      </c>
      <c r="E43" s="151">
        <f>0</f>
        <v>0</v>
      </c>
      <c r="F43" s="151">
        <f t="shared" ref="F43:K43" si="7">$D42*(F29/$D29)*F38*F39*F41</f>
        <v>3.9599136923443439</v>
      </c>
      <c r="G43" s="151">
        <f t="shared" si="7"/>
        <v>19.185508019711122</v>
      </c>
      <c r="H43" s="151">
        <f t="shared" si="7"/>
        <v>43.816326641983665</v>
      </c>
      <c r="I43" s="151">
        <f t="shared" si="7"/>
        <v>66.642939318598394</v>
      </c>
      <c r="J43" s="151">
        <f t="shared" si="7"/>
        <v>77.863061788761414</v>
      </c>
      <c r="K43" s="151">
        <f t="shared" si="7"/>
        <v>79.17153248155671</v>
      </c>
      <c r="L43" s="152"/>
      <c r="M43" s="152"/>
    </row>
    <row r="44" spans="1:13" ht="12.75" customHeight="1">
      <c r="A44" s="154" t="s">
        <v>209</v>
      </c>
      <c r="B44" s="148">
        <f t="shared" ref="B44:K44" si="8">B36+B42</f>
        <v>5436</v>
      </c>
      <c r="C44" s="148">
        <f t="shared" si="8"/>
        <v>5236</v>
      </c>
      <c r="D44" s="148">
        <f t="shared" si="8"/>
        <v>5620</v>
      </c>
      <c r="E44" s="148">
        <f t="shared" si="8"/>
        <v>5084</v>
      </c>
      <c r="F44" s="155">
        <f t="shared" si="8"/>
        <v>5127.3689659569936</v>
      </c>
      <c r="G44" s="155">
        <f t="shared" si="8"/>
        <v>4528.0485040263038</v>
      </c>
      <c r="H44" s="155">
        <f t="shared" si="8"/>
        <v>3959.7601930089972</v>
      </c>
      <c r="I44" s="155">
        <f t="shared" si="8"/>
        <v>3446.147310036411</v>
      </c>
      <c r="J44" s="155">
        <f t="shared" si="8"/>
        <v>3094.9151724037074</v>
      </c>
      <c r="K44" s="155">
        <f t="shared" si="8"/>
        <v>2906.7655298176041</v>
      </c>
      <c r="L44" s="112"/>
      <c r="M44" s="112"/>
    </row>
    <row r="45" spans="1:13" ht="12.75" customHeight="1">
      <c r="A45" s="154" t="s">
        <v>210</v>
      </c>
      <c r="B45" s="148">
        <f t="shared" ref="B45:K45" si="9">B37+B43</f>
        <v>0</v>
      </c>
      <c r="C45" s="148">
        <f t="shared" si="9"/>
        <v>0</v>
      </c>
      <c r="D45" s="148">
        <f t="shared" si="9"/>
        <v>0</v>
      </c>
      <c r="E45" s="148">
        <f t="shared" si="9"/>
        <v>0</v>
      </c>
      <c r="F45" s="155">
        <f t="shared" si="9"/>
        <v>61.044653072677612</v>
      </c>
      <c r="G45" s="155">
        <f t="shared" si="9"/>
        <v>171.0113652314941</v>
      </c>
      <c r="H45" s="155">
        <f t="shared" si="9"/>
        <v>334.89736315986852</v>
      </c>
      <c r="I45" s="155">
        <f t="shared" si="9"/>
        <v>507.87096767845344</v>
      </c>
      <c r="J45" s="155">
        <f t="shared" si="9"/>
        <v>644.14605350588431</v>
      </c>
      <c r="K45" s="155">
        <f t="shared" si="9"/>
        <v>736.14865603147734</v>
      </c>
      <c r="L45" s="112"/>
      <c r="M45" s="112"/>
    </row>
    <row r="46" spans="1:13" ht="12.75" customHeight="1">
      <c r="A46" s="154" t="s">
        <v>211</v>
      </c>
      <c r="B46" s="345">
        <f>D13</f>
        <v>5436</v>
      </c>
      <c r="C46" s="345">
        <f>G13</f>
        <v>5236</v>
      </c>
      <c r="D46" s="345">
        <f>H13</f>
        <v>5620</v>
      </c>
      <c r="E46" s="345">
        <f>I13</f>
        <v>5084</v>
      </c>
      <c r="F46" s="155">
        <f t="shared" ref="F46:K46" si="10">F44+F45</f>
        <v>5188.4136190296713</v>
      </c>
      <c r="G46" s="155">
        <f t="shared" si="10"/>
        <v>4699.0598692577978</v>
      </c>
      <c r="H46" s="155">
        <f t="shared" si="10"/>
        <v>4294.657556168866</v>
      </c>
      <c r="I46" s="155">
        <f t="shared" si="10"/>
        <v>3954.0182777148643</v>
      </c>
      <c r="J46" s="155">
        <f t="shared" si="10"/>
        <v>3739.0612259095915</v>
      </c>
      <c r="K46" s="155">
        <f t="shared" si="10"/>
        <v>3642.9141858490816</v>
      </c>
      <c r="L46" s="112"/>
      <c r="M46" s="112"/>
    </row>
    <row r="47" spans="1:13" ht="12.75" customHeight="1">
      <c r="A47" s="139" t="s">
        <v>212</v>
      </c>
      <c r="B47" s="156"/>
      <c r="C47" s="156"/>
      <c r="D47" s="156"/>
      <c r="E47" s="156"/>
      <c r="F47" s="157">
        <f t="shared" ref="F47:K47" si="11">F46/$D46-1</f>
        <v>-7.679472971002288E-2</v>
      </c>
      <c r="G47" s="157">
        <f t="shared" si="11"/>
        <v>-0.16386835066587224</v>
      </c>
      <c r="H47" s="157">
        <f t="shared" si="11"/>
        <v>-0.23582605762119824</v>
      </c>
      <c r="I47" s="157">
        <f t="shared" si="11"/>
        <v>-0.29643802887635862</v>
      </c>
      <c r="J47" s="157">
        <f t="shared" si="11"/>
        <v>-0.33468661460683424</v>
      </c>
      <c r="K47" s="157">
        <f t="shared" si="11"/>
        <v>-0.35179462885247659</v>
      </c>
      <c r="L47" s="112"/>
      <c r="M47" s="112"/>
    </row>
    <row r="48" spans="1:13" ht="12.75" customHeight="1">
      <c r="A48" s="428" t="s">
        <v>418</v>
      </c>
      <c r="B48" s="428"/>
      <c r="C48" s="428"/>
      <c r="D48" s="428"/>
      <c r="E48" s="428"/>
      <c r="F48" s="428"/>
      <c r="G48" s="428"/>
      <c r="H48" s="428"/>
      <c r="I48" s="428"/>
      <c r="J48" s="428"/>
      <c r="K48" s="428"/>
      <c r="L48" s="112"/>
      <c r="M48" s="112"/>
    </row>
    <row r="49" spans="1:13" ht="12.75" customHeight="1">
      <c r="A49" s="302"/>
      <c r="B49" s="302"/>
      <c r="C49" s="302"/>
      <c r="D49" s="302"/>
      <c r="E49" s="302"/>
      <c r="F49" s="302"/>
      <c r="G49" s="302"/>
      <c r="H49" s="302"/>
      <c r="I49" s="302"/>
      <c r="J49" s="302"/>
      <c r="K49" s="302"/>
      <c r="L49" s="112"/>
      <c r="M49" s="112"/>
    </row>
    <row r="50" spans="1:13" ht="12.75" customHeight="1">
      <c r="A50" s="430" t="s">
        <v>158</v>
      </c>
      <c r="B50" s="430"/>
      <c r="C50" s="430"/>
      <c r="D50" s="430"/>
      <c r="E50" s="430"/>
      <c r="F50" s="430"/>
      <c r="G50" s="430"/>
      <c r="H50" s="430"/>
      <c r="I50" s="430"/>
      <c r="J50" s="430"/>
      <c r="K50" s="430"/>
      <c r="L50" s="112"/>
      <c r="M50" s="112"/>
    </row>
    <row r="51" spans="1:13" ht="12.75" customHeight="1">
      <c r="A51" s="302"/>
      <c r="B51" s="302"/>
      <c r="C51" s="302"/>
      <c r="D51" s="302"/>
      <c r="E51" s="302"/>
      <c r="F51" s="302"/>
      <c r="G51" s="302"/>
      <c r="H51" s="302"/>
      <c r="I51" s="302"/>
      <c r="J51" s="302"/>
      <c r="K51" s="302"/>
      <c r="L51" s="112"/>
      <c r="M51" s="112"/>
    </row>
    <row r="52" spans="1:13" ht="12.75" customHeight="1">
      <c r="A52" s="138" t="s">
        <v>213</v>
      </c>
      <c r="B52" s="1">
        <v>2015</v>
      </c>
      <c r="C52" s="1">
        <v>2018</v>
      </c>
      <c r="D52" s="1">
        <v>2019</v>
      </c>
      <c r="E52" s="1">
        <v>2020</v>
      </c>
      <c r="F52" s="1">
        <v>2025</v>
      </c>
      <c r="G52" s="1">
        <v>2030</v>
      </c>
      <c r="H52" s="1">
        <v>2035</v>
      </c>
      <c r="I52" s="1">
        <v>2040</v>
      </c>
      <c r="J52" s="1">
        <v>2045</v>
      </c>
      <c r="K52" s="1">
        <v>2050</v>
      </c>
      <c r="L52" s="112"/>
      <c r="M52" s="112"/>
    </row>
    <row r="53" spans="1:13" ht="12.75" customHeight="1">
      <c r="A53" s="139" t="s">
        <v>192</v>
      </c>
      <c r="B53" s="140">
        <f t="shared" ref="B53:K53" si="12">B26</f>
        <v>850727</v>
      </c>
      <c r="C53" s="140">
        <f t="shared" si="12"/>
        <v>855961</v>
      </c>
      <c r="D53" s="140">
        <f t="shared" si="12"/>
        <v>861210</v>
      </c>
      <c r="E53" s="140">
        <f t="shared" si="12"/>
        <v>863197</v>
      </c>
      <c r="F53" s="140">
        <f t="shared" si="12"/>
        <v>879000</v>
      </c>
      <c r="G53" s="140">
        <f t="shared" si="12"/>
        <v>893000</v>
      </c>
      <c r="H53" s="140">
        <f t="shared" si="12"/>
        <v>904000</v>
      </c>
      <c r="I53" s="140">
        <f t="shared" si="12"/>
        <v>913000</v>
      </c>
      <c r="J53" s="140">
        <f t="shared" si="12"/>
        <v>917000</v>
      </c>
      <c r="K53" s="140">
        <f t="shared" si="12"/>
        <v>918000</v>
      </c>
      <c r="L53" s="112"/>
      <c r="M53" s="112"/>
    </row>
    <row r="54" spans="1:13" ht="12.75" customHeight="1">
      <c r="A54" s="141" t="s">
        <v>193</v>
      </c>
      <c r="B54" s="142"/>
      <c r="C54" s="158">
        <f t="shared" ref="C54:K54" si="13">C27</f>
        <v>0.4042018269523962</v>
      </c>
      <c r="D54" s="158">
        <f t="shared" si="13"/>
        <v>0.4042018269523962</v>
      </c>
      <c r="E54" s="158">
        <f t="shared" si="13"/>
        <v>0.4042018269523962</v>
      </c>
      <c r="F54" s="158">
        <f t="shared" si="13"/>
        <v>0.4042018269523962</v>
      </c>
      <c r="G54" s="158">
        <f t="shared" si="13"/>
        <v>0.4042018269523962</v>
      </c>
      <c r="H54" s="158">
        <f t="shared" si="13"/>
        <v>0.4042018269523962</v>
      </c>
      <c r="I54" s="158">
        <f t="shared" si="13"/>
        <v>0.4042018269523962</v>
      </c>
      <c r="J54" s="158">
        <f t="shared" si="13"/>
        <v>0.4042018269523962</v>
      </c>
      <c r="K54" s="158">
        <f t="shared" si="13"/>
        <v>0.4042018269523962</v>
      </c>
      <c r="L54" s="112"/>
      <c r="M54" s="112"/>
    </row>
    <row r="55" spans="1:13" ht="12.75" customHeight="1">
      <c r="A55" s="141" t="s">
        <v>194</v>
      </c>
      <c r="B55" s="143"/>
      <c r="C55" s="140">
        <f t="shared" ref="C55:K55" si="14">C28</f>
        <v>345981</v>
      </c>
      <c r="D55" s="140">
        <f t="shared" si="14"/>
        <v>348102.65538967313</v>
      </c>
      <c r="E55" s="140">
        <f t="shared" si="14"/>
        <v>348905.80441982753</v>
      </c>
      <c r="F55" s="140">
        <f t="shared" si="14"/>
        <v>355293.40589115629</v>
      </c>
      <c r="G55" s="140">
        <f t="shared" si="14"/>
        <v>360952.2314684898</v>
      </c>
      <c r="H55" s="140">
        <f t="shared" si="14"/>
        <v>365398.45156496618</v>
      </c>
      <c r="I55" s="140">
        <f t="shared" si="14"/>
        <v>369036.26800753776</v>
      </c>
      <c r="J55" s="140">
        <f t="shared" si="14"/>
        <v>370653.07531534729</v>
      </c>
      <c r="K55" s="140">
        <f t="shared" si="14"/>
        <v>371057.27714229969</v>
      </c>
      <c r="L55" s="112"/>
      <c r="M55" s="112"/>
    </row>
    <row r="56" spans="1:13" ht="12.75" customHeight="1">
      <c r="A56" s="141" t="s">
        <v>195</v>
      </c>
      <c r="B56" s="1"/>
      <c r="C56" s="140">
        <f t="shared" ref="C56:K56" si="15">C29</f>
        <v>96833</v>
      </c>
      <c r="D56" s="140">
        <f t="shared" si="15"/>
        <v>97426.807915313897</v>
      </c>
      <c r="E56" s="140">
        <f t="shared" si="15"/>
        <v>97651.592889162013</v>
      </c>
      <c r="F56" s="140">
        <f t="shared" si="15"/>
        <v>99439.351792897112</v>
      </c>
      <c r="G56" s="140">
        <f t="shared" si="15"/>
        <v>101023.14124124814</v>
      </c>
      <c r="H56" s="140">
        <f t="shared" si="15"/>
        <v>102267.5472363811</v>
      </c>
      <c r="I56" s="140">
        <f t="shared" si="15"/>
        <v>103285.69759603533</v>
      </c>
      <c r="J56" s="140">
        <f t="shared" si="15"/>
        <v>103738.20886699278</v>
      </c>
      <c r="K56" s="140">
        <f t="shared" si="15"/>
        <v>103851.33668473213</v>
      </c>
      <c r="L56" s="112"/>
      <c r="M56" s="112"/>
    </row>
    <row r="57" spans="1:13" ht="12.75" customHeight="1">
      <c r="A57" s="112"/>
      <c r="B57" s="112"/>
      <c r="C57" s="112"/>
      <c r="D57" s="113"/>
      <c r="E57" s="112"/>
      <c r="F57" s="112"/>
      <c r="G57" s="112"/>
      <c r="H57" s="112"/>
      <c r="I57" s="112"/>
      <c r="J57" s="112"/>
      <c r="K57" s="112"/>
      <c r="L57" s="112"/>
      <c r="M57" s="112"/>
    </row>
    <row r="58" spans="1:13" ht="12.75" customHeight="1">
      <c r="A58" s="138" t="s">
        <v>214</v>
      </c>
      <c r="B58" s="1">
        <v>2015</v>
      </c>
      <c r="C58" s="1">
        <v>2018</v>
      </c>
      <c r="D58" s="1">
        <v>2019</v>
      </c>
      <c r="E58" s="1">
        <v>2020</v>
      </c>
      <c r="F58" s="1">
        <v>2025</v>
      </c>
      <c r="G58" s="1">
        <v>2030</v>
      </c>
      <c r="H58" s="1">
        <v>2035</v>
      </c>
      <c r="I58" s="1">
        <v>2040</v>
      </c>
      <c r="J58" s="1">
        <v>2045</v>
      </c>
      <c r="K58" s="1">
        <v>2050</v>
      </c>
      <c r="L58" s="112"/>
      <c r="M58" s="112"/>
    </row>
    <row r="59" spans="1:13" ht="12.75" customHeight="1">
      <c r="A59" s="139" t="s">
        <v>197</v>
      </c>
      <c r="B59" s="159">
        <f>1</f>
        <v>1</v>
      </c>
      <c r="C59" s="159">
        <f>1</f>
        <v>1</v>
      </c>
      <c r="D59" s="159">
        <f>1</f>
        <v>1</v>
      </c>
      <c r="E59" s="159">
        <f>1</f>
        <v>1</v>
      </c>
      <c r="F59" s="159">
        <f>1</f>
        <v>1</v>
      </c>
      <c r="G59" s="159">
        <f>1</f>
        <v>1</v>
      </c>
      <c r="H59" s="159">
        <f>1</f>
        <v>1</v>
      </c>
      <c r="I59" s="159">
        <f>1</f>
        <v>1</v>
      </c>
      <c r="J59" s="159">
        <f>1</f>
        <v>1</v>
      </c>
      <c r="K59" s="159">
        <f>1</f>
        <v>1</v>
      </c>
      <c r="L59" s="112"/>
      <c r="M59" s="112"/>
    </row>
    <row r="60" spans="1:13" ht="12.75" customHeight="1">
      <c r="A60" s="139" t="s">
        <v>198</v>
      </c>
      <c r="B60" s="147">
        <f>0%</f>
        <v>0</v>
      </c>
      <c r="C60" s="147">
        <f>0%</f>
        <v>0</v>
      </c>
      <c r="D60" s="147">
        <f>0%</f>
        <v>0</v>
      </c>
      <c r="E60" s="147">
        <f>0%</f>
        <v>0</v>
      </c>
      <c r="F60" s="160">
        <v>5.7142857142857099E-2</v>
      </c>
      <c r="G60" s="160">
        <v>0.204030226700252</v>
      </c>
      <c r="H60" s="160">
        <v>0.468982630272953</v>
      </c>
      <c r="I60" s="149">
        <v>0.70493643043896304</v>
      </c>
      <c r="J60" s="149">
        <v>0.89672253891250497</v>
      </c>
      <c r="K60" s="149">
        <v>1</v>
      </c>
      <c r="L60" s="112"/>
      <c r="M60" s="112"/>
    </row>
    <row r="61" spans="1:13" ht="12.75" customHeight="1">
      <c r="A61" s="139" t="s">
        <v>199</v>
      </c>
      <c r="B61" s="148"/>
      <c r="C61" s="148"/>
      <c r="D61" s="148"/>
      <c r="E61" s="147">
        <v>0.99272954898911403</v>
      </c>
      <c r="F61" s="147">
        <v>0.90069945087288505</v>
      </c>
      <c r="G61" s="147">
        <v>0.84416717546272102</v>
      </c>
      <c r="H61" s="147">
        <v>0.80593952326986795</v>
      </c>
      <c r="I61" s="147">
        <v>0.77853415799552395</v>
      </c>
      <c r="J61" s="147">
        <v>0.76285818755827595</v>
      </c>
      <c r="K61" s="147">
        <v>0.76205287713841396</v>
      </c>
      <c r="L61" s="112"/>
      <c r="M61" s="112"/>
    </row>
    <row r="62" spans="1:13" ht="12.75" customHeight="1">
      <c r="A62" s="139" t="s">
        <v>200</v>
      </c>
      <c r="B62" s="148"/>
      <c r="C62" s="148"/>
      <c r="D62" s="148"/>
      <c r="E62" s="147">
        <f>30%</f>
        <v>0.3</v>
      </c>
      <c r="F62" s="147">
        <f>30%</f>
        <v>0.3</v>
      </c>
      <c r="G62" s="147">
        <f>30%</f>
        <v>0.3</v>
      </c>
      <c r="H62" s="147">
        <f>30%</f>
        <v>0.3</v>
      </c>
      <c r="I62" s="147">
        <f>30%</f>
        <v>0.3</v>
      </c>
      <c r="J62" s="147">
        <f>30%</f>
        <v>0.3</v>
      </c>
      <c r="K62" s="147">
        <f>30%</f>
        <v>0.3</v>
      </c>
      <c r="L62" s="112"/>
      <c r="M62" s="112"/>
    </row>
    <row r="63" spans="1:13" ht="12.75" customHeight="1">
      <c r="A63" s="150" t="s">
        <v>201</v>
      </c>
      <c r="B63" s="344">
        <f>B73*I18</f>
        <v>3803.2266988355404</v>
      </c>
      <c r="C63" s="344">
        <f>C73*I18</f>
        <v>3663.2993000557194</v>
      </c>
      <c r="D63" s="344">
        <f>D73*I18</f>
        <v>3931.9599057129758</v>
      </c>
      <c r="E63" s="344">
        <f>E73*I18</f>
        <v>3556.954476983055</v>
      </c>
      <c r="F63" s="151">
        <f t="shared" ref="F63:K63" si="16">$D63*(F53/$D53)*(F54/$D54)*F59*(1-F60)*F61</f>
        <v>3408.1184880695096</v>
      </c>
      <c r="G63" s="151">
        <f t="shared" si="16"/>
        <v>2739.5328499752768</v>
      </c>
      <c r="H63" s="151">
        <f t="shared" si="16"/>
        <v>1766.3616555786048</v>
      </c>
      <c r="I63" s="151">
        <f t="shared" si="16"/>
        <v>957.55572706688633</v>
      </c>
      <c r="J63" s="151">
        <f t="shared" si="16"/>
        <v>329.85169265446024</v>
      </c>
      <c r="K63" s="151">
        <f t="shared" si="16"/>
        <v>0</v>
      </c>
      <c r="L63" s="112"/>
      <c r="M63" s="112"/>
    </row>
    <row r="64" spans="1:13" ht="12.75" customHeight="1">
      <c r="A64" s="150" t="s">
        <v>202</v>
      </c>
      <c r="B64" s="151">
        <f>0</f>
        <v>0</v>
      </c>
      <c r="C64" s="151">
        <f>0</f>
        <v>0</v>
      </c>
      <c r="D64" s="151">
        <f>0</f>
        <v>0</v>
      </c>
      <c r="E64" s="151">
        <f>0</f>
        <v>0</v>
      </c>
      <c r="F64" s="151">
        <f t="shared" ref="F64:K64" si="17">$D63*(F53/$D53)*(F54/$D54)*F59*F60*F62</f>
        <v>68.797411425221384</v>
      </c>
      <c r="G64" s="151">
        <f t="shared" si="17"/>
        <v>249.55555549115388</v>
      </c>
      <c r="H64" s="151">
        <f t="shared" si="17"/>
        <v>580.69282489740942</v>
      </c>
      <c r="I64" s="151">
        <f t="shared" si="17"/>
        <v>881.5399608644218</v>
      </c>
      <c r="J64" s="151">
        <f t="shared" si="17"/>
        <v>1126.2860183161615</v>
      </c>
      <c r="K64" s="151">
        <f t="shared" si="17"/>
        <v>1257.372485263006</v>
      </c>
      <c r="L64" s="112"/>
      <c r="M64" s="112"/>
    </row>
    <row r="65" spans="1:13" ht="12.75" customHeight="1">
      <c r="A65" s="139" t="s">
        <v>203</v>
      </c>
      <c r="B65" s="146">
        <f>1</f>
        <v>1</v>
      </c>
      <c r="C65" s="146">
        <f>1</f>
        <v>1</v>
      </c>
      <c r="D65" s="146">
        <f>1</f>
        <v>1</v>
      </c>
      <c r="E65" s="146">
        <f>1</f>
        <v>1</v>
      </c>
      <c r="F65" s="146">
        <f>1</f>
        <v>1</v>
      </c>
      <c r="G65" s="146">
        <f>1</f>
        <v>1</v>
      </c>
      <c r="H65" s="146">
        <f>1</f>
        <v>1</v>
      </c>
      <c r="I65" s="146">
        <f>1</f>
        <v>1</v>
      </c>
      <c r="J65" s="146">
        <f>1</f>
        <v>1</v>
      </c>
      <c r="K65" s="146">
        <f>1</f>
        <v>1</v>
      </c>
      <c r="L65" s="112"/>
      <c r="M65" s="112"/>
    </row>
    <row r="66" spans="1:13" ht="12.75" customHeight="1">
      <c r="A66" s="139" t="s">
        <v>204</v>
      </c>
      <c r="B66" s="147">
        <f>0%</f>
        <v>0</v>
      </c>
      <c r="C66" s="147">
        <f>0%</f>
        <v>0</v>
      </c>
      <c r="D66" s="147">
        <f>0%</f>
        <v>0</v>
      </c>
      <c r="E66" s="147">
        <f>0%</f>
        <v>0</v>
      </c>
      <c r="F66" s="147">
        <v>1.2545967434604101E-2</v>
      </c>
      <c r="G66" s="147">
        <v>6.6102372112330499E-2</v>
      </c>
      <c r="H66" s="147">
        <v>0.16702069027261701</v>
      </c>
      <c r="I66" s="147">
        <v>0.3135</v>
      </c>
      <c r="J66" s="147">
        <v>0.46139999999999998</v>
      </c>
      <c r="K66" s="147">
        <v>0.57099999999999995</v>
      </c>
      <c r="L66" s="112"/>
      <c r="M66" s="112"/>
    </row>
    <row r="67" spans="1:13" ht="12.75" customHeight="1">
      <c r="A67" s="139" t="s">
        <v>205</v>
      </c>
      <c r="B67" s="148"/>
      <c r="C67" s="148"/>
      <c r="D67" s="148"/>
      <c r="E67" s="147">
        <v>0.99</v>
      </c>
      <c r="F67" s="147">
        <v>0.95225839320681305</v>
      </c>
      <c r="G67" s="147">
        <v>0.83268290493446995</v>
      </c>
      <c r="H67" s="147">
        <v>0.76277577185370304</v>
      </c>
      <c r="I67" s="147">
        <v>0.70272483596984203</v>
      </c>
      <c r="J67" s="147">
        <v>0.666709342233341</v>
      </c>
      <c r="K67" s="147">
        <v>0.634677810719394</v>
      </c>
      <c r="L67" s="112"/>
      <c r="M67" s="112"/>
    </row>
    <row r="68" spans="1:13" ht="12.75" customHeight="1">
      <c r="A68" s="139" t="s">
        <v>206</v>
      </c>
      <c r="B68" s="148"/>
      <c r="C68" s="148"/>
      <c r="D68" s="148"/>
      <c r="E68" s="149">
        <v>0.4</v>
      </c>
      <c r="F68" s="149">
        <f t="shared" ref="F68:K68" si="18">E68</f>
        <v>0.4</v>
      </c>
      <c r="G68" s="149">
        <f t="shared" si="18"/>
        <v>0.4</v>
      </c>
      <c r="H68" s="149">
        <f t="shared" si="18"/>
        <v>0.4</v>
      </c>
      <c r="I68" s="149">
        <f t="shared" si="18"/>
        <v>0.4</v>
      </c>
      <c r="J68" s="149">
        <f t="shared" si="18"/>
        <v>0.4</v>
      </c>
      <c r="K68" s="149">
        <f t="shared" si="18"/>
        <v>0.4</v>
      </c>
      <c r="L68" s="112"/>
      <c r="M68" s="112"/>
    </row>
    <row r="69" spans="1:13" ht="12.75" customHeight="1">
      <c r="A69" s="150" t="s">
        <v>207</v>
      </c>
      <c r="B69" s="344">
        <f>B73*I19</f>
        <v>1632.7733011644591</v>
      </c>
      <c r="C69" s="344">
        <f>C73*I19</f>
        <v>1572.7006999442804</v>
      </c>
      <c r="D69" s="344">
        <f>D73*I19</f>
        <v>1688.0400942870237</v>
      </c>
      <c r="E69" s="344">
        <f>E73*I19</f>
        <v>1527.0455230169446</v>
      </c>
      <c r="F69" s="151">
        <f t="shared" ref="F69:K69" si="19">$D69*(F56/$D56)*F65*(1-F66)*F67</f>
        <v>1620.071812255866</v>
      </c>
      <c r="G69" s="151">
        <f t="shared" si="19"/>
        <v>1361.1440014208074</v>
      </c>
      <c r="H69" s="151">
        <f t="shared" si="19"/>
        <v>1125.8310661820158</v>
      </c>
      <c r="I69" s="151">
        <f t="shared" si="19"/>
        <v>863.31704523981716</v>
      </c>
      <c r="J69" s="151">
        <f t="shared" si="19"/>
        <v>645.42520175703316</v>
      </c>
      <c r="K69" s="151">
        <f t="shared" si="19"/>
        <v>489.92204534026462</v>
      </c>
      <c r="L69" s="112"/>
      <c r="M69" s="112"/>
    </row>
    <row r="70" spans="1:13" ht="12.75" customHeight="1">
      <c r="A70" s="150" t="s">
        <v>208</v>
      </c>
      <c r="B70" s="151">
        <f>0</f>
        <v>0</v>
      </c>
      <c r="C70" s="151">
        <f>0</f>
        <v>0</v>
      </c>
      <c r="D70" s="151">
        <f>0</f>
        <v>0</v>
      </c>
      <c r="E70" s="151">
        <f>0</f>
        <v>0</v>
      </c>
      <c r="F70" s="151">
        <f t="shared" ref="F70:K70" si="20">$D69*(F56/$D56)*F65*F66*F68</f>
        <v>8.6462286452930552</v>
      </c>
      <c r="G70" s="151">
        <f t="shared" si="20"/>
        <v>46.280941850007878</v>
      </c>
      <c r="H70" s="151">
        <f t="shared" si="20"/>
        <v>118.37837928827008</v>
      </c>
      <c r="I70" s="151">
        <f t="shared" si="20"/>
        <v>224.40989770548435</v>
      </c>
      <c r="J70" s="151">
        <f t="shared" si="20"/>
        <v>331.72683942137138</v>
      </c>
      <c r="K70" s="151">
        <f t="shared" si="20"/>
        <v>410.97222769971705</v>
      </c>
      <c r="L70" s="112"/>
      <c r="M70" s="112"/>
    </row>
    <row r="71" spans="1:13" ht="12.75" customHeight="1">
      <c r="A71" s="154" t="s">
        <v>209</v>
      </c>
      <c r="B71" s="148">
        <f t="shared" ref="B71:K71" si="21">B63+B69</f>
        <v>5436</v>
      </c>
      <c r="C71" s="148">
        <f t="shared" si="21"/>
        <v>5236</v>
      </c>
      <c r="D71" s="148">
        <f t="shared" si="21"/>
        <v>5620</v>
      </c>
      <c r="E71" s="148">
        <f t="shared" si="21"/>
        <v>5084</v>
      </c>
      <c r="F71" s="155">
        <f t="shared" si="21"/>
        <v>5028.1903003253756</v>
      </c>
      <c r="G71" s="155">
        <f t="shared" si="21"/>
        <v>4100.6768513960842</v>
      </c>
      <c r="H71" s="155">
        <f t="shared" si="21"/>
        <v>2892.1927217606208</v>
      </c>
      <c r="I71" s="155">
        <f t="shared" si="21"/>
        <v>1820.8727723067036</v>
      </c>
      <c r="J71" s="155">
        <f t="shared" si="21"/>
        <v>975.27689441149346</v>
      </c>
      <c r="K71" s="155">
        <f t="shared" si="21"/>
        <v>489.92204534026462</v>
      </c>
      <c r="L71" s="112"/>
      <c r="M71" s="112"/>
    </row>
    <row r="72" spans="1:13" ht="12.75" customHeight="1">
      <c r="A72" s="154" t="s">
        <v>210</v>
      </c>
      <c r="B72" s="148">
        <f t="shared" ref="B72:K72" si="22">B64+B70</f>
        <v>0</v>
      </c>
      <c r="C72" s="148">
        <f t="shared" si="22"/>
        <v>0</v>
      </c>
      <c r="D72" s="148">
        <f t="shared" si="22"/>
        <v>0</v>
      </c>
      <c r="E72" s="148">
        <f t="shared" si="22"/>
        <v>0</v>
      </c>
      <c r="F72" s="155">
        <f t="shared" si="22"/>
        <v>77.443640070514434</v>
      </c>
      <c r="G72" s="155">
        <f t="shared" si="22"/>
        <v>295.83649734116176</v>
      </c>
      <c r="H72" s="155">
        <f t="shared" si="22"/>
        <v>699.07120418567956</v>
      </c>
      <c r="I72" s="155">
        <f t="shared" si="22"/>
        <v>1105.9498585699062</v>
      </c>
      <c r="J72" s="155">
        <f t="shared" si="22"/>
        <v>1458.0128577375328</v>
      </c>
      <c r="K72" s="155">
        <f t="shared" si="22"/>
        <v>1668.344712962723</v>
      </c>
      <c r="L72" s="112"/>
      <c r="M72" s="112"/>
    </row>
    <row r="73" spans="1:13" ht="12.75" customHeight="1">
      <c r="A73" s="154" t="s">
        <v>211</v>
      </c>
      <c r="B73" s="345">
        <f>B46</f>
        <v>5436</v>
      </c>
      <c r="C73" s="345">
        <f>C46</f>
        <v>5236</v>
      </c>
      <c r="D73" s="345">
        <f>D46</f>
        <v>5620</v>
      </c>
      <c r="E73" s="345">
        <f>E46</f>
        <v>5084</v>
      </c>
      <c r="F73" s="155">
        <f t="shared" ref="F73:K73" si="23">F71+F72</f>
        <v>5105.63394039589</v>
      </c>
      <c r="G73" s="155">
        <f t="shared" si="23"/>
        <v>4396.5133487372459</v>
      </c>
      <c r="H73" s="155">
        <f t="shared" si="23"/>
        <v>3591.2639259463003</v>
      </c>
      <c r="I73" s="155">
        <f t="shared" si="23"/>
        <v>2926.8226308766098</v>
      </c>
      <c r="J73" s="155">
        <f t="shared" si="23"/>
        <v>2433.2897521490263</v>
      </c>
      <c r="K73" s="155">
        <f t="shared" si="23"/>
        <v>2158.2667583029875</v>
      </c>
      <c r="L73" s="112"/>
      <c r="M73" s="112"/>
    </row>
    <row r="74" spans="1:13" ht="12.75" customHeight="1">
      <c r="A74" s="139" t="s">
        <v>212</v>
      </c>
      <c r="B74" s="156"/>
      <c r="C74" s="156"/>
      <c r="D74" s="156"/>
      <c r="E74" s="156"/>
      <c r="F74" s="157">
        <f t="shared" ref="F74:K74" si="24">F73/$D73-1</f>
        <v>-9.1524209893969699E-2</v>
      </c>
      <c r="G74" s="157">
        <f t="shared" si="24"/>
        <v>-0.21770225111436903</v>
      </c>
      <c r="H74" s="157">
        <f t="shared" si="24"/>
        <v>-0.36098506655759777</v>
      </c>
      <c r="I74" s="157">
        <f t="shared" si="24"/>
        <v>-0.479213055004162</v>
      </c>
      <c r="J74" s="157">
        <f t="shared" si="24"/>
        <v>-0.567030293211917</v>
      </c>
      <c r="K74" s="157">
        <f t="shared" si="24"/>
        <v>-0.6159667689852335</v>
      </c>
      <c r="L74" s="112"/>
      <c r="M74" s="112"/>
    </row>
    <row r="75" spans="1:13" ht="12.75" customHeight="1">
      <c r="A75" s="428" t="s">
        <v>419</v>
      </c>
      <c r="B75" s="428"/>
      <c r="C75" s="428"/>
      <c r="D75" s="428"/>
      <c r="E75" s="428"/>
      <c r="F75" s="428"/>
      <c r="G75" s="428"/>
      <c r="H75" s="428"/>
      <c r="I75" s="428"/>
      <c r="J75" s="428"/>
      <c r="K75" s="428"/>
      <c r="L75" s="112"/>
      <c r="M75" s="112"/>
    </row>
    <row r="76" spans="1:13" ht="12.75" customHeight="1">
      <c r="A76" s="112"/>
      <c r="B76" s="112"/>
      <c r="C76" s="112"/>
      <c r="D76" s="113"/>
      <c r="E76" s="112"/>
      <c r="F76" s="112"/>
      <c r="G76" s="112"/>
      <c r="H76" s="112"/>
      <c r="I76" s="112"/>
      <c r="J76" s="112"/>
      <c r="K76" s="112"/>
      <c r="L76" s="112"/>
      <c r="M76" s="112"/>
    </row>
  </sheetData>
  <mergeCells count="7">
    <mergeCell ref="A75:K75"/>
    <mergeCell ref="A2:K2"/>
    <mergeCell ref="F21:I21"/>
    <mergeCell ref="A30:K30"/>
    <mergeCell ref="A48:K48"/>
    <mergeCell ref="A50:K50"/>
    <mergeCell ref="A23:K23"/>
  </mergeCells>
  <pageMargins left="0.7" right="0.7" top="0.75" bottom="0.75" header="0.51180555555555496" footer="0.51180555555555496"/>
  <pageSetup paperSize="9"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3:W64"/>
  <sheetViews>
    <sheetView topLeftCell="A43" zoomScaleNormal="100" workbookViewId="0">
      <selection activeCell="A55" sqref="A55"/>
    </sheetView>
  </sheetViews>
  <sheetFormatPr baseColWidth="10" defaultColWidth="8.88671875" defaultRowHeight="14.4"/>
  <cols>
    <col min="1" max="1" width="28.77734375" customWidth="1"/>
    <col min="2" max="12" width="10.44140625" customWidth="1"/>
    <col min="13" max="13" width="26.6640625" customWidth="1"/>
    <col min="14" max="14" width="10.44140625" customWidth="1"/>
    <col min="15" max="15" width="34.5546875" customWidth="1"/>
    <col min="16" max="1025" width="10.44140625" customWidth="1"/>
  </cols>
  <sheetData>
    <row r="3" spans="1:13">
      <c r="A3" s="414" t="s">
        <v>55</v>
      </c>
      <c r="B3" s="414"/>
      <c r="C3" s="414"/>
      <c r="D3" s="414"/>
      <c r="E3" s="414"/>
      <c r="F3" s="414"/>
      <c r="G3" s="414"/>
      <c r="H3" s="414"/>
      <c r="I3" s="414"/>
      <c r="J3" s="414"/>
      <c r="K3" s="414"/>
      <c r="L3" s="414"/>
      <c r="M3" s="414"/>
    </row>
    <row r="5" spans="1:13">
      <c r="A5" s="35"/>
      <c r="B5" s="30">
        <v>2010</v>
      </c>
      <c r="C5" s="30">
        <v>2011</v>
      </c>
      <c r="D5" s="30">
        <v>2012</v>
      </c>
      <c r="E5" s="30">
        <v>2013</v>
      </c>
      <c r="F5" s="30">
        <v>2014</v>
      </c>
      <c r="G5" s="30">
        <v>2015</v>
      </c>
      <c r="H5" s="30">
        <v>2016</v>
      </c>
      <c r="I5" s="30">
        <v>2017</v>
      </c>
      <c r="J5" s="30">
        <v>2018</v>
      </c>
      <c r="K5" s="30">
        <v>2019</v>
      </c>
      <c r="L5" s="202">
        <v>2020</v>
      </c>
      <c r="M5" s="311" t="s">
        <v>422</v>
      </c>
    </row>
    <row r="6" spans="1:13">
      <c r="A6" s="30" t="s">
        <v>215</v>
      </c>
      <c r="B6" s="161">
        <f>(2.9+1.6)/100</f>
        <v>4.4999999999999998E-2</v>
      </c>
      <c r="C6" s="161">
        <f>(2.8+1.6)/100</f>
        <v>4.4000000000000004E-2</v>
      </c>
      <c r="D6" s="44">
        <f>AVERAGE(C6,E6)</f>
        <v>4.3999999999999997E-2</v>
      </c>
      <c r="E6" s="99">
        <v>4.3999999999999997E-2</v>
      </c>
      <c r="F6" s="99">
        <v>4.7E-2</v>
      </c>
      <c r="G6" s="99">
        <v>4.3999999999999997E-2</v>
      </c>
      <c r="H6" s="99">
        <v>4.5999999999999999E-2</v>
      </c>
      <c r="I6" s="162">
        <f>_xlfn.FORECAST.LINEAR(I5,$B$6:$H$6,$B$5:$H$5)</f>
        <v>4.5714285714285763E-2</v>
      </c>
      <c r="J6" s="162">
        <f>_xlfn.FORECAST.LINEAR(J5,$B$6:$H$6,$B$5:$H$5)</f>
        <v>4.5928571428571485E-2</v>
      </c>
      <c r="K6" s="162">
        <f>_xlfn.FORECAST.LINEAR(K5,$B$6:$H$6,$B$5:$H$5)</f>
        <v>4.6142857142857152E-2</v>
      </c>
      <c r="L6" s="308">
        <f>_xlfn.FORECAST.LINEAR(L5,$B$6:$H$6,$B$5:$H$5)</f>
        <v>4.6357142857142875E-2</v>
      </c>
      <c r="M6" s="312" t="s">
        <v>424</v>
      </c>
    </row>
    <row r="7" spans="1:13">
      <c r="A7" s="314" t="s">
        <v>466</v>
      </c>
      <c r="B7" s="314">
        <f>'Cadrage macroéconomique '!B6</f>
        <v>15487</v>
      </c>
      <c r="C7" s="314">
        <f>'Cadrage macroéconomique '!C6</f>
        <v>15926</v>
      </c>
      <c r="D7" s="314">
        <f>'Cadrage macroéconomique '!D6</f>
        <v>17109</v>
      </c>
      <c r="E7" s="314">
        <f>'Cadrage macroéconomique '!E6</f>
        <v>17013</v>
      </c>
      <c r="F7" s="314">
        <f>'Cadrage macroéconomique '!F6</f>
        <v>17534</v>
      </c>
      <c r="G7" s="314">
        <f>'Cadrage macroéconomique '!G6</f>
        <v>17555</v>
      </c>
      <c r="H7" s="314">
        <f>'Cadrage macroéconomique '!H6</f>
        <v>18065</v>
      </c>
      <c r="I7" s="314">
        <f>'Cadrage macroéconomique '!I6</f>
        <v>18715</v>
      </c>
      <c r="J7" s="314">
        <f>'Cadrage macroéconomique '!J6</f>
        <v>19163</v>
      </c>
      <c r="K7" s="314">
        <f>'Cadrage macroéconomique '!K6</f>
        <v>19660</v>
      </c>
      <c r="L7" s="202"/>
      <c r="M7" s="313" t="s">
        <v>423</v>
      </c>
    </row>
    <row r="8" spans="1:13">
      <c r="A8" s="30" t="s">
        <v>216</v>
      </c>
      <c r="B8" s="39">
        <f t="shared" ref="B8:K8" si="0">B7*B6</f>
        <v>696.91499999999996</v>
      </c>
      <c r="C8" s="39">
        <f t="shared" si="0"/>
        <v>700.74400000000003</v>
      </c>
      <c r="D8" s="39">
        <f t="shared" si="0"/>
        <v>752.79599999999994</v>
      </c>
      <c r="E8" s="39">
        <f t="shared" si="0"/>
        <v>748.572</v>
      </c>
      <c r="F8" s="39">
        <f t="shared" si="0"/>
        <v>824.09799999999996</v>
      </c>
      <c r="G8" s="39">
        <f t="shared" si="0"/>
        <v>772.42</v>
      </c>
      <c r="H8" s="163">
        <f t="shared" si="0"/>
        <v>830.99</v>
      </c>
      <c r="I8" s="163">
        <f t="shared" si="0"/>
        <v>855.542857142858</v>
      </c>
      <c r="J8" s="163">
        <f t="shared" si="0"/>
        <v>880.12921428571542</v>
      </c>
      <c r="K8" s="163">
        <f t="shared" si="0"/>
        <v>907.16857142857157</v>
      </c>
      <c r="L8" s="202"/>
      <c r="M8" s="313"/>
    </row>
    <row r="9" spans="1:13">
      <c r="A9" s="30" t="s">
        <v>217</v>
      </c>
      <c r="B9" s="99">
        <v>6.2E-2</v>
      </c>
      <c r="C9" s="99">
        <v>6.6000000000000003E-2</v>
      </c>
      <c r="D9" s="99">
        <f>AVERAGE(C9,E9)</f>
        <v>0.06</v>
      </c>
      <c r="E9" s="99">
        <v>5.3999999999999999E-2</v>
      </c>
      <c r="F9" s="99">
        <v>5.5E-2</v>
      </c>
      <c r="G9" s="99">
        <v>5.8999999999999997E-2</v>
      </c>
      <c r="H9" s="99">
        <v>5.8999999999999997E-2</v>
      </c>
      <c r="I9" s="162">
        <f>_xlfn.FORECAST.LINEAR(I5,$B$9:$H$9,$B$5:$H$5)</f>
        <v>5.528571428571416E-2</v>
      </c>
      <c r="J9" s="162">
        <f>_xlfn.FORECAST.LINEAR(J5,$B$9:$H$9,$B$5:$H$5)</f>
        <v>5.4285714285713826E-2</v>
      </c>
      <c r="K9" s="162">
        <f>_xlfn.FORECAST.LINEAR(K5,$B$9:$H$9,$B$5:$H$5)</f>
        <v>5.3285714285713937E-2</v>
      </c>
      <c r="L9" s="308">
        <f>_xlfn.FORECAST.LINEAR(L5,$B$9:$H$9,$B$5:$H$5)</f>
        <v>5.2285714285714047E-2</v>
      </c>
      <c r="M9" s="312" t="s">
        <v>424</v>
      </c>
    </row>
    <row r="10" spans="1:13">
      <c r="A10" s="30" t="s">
        <v>218</v>
      </c>
      <c r="B10" s="39">
        <f>B9*B7</f>
        <v>960.19399999999996</v>
      </c>
      <c r="C10" s="39">
        <f>C9*C7</f>
        <v>1051.116</v>
      </c>
      <c r="D10" s="39">
        <f>D9*D7</f>
        <v>1026.54</v>
      </c>
      <c r="E10" s="39">
        <f>E9*E7</f>
        <v>918.702</v>
      </c>
      <c r="F10" s="39">
        <f>F9*F7</f>
        <v>964.37</v>
      </c>
      <c r="G10" s="39">
        <f>G7*G9</f>
        <v>1035.7449999999999</v>
      </c>
      <c r="H10" s="163">
        <f>H7*H9</f>
        <v>1065.835</v>
      </c>
      <c r="I10" s="163">
        <f>I7*I9</f>
        <v>1034.6721428571404</v>
      </c>
      <c r="J10" s="163">
        <f>J7*J9</f>
        <v>1040.2771428571341</v>
      </c>
      <c r="K10" s="163">
        <f>K7*K9</f>
        <v>1047.5971428571361</v>
      </c>
      <c r="L10" s="202"/>
      <c r="M10" s="313"/>
    </row>
    <row r="11" spans="1:13">
      <c r="B11" s="164"/>
      <c r="M11" s="315"/>
    </row>
    <row r="12" spans="1:13">
      <c r="B12" s="30">
        <v>2010</v>
      </c>
      <c r="C12" s="30">
        <v>2011</v>
      </c>
      <c r="D12" s="30">
        <v>2012</v>
      </c>
      <c r="E12" s="30">
        <v>2013</v>
      </c>
      <c r="F12" s="30">
        <v>2014</v>
      </c>
      <c r="G12" s="30">
        <v>2015</v>
      </c>
      <c r="H12" s="30">
        <v>2016</v>
      </c>
      <c r="I12" s="30">
        <v>2017</v>
      </c>
      <c r="J12" s="30">
        <v>2018</v>
      </c>
      <c r="K12" s="30">
        <v>2019</v>
      </c>
      <c r="L12" s="202">
        <v>2020</v>
      </c>
      <c r="M12" s="313"/>
    </row>
    <row r="13" spans="1:13">
      <c r="A13" s="41" t="s">
        <v>219</v>
      </c>
      <c r="B13" s="39">
        <f t="shared" ref="B13:K13" si="1">SUM(B10,B8)</f>
        <v>1657.1089999999999</v>
      </c>
      <c r="C13" s="39">
        <f t="shared" si="1"/>
        <v>1751.8600000000001</v>
      </c>
      <c r="D13" s="39">
        <f t="shared" si="1"/>
        <v>1779.3359999999998</v>
      </c>
      <c r="E13" s="39">
        <f t="shared" si="1"/>
        <v>1667.2739999999999</v>
      </c>
      <c r="F13" s="39">
        <f t="shared" si="1"/>
        <v>1788.4679999999998</v>
      </c>
      <c r="G13" s="39">
        <f t="shared" si="1"/>
        <v>1808.165</v>
      </c>
      <c r="H13" s="39">
        <f t="shared" si="1"/>
        <v>1896.825</v>
      </c>
      <c r="I13" s="39">
        <f t="shared" si="1"/>
        <v>1890.2149999999983</v>
      </c>
      <c r="J13" s="39">
        <f t="shared" si="1"/>
        <v>1920.4063571428496</v>
      </c>
      <c r="K13" s="39">
        <f t="shared" si="1"/>
        <v>1954.7657142857076</v>
      </c>
      <c r="L13" s="202"/>
      <c r="M13" s="313" t="s">
        <v>425</v>
      </c>
    </row>
    <row r="14" spans="1:13" ht="28.8">
      <c r="A14" s="141" t="s">
        <v>222</v>
      </c>
      <c r="B14" s="30"/>
      <c r="C14" s="30"/>
      <c r="D14" s="30"/>
      <c r="E14" s="39">
        <f>'Bilan d''énergie SDES historique'!D250</f>
        <v>193</v>
      </c>
      <c r="F14" s="39">
        <f>'Bilan d''énergie SDES historique'!D218</f>
        <v>186</v>
      </c>
      <c r="G14" s="39">
        <f>'Bilan d''énergie SDES historique'!D186</f>
        <v>202</v>
      </c>
      <c r="H14" s="39">
        <f>'Bilan d''énergie SDES historique'!D154</f>
        <v>213</v>
      </c>
      <c r="I14" s="39">
        <f>'Bilan d''énergie SDES historique'!D122</f>
        <v>163</v>
      </c>
      <c r="J14" s="39">
        <f>'Bilan d''énergie SDES historique'!D90</f>
        <v>195</v>
      </c>
      <c r="K14" s="39">
        <f>'Bilan d''énergie SDES historique'!D58</f>
        <v>289</v>
      </c>
      <c r="L14" s="309">
        <f>'Bilan d''énergie SDES historique'!D26</f>
        <v>237</v>
      </c>
      <c r="M14" s="313" t="s">
        <v>223</v>
      </c>
    </row>
    <row r="15" spans="1:13">
      <c r="A15" s="141" t="s">
        <v>224</v>
      </c>
      <c r="B15" s="30"/>
      <c r="C15" s="30"/>
      <c r="D15" s="30"/>
      <c r="E15" s="39">
        <f>'Bilan d''énergie SDES historique'!H250</f>
        <v>359</v>
      </c>
      <c r="F15" s="39">
        <f>'Bilan d''énergie SDES historique'!H218</f>
        <v>340</v>
      </c>
      <c r="G15" s="39">
        <f>'Bilan d''énergie SDES historique'!H186</f>
        <v>351</v>
      </c>
      <c r="H15" s="39">
        <f>'Bilan d''énergie SDES historique'!H154</f>
        <v>357</v>
      </c>
      <c r="I15" s="39">
        <f>'Bilan d''énergie SDES historique'!H122</f>
        <v>361</v>
      </c>
      <c r="J15" s="39">
        <f>'Bilan d''énergie SDES historique'!H90</f>
        <v>300</v>
      </c>
      <c r="K15" s="39">
        <f>'Bilan d''énergie SDES historique'!H58</f>
        <v>308</v>
      </c>
      <c r="L15" s="309">
        <f>'Bilan d''énergie SDES historique'!H26</f>
        <v>289</v>
      </c>
      <c r="M15" s="313" t="s">
        <v>225</v>
      </c>
    </row>
    <row r="16" spans="1:13">
      <c r="A16" s="141" t="s">
        <v>226</v>
      </c>
      <c r="B16" s="39">
        <f>GES!V7</f>
        <v>141.71128575657201</v>
      </c>
      <c r="C16" s="39">
        <f>GES!W7</f>
        <v>134.60376834663899</v>
      </c>
      <c r="D16" s="39">
        <f>GES!X7</f>
        <v>142.404092086747</v>
      </c>
      <c r="E16" s="39">
        <f>GES!Y7</f>
        <v>144.89613227391601</v>
      </c>
      <c r="F16" s="39">
        <f>GES!Z7</f>
        <v>158.71145433307299</v>
      </c>
      <c r="G16" s="39">
        <f>GES!AA7</f>
        <v>168.387631093924</v>
      </c>
      <c r="H16" s="39">
        <f>GES!AB7</f>
        <v>169.217644139236</v>
      </c>
      <c r="I16" s="39">
        <f>GES!AC7</f>
        <v>163.35432814992501</v>
      </c>
      <c r="J16" s="39">
        <f>GES!AD7</f>
        <v>150.93605865519001</v>
      </c>
      <c r="K16" s="39">
        <f>GES!AE7</f>
        <v>152.93630694720699</v>
      </c>
      <c r="L16" s="202"/>
      <c r="M16" s="313" t="s">
        <v>227</v>
      </c>
    </row>
    <row r="17" spans="1:23">
      <c r="A17" s="1" t="s">
        <v>228</v>
      </c>
      <c r="B17" s="30"/>
      <c r="C17" s="30"/>
      <c r="D17" s="30"/>
      <c r="E17" s="39">
        <f>'Bilan d''énergie SDES historique'!D256</f>
        <v>253</v>
      </c>
      <c r="F17" s="39">
        <f>'Bilan d''énergie SDES historique'!D224</f>
        <v>253</v>
      </c>
      <c r="G17" s="39">
        <f>'Bilan d''énergie SDES historique'!D192</f>
        <v>253</v>
      </c>
      <c r="H17" s="39">
        <f>'Bilan d''énergie SDES historique'!D160</f>
        <v>274</v>
      </c>
      <c r="I17" s="39">
        <f>'Bilan d''énergie SDES historique'!D128</f>
        <v>207</v>
      </c>
      <c r="J17" s="39">
        <f>'Bilan d''énergie SDES historique'!D96</f>
        <v>268</v>
      </c>
      <c r="K17" s="39">
        <f>'Bilan d''énergie SDES historique'!D64</f>
        <v>268</v>
      </c>
      <c r="L17" s="309">
        <f>'Bilan d''énergie SDES historique'!D32</f>
        <v>238</v>
      </c>
      <c r="M17" s="313" t="s">
        <v>223</v>
      </c>
    </row>
    <row r="18" spans="1:23" ht="24.6">
      <c r="A18" s="1" t="s">
        <v>229</v>
      </c>
      <c r="B18" s="30"/>
      <c r="C18" s="30"/>
      <c r="D18" s="30"/>
      <c r="E18" s="39">
        <f>'Bilan d''énergie SDES historique'!G250</f>
        <v>9</v>
      </c>
      <c r="F18" s="39">
        <f>'Bilan d''énergie SDES historique'!G218</f>
        <v>0</v>
      </c>
      <c r="G18" s="39">
        <f>'Bilan d''énergie SDES historique'!G186</f>
        <v>12</v>
      </c>
      <c r="H18" s="39">
        <f>'Bilan d''énergie SDES historique'!G154</f>
        <v>12</v>
      </c>
      <c r="I18" s="39">
        <f>'Bilan d''énergie SDES historique'!G122</f>
        <v>27</v>
      </c>
      <c r="J18" s="39">
        <f>'Bilan d''énergie SDES historique'!G90</f>
        <v>28</v>
      </c>
      <c r="K18" s="39">
        <f>'Bilan d''énergie SDES historique'!G58</f>
        <v>28</v>
      </c>
      <c r="L18" s="309">
        <f>'Bilan d''énergie SDES historique'!G26</f>
        <v>0</v>
      </c>
      <c r="M18" s="313" t="s">
        <v>230</v>
      </c>
    </row>
    <row r="19" spans="1:23">
      <c r="A19" s="1" t="s">
        <v>231</v>
      </c>
      <c r="B19" s="30"/>
      <c r="C19" s="30"/>
      <c r="D19" s="30"/>
      <c r="E19" s="39">
        <f>'Bilan d''énergie SDES historique'!I250</f>
        <v>427</v>
      </c>
      <c r="F19" s="39">
        <f>'Bilan d''énergie SDES historique'!I218</f>
        <v>416</v>
      </c>
      <c r="G19" s="39">
        <f>'Bilan d''énergie SDES historique'!I186</f>
        <v>461</v>
      </c>
      <c r="H19" s="39">
        <f>'Bilan d''énergie SDES historique'!I154</f>
        <v>435</v>
      </c>
      <c r="I19" s="39">
        <f>'Bilan d''énergie SDES historique'!I122</f>
        <v>436</v>
      </c>
      <c r="J19" s="39">
        <f>'Bilan d''énergie SDES historique'!I90</f>
        <v>379</v>
      </c>
      <c r="K19" s="39">
        <f>'Bilan d''énergie SDES historique'!I58</f>
        <v>436</v>
      </c>
      <c r="L19" s="309">
        <f>'Bilan d''énergie SDES historique'!I26</f>
        <v>400</v>
      </c>
      <c r="M19" s="313" t="s">
        <v>223</v>
      </c>
      <c r="O19" s="432" t="s">
        <v>432</v>
      </c>
      <c r="P19" s="432"/>
      <c r="Q19" s="432"/>
      <c r="R19" s="432"/>
      <c r="S19" s="432"/>
      <c r="T19" s="432"/>
      <c r="U19" s="432"/>
      <c r="V19" s="432"/>
      <c r="W19" s="432"/>
    </row>
    <row r="20" spans="1:23">
      <c r="A20" s="431" t="s">
        <v>426</v>
      </c>
      <c r="B20" s="431"/>
      <c r="C20" s="431"/>
      <c r="D20" s="431"/>
      <c r="E20" s="431"/>
      <c r="F20" s="431"/>
      <c r="G20" s="431"/>
      <c r="H20" s="431"/>
      <c r="I20" s="431"/>
      <c r="J20" s="431"/>
      <c r="K20" s="431"/>
      <c r="L20" s="431"/>
      <c r="M20" s="431"/>
      <c r="O20" s="432"/>
      <c r="P20" s="432"/>
      <c r="Q20" s="432"/>
      <c r="R20" s="432"/>
      <c r="S20" s="432"/>
      <c r="T20" s="432"/>
      <c r="U20" s="432"/>
      <c r="V20" s="432"/>
      <c r="W20" s="432"/>
    </row>
    <row r="22" spans="1:23">
      <c r="A22" s="414" t="s">
        <v>152</v>
      </c>
      <c r="B22" s="414"/>
      <c r="C22" s="414"/>
      <c r="D22" s="414"/>
      <c r="E22" s="414"/>
      <c r="F22" s="414"/>
      <c r="G22" s="414"/>
      <c r="H22" s="414"/>
      <c r="I22" s="414"/>
      <c r="J22" s="414"/>
      <c r="O22" s="414" t="s">
        <v>153</v>
      </c>
      <c r="P22" s="414"/>
      <c r="Q22" s="414"/>
      <c r="R22" s="414"/>
      <c r="S22" s="414"/>
      <c r="T22" s="414"/>
      <c r="U22" s="414"/>
      <c r="V22" s="414"/>
      <c r="W22" s="414"/>
    </row>
    <row r="24" spans="1:23">
      <c r="A24" s="195"/>
      <c r="B24" s="30">
        <v>2019</v>
      </c>
      <c r="C24" s="30">
        <v>2020</v>
      </c>
      <c r="D24" s="30">
        <v>2025</v>
      </c>
      <c r="E24" s="30">
        <v>2030</v>
      </c>
      <c r="F24" s="30">
        <v>2035</v>
      </c>
      <c r="G24" s="30">
        <v>2040</v>
      </c>
      <c r="H24" s="30">
        <v>2045</v>
      </c>
      <c r="I24" s="202">
        <v>2050</v>
      </c>
      <c r="J24" s="311" t="s">
        <v>422</v>
      </c>
      <c r="K24" t="s">
        <v>445</v>
      </c>
      <c r="O24" s="195"/>
      <c r="P24" s="30">
        <v>2015</v>
      </c>
      <c r="Q24" s="30">
        <v>2020</v>
      </c>
      <c r="R24" s="30">
        <v>2025</v>
      </c>
      <c r="S24" s="30">
        <v>2030</v>
      </c>
      <c r="T24" s="30">
        <v>2035</v>
      </c>
      <c r="U24" s="30">
        <v>2040</v>
      </c>
      <c r="V24" s="30">
        <v>2045</v>
      </c>
      <c r="W24" s="30">
        <v>2050</v>
      </c>
    </row>
    <row r="25" spans="1:23" ht="13.8" customHeight="1">
      <c r="A25" s="30" t="s">
        <v>215</v>
      </c>
      <c r="B25" s="162">
        <f>K6</f>
        <v>4.6142857142857152E-2</v>
      </c>
      <c r="C25" s="177">
        <f>L6</f>
        <v>4.6357142857142875E-2</v>
      </c>
      <c r="D25" s="161">
        <f>C25</f>
        <v>4.6357142857142875E-2</v>
      </c>
      <c r="E25" s="161">
        <f t="shared" ref="E25:I25" si="2">D25</f>
        <v>4.6357142857142875E-2</v>
      </c>
      <c r="F25" s="161">
        <f t="shared" si="2"/>
        <v>4.6357142857142875E-2</v>
      </c>
      <c r="G25" s="161">
        <f t="shared" si="2"/>
        <v>4.6357142857142875E-2</v>
      </c>
      <c r="H25" s="161">
        <f t="shared" si="2"/>
        <v>4.6357142857142875E-2</v>
      </c>
      <c r="I25" s="161">
        <f t="shared" si="2"/>
        <v>4.6357142857142875E-2</v>
      </c>
      <c r="J25" s="319" t="s">
        <v>232</v>
      </c>
      <c r="K25" t="s">
        <v>445</v>
      </c>
      <c r="O25" s="30" t="s">
        <v>215</v>
      </c>
      <c r="P25" s="94">
        <v>4.3999999999999997E-2</v>
      </c>
      <c r="Q25" s="30"/>
      <c r="R25" s="30"/>
      <c r="S25" s="30"/>
      <c r="T25" s="30"/>
      <c r="U25" s="30"/>
      <c r="V25" s="30"/>
      <c r="W25" s="30"/>
    </row>
    <row r="26" spans="1:23" ht="13.8" customHeight="1">
      <c r="A26" s="314" t="s">
        <v>466</v>
      </c>
      <c r="B26" s="30">
        <f>K7</f>
        <v>19660</v>
      </c>
      <c r="C26" s="30">
        <f>B26</f>
        <v>19660</v>
      </c>
      <c r="D26" s="145">
        <f>'Cadrage macroéconomique '!C16</f>
        <v>21096.190823125326</v>
      </c>
      <c r="E26" s="145">
        <f>'Cadrage macroéconomique '!D16</f>
        <v>22248.047497929623</v>
      </c>
      <c r="F26" s="145">
        <f>'Cadrage macroéconomique '!E16</f>
        <v>23379.442382543286</v>
      </c>
      <c r="G26" s="145">
        <f>'Cadrage macroéconomique '!F16</f>
        <v>24511.041756579045</v>
      </c>
      <c r="H26" s="145">
        <f>'Cadrage macroéconomique '!G16</f>
        <v>25555.571763742591</v>
      </c>
      <c r="I26" s="316">
        <f>'Cadrage macroéconomique '!H16</f>
        <v>26557.318472291503</v>
      </c>
      <c r="J26" s="319" t="s">
        <v>233</v>
      </c>
      <c r="K26" t="s">
        <v>445</v>
      </c>
      <c r="O26" s="30" t="s">
        <v>234</v>
      </c>
      <c r="P26" s="143" t="s">
        <v>235</v>
      </c>
      <c r="Q26" s="30"/>
      <c r="R26" s="30"/>
      <c r="S26" s="30"/>
      <c r="T26" s="30"/>
      <c r="U26" s="30"/>
      <c r="V26" s="30"/>
      <c r="W26" s="30"/>
    </row>
    <row r="27" spans="1:23" ht="13.8" customHeight="1">
      <c r="A27" s="30" t="s">
        <v>236</v>
      </c>
      <c r="B27" s="167">
        <f>B26*B25</f>
        <v>907.16857142857157</v>
      </c>
      <c r="C27" s="184">
        <f>C25*C26</f>
        <v>911.38142857142896</v>
      </c>
      <c r="D27" s="184">
        <f t="shared" ref="D27:I27" si="3">D26*D25</f>
        <v>977.95913172916721</v>
      </c>
      <c r="E27" s="184">
        <f t="shared" si="3"/>
        <v>1031.3559161540236</v>
      </c>
      <c r="F27" s="184">
        <f t="shared" si="3"/>
        <v>1083.8041504478999</v>
      </c>
      <c r="G27" s="184">
        <f t="shared" si="3"/>
        <v>1136.2618642871289</v>
      </c>
      <c r="H27" s="184">
        <f t="shared" si="3"/>
        <v>1184.6832910477819</v>
      </c>
      <c r="I27" s="317">
        <f t="shared" si="3"/>
        <v>1231.1214063226566</v>
      </c>
      <c r="J27" s="319"/>
      <c r="O27" s="30" t="s">
        <v>236</v>
      </c>
      <c r="P27" s="143">
        <v>746</v>
      </c>
      <c r="Q27" s="30"/>
      <c r="R27" s="30"/>
      <c r="S27" s="30"/>
      <c r="T27" s="30"/>
      <c r="U27" s="30"/>
      <c r="V27" s="30"/>
      <c r="W27" s="30"/>
    </row>
    <row r="28" spans="1:23" ht="13.8" customHeight="1">
      <c r="A28" s="30" t="s">
        <v>217</v>
      </c>
      <c r="B28" s="162">
        <f>K9</f>
        <v>5.3285714285713937E-2</v>
      </c>
      <c r="C28" s="177">
        <f>L9</f>
        <v>5.2285714285714047E-2</v>
      </c>
      <c r="D28" s="161">
        <f>C28</f>
        <v>5.2285714285714047E-2</v>
      </c>
      <c r="E28" s="161">
        <f t="shared" ref="E28:I28" si="4">D28</f>
        <v>5.2285714285714047E-2</v>
      </c>
      <c r="F28" s="161">
        <f t="shared" si="4"/>
        <v>5.2285714285714047E-2</v>
      </c>
      <c r="G28" s="161">
        <f t="shared" si="4"/>
        <v>5.2285714285714047E-2</v>
      </c>
      <c r="H28" s="161">
        <f t="shared" si="4"/>
        <v>5.2285714285714047E-2</v>
      </c>
      <c r="I28" s="161">
        <f t="shared" si="4"/>
        <v>5.2285714285714047E-2</v>
      </c>
      <c r="J28" s="319" t="s">
        <v>232</v>
      </c>
      <c r="K28" t="s">
        <v>445</v>
      </c>
      <c r="O28" s="30" t="s">
        <v>217</v>
      </c>
      <c r="P28" s="94">
        <v>5.8999999999999997E-2</v>
      </c>
      <c r="Q28" s="30"/>
      <c r="R28" s="30"/>
      <c r="S28" s="30"/>
      <c r="T28" s="30"/>
      <c r="U28" s="30"/>
      <c r="V28" s="30"/>
      <c r="W28" s="30"/>
    </row>
    <row r="29" spans="1:23" ht="13.8" customHeight="1">
      <c r="A29" s="30" t="s">
        <v>237</v>
      </c>
      <c r="B29" s="167">
        <f>B26*B28</f>
        <v>1047.5971428571361</v>
      </c>
      <c r="C29" s="184">
        <f>C28*19660</f>
        <v>1027.9371428571383</v>
      </c>
      <c r="D29" s="184">
        <f t="shared" ref="D29:I29" si="5">D28*D26</f>
        <v>1103.0294058948334</v>
      </c>
      <c r="E29" s="184">
        <f t="shared" si="5"/>
        <v>1163.2550548917436</v>
      </c>
      <c r="F29" s="184">
        <f t="shared" si="5"/>
        <v>1222.4108445729719</v>
      </c>
      <c r="G29" s="184">
        <f t="shared" si="5"/>
        <v>1281.5773261296986</v>
      </c>
      <c r="H29" s="184">
        <f t="shared" si="5"/>
        <v>1336.1913236471066</v>
      </c>
      <c r="I29" s="317">
        <f t="shared" si="5"/>
        <v>1388.5683658369494</v>
      </c>
      <c r="J29" s="319"/>
      <c r="K29" t="s">
        <v>445</v>
      </c>
      <c r="O29" s="30" t="s">
        <v>237</v>
      </c>
      <c r="P29" s="143" t="s">
        <v>238</v>
      </c>
      <c r="Q29" s="30"/>
      <c r="R29" s="30"/>
      <c r="S29" s="30"/>
      <c r="T29" s="30"/>
      <c r="U29" s="30"/>
      <c r="V29" s="30"/>
      <c r="W29" s="30"/>
    </row>
    <row r="30" spans="1:23" ht="13.8" customHeight="1">
      <c r="J30" s="320"/>
      <c r="K30" t="s">
        <v>445</v>
      </c>
    </row>
    <row r="31" spans="1:23" ht="13.8" customHeight="1">
      <c r="B31" s="30">
        <v>2019</v>
      </c>
      <c r="C31" s="30">
        <v>2020</v>
      </c>
      <c r="D31" s="30">
        <v>2025</v>
      </c>
      <c r="E31" s="30">
        <v>2030</v>
      </c>
      <c r="F31" s="30">
        <v>2035</v>
      </c>
      <c r="G31" s="30">
        <v>2040</v>
      </c>
      <c r="H31" s="30">
        <v>2045</v>
      </c>
      <c r="I31" s="202">
        <v>2050</v>
      </c>
      <c r="J31" s="311" t="s">
        <v>422</v>
      </c>
      <c r="K31" t="s">
        <v>445</v>
      </c>
      <c r="P31" s="30">
        <v>2015</v>
      </c>
      <c r="Q31" s="92">
        <v>2017</v>
      </c>
      <c r="R31" s="30">
        <v>2025</v>
      </c>
      <c r="S31" s="30">
        <v>2030</v>
      </c>
      <c r="T31" s="30">
        <v>2035</v>
      </c>
      <c r="U31" s="30">
        <v>2040</v>
      </c>
      <c r="V31" s="30">
        <v>2045</v>
      </c>
      <c r="W31" s="30">
        <v>2050</v>
      </c>
    </row>
    <row r="32" spans="1:23" ht="13.8" customHeight="1">
      <c r="A32" s="141" t="s">
        <v>219</v>
      </c>
      <c r="B32" s="184">
        <f t="shared" ref="B32:I32" si="6">SUM(B29,B27)</f>
        <v>1954.7657142857076</v>
      </c>
      <c r="C32" s="184">
        <f t="shared" si="6"/>
        <v>1939.3185714285673</v>
      </c>
      <c r="D32" s="184">
        <f t="shared" si="6"/>
        <v>2080.9885376240009</v>
      </c>
      <c r="E32" s="184">
        <f t="shared" si="6"/>
        <v>2194.6109710457672</v>
      </c>
      <c r="F32" s="184">
        <f t="shared" si="6"/>
        <v>2306.2149950208718</v>
      </c>
      <c r="G32" s="184">
        <f t="shared" si="6"/>
        <v>2417.8391904168275</v>
      </c>
      <c r="H32" s="184">
        <f t="shared" si="6"/>
        <v>2520.8746146948888</v>
      </c>
      <c r="I32" s="317">
        <f t="shared" si="6"/>
        <v>2619.689772159606</v>
      </c>
      <c r="J32" s="319"/>
      <c r="K32" t="s">
        <v>445</v>
      </c>
      <c r="O32" s="141" t="s">
        <v>219</v>
      </c>
      <c r="P32" s="143" t="s">
        <v>239</v>
      </c>
      <c r="Q32" s="143" t="s">
        <v>240</v>
      </c>
      <c r="R32" s="30"/>
      <c r="S32" s="30"/>
      <c r="T32" s="30"/>
      <c r="U32" s="30"/>
      <c r="V32" s="30"/>
      <c r="W32" s="143" t="s">
        <v>241</v>
      </c>
    </row>
    <row r="33" spans="1:23" ht="13.8" customHeight="1">
      <c r="A33" s="141" t="s">
        <v>220</v>
      </c>
      <c r="B33" s="339">
        <v>1</v>
      </c>
      <c r="C33" s="339">
        <f>$B$33+($I$33-$B$33)*1/31</f>
        <v>0.99677419354838714</v>
      </c>
      <c r="D33" s="339">
        <f>$B$33+($I$33-$B$33)*6/31</f>
        <v>0.98064516129032253</v>
      </c>
      <c r="E33" s="339">
        <f>$B$33+($I$33-$B$33)*11/31</f>
        <v>0.96451612903225803</v>
      </c>
      <c r="F33" s="339">
        <f>$B$33+($I$33-$B$33)*16/31</f>
        <v>0.94838709677419353</v>
      </c>
      <c r="G33" s="339">
        <f>$B$33+($I$33-$B$33)*21/31</f>
        <v>0.93225806451612903</v>
      </c>
      <c r="H33" s="339">
        <f>$B$33+($I$33-$B$33)*26/31</f>
        <v>0.91612903225806452</v>
      </c>
      <c r="I33" s="340">
        <v>0.9</v>
      </c>
      <c r="J33" s="319" t="s">
        <v>428</v>
      </c>
      <c r="K33" t="s">
        <v>445</v>
      </c>
      <c r="O33" s="141" t="s">
        <v>220</v>
      </c>
      <c r="P33" s="166">
        <v>1</v>
      </c>
      <c r="Q33" s="166">
        <v>1</v>
      </c>
      <c r="R33" s="30"/>
      <c r="S33" s="30"/>
      <c r="T33" s="30"/>
      <c r="U33" s="30"/>
      <c r="V33" s="30"/>
      <c r="W33" s="166">
        <v>0.9</v>
      </c>
    </row>
    <row r="34" spans="1:23" ht="13.8" customHeight="1">
      <c r="A34" s="141" t="s">
        <v>221</v>
      </c>
      <c r="B34" s="166">
        <v>0</v>
      </c>
      <c r="C34" s="166">
        <v>0</v>
      </c>
      <c r="D34" s="166">
        <v>0</v>
      </c>
      <c r="E34" s="166">
        <v>0</v>
      </c>
      <c r="F34" s="166">
        <v>0</v>
      </c>
      <c r="G34" s="166">
        <v>0</v>
      </c>
      <c r="H34" s="166">
        <v>0</v>
      </c>
      <c r="I34" s="318">
        <v>0</v>
      </c>
      <c r="J34" s="319"/>
      <c r="K34" t="s">
        <v>447</v>
      </c>
      <c r="O34" s="141" t="s">
        <v>221</v>
      </c>
      <c r="P34" s="166">
        <v>0</v>
      </c>
      <c r="Q34" s="166">
        <v>0</v>
      </c>
      <c r="R34" s="30"/>
      <c r="S34" s="30"/>
      <c r="T34" s="30"/>
      <c r="U34" s="30"/>
      <c r="V34" s="30"/>
      <c r="W34" s="166">
        <v>0</v>
      </c>
    </row>
    <row r="35" spans="1:23" ht="13.8" customHeight="1">
      <c r="A35" s="321" t="s">
        <v>242</v>
      </c>
      <c r="B35" s="184">
        <f>K14</f>
        <v>289</v>
      </c>
      <c r="C35" s="167">
        <f>L14</f>
        <v>237</v>
      </c>
      <c r="D35" s="184">
        <f t="shared" ref="D35:I35" si="7">$B35*(1-D34)*D33*(D32/$B32)</f>
        <v>301.70652829904441</v>
      </c>
      <c r="E35" s="184">
        <f t="shared" si="7"/>
        <v>312.9465514066473</v>
      </c>
      <c r="F35" s="184">
        <f t="shared" si="7"/>
        <v>323.36168396024226</v>
      </c>
      <c r="G35" s="184">
        <f t="shared" si="7"/>
        <v>333.2473398251438</v>
      </c>
      <c r="H35" s="184">
        <f t="shared" si="7"/>
        <v>341.43734507433959</v>
      </c>
      <c r="I35" s="317">
        <f t="shared" si="7"/>
        <v>348.57441214519031</v>
      </c>
      <c r="J35" s="319" t="s">
        <v>243</v>
      </c>
      <c r="K35" t="s">
        <v>445</v>
      </c>
      <c r="O35" s="141" t="s">
        <v>242</v>
      </c>
      <c r="P35" s="30">
        <v>17.399999999999999</v>
      </c>
      <c r="Q35" s="30">
        <v>17.760000000000002</v>
      </c>
      <c r="R35" s="30"/>
      <c r="S35" s="30"/>
      <c r="T35" s="30"/>
      <c r="U35" s="30"/>
      <c r="V35" s="30"/>
      <c r="W35" s="30">
        <v>34.67</v>
      </c>
    </row>
    <row r="36" spans="1:23" ht="13.8" customHeight="1">
      <c r="A36" s="321" t="s">
        <v>224</v>
      </c>
      <c r="B36" s="184">
        <f>K15</f>
        <v>308</v>
      </c>
      <c r="C36" s="167">
        <f>L15</f>
        <v>289</v>
      </c>
      <c r="D36" s="184">
        <f>$B36*D33*(D32/$B32)+1.1*D34*D35*D33*(D32/$B32)</f>
        <v>321.5419055920612</v>
      </c>
      <c r="E36" s="184">
        <f>$B36*E33*(E32/$B32)+1.1*E34*E35*E33*(E32/$B32)</f>
        <v>333.52089215656525</v>
      </c>
      <c r="F36" s="184">
        <f>$B36*F33*(F32/$B32)+1.1*F34*F35*F33*(F32/$B32)</f>
        <v>344.62075660814747</v>
      </c>
      <c r="G36" s="184">
        <f>$B36*G33*(G32/$B32)+1.1*G34*G35*G33*(G32/$B32)</f>
        <v>355.15633448492832</v>
      </c>
      <c r="H36" s="184">
        <f>$B36*H33*(H32/$B32)+1.1*H34*H35*H33*(H32/$B32)</f>
        <v>363.88478298580139</v>
      </c>
      <c r="I36" s="317">
        <f>$B36*I33*(I32/$B32)+1.1*I34*B35*I33*(I32/$B32)</f>
        <v>371.49106899902631</v>
      </c>
      <c r="J36" s="319" t="s">
        <v>243</v>
      </c>
      <c r="K36" t="s">
        <v>445</v>
      </c>
      <c r="O36" s="141" t="s">
        <v>224</v>
      </c>
      <c r="P36" s="30">
        <v>412</v>
      </c>
      <c r="Q36" s="30">
        <v>313</v>
      </c>
      <c r="R36" s="30"/>
      <c r="S36" s="30"/>
      <c r="T36" s="30"/>
      <c r="U36" s="30"/>
      <c r="V36" s="30"/>
      <c r="W36" s="30">
        <v>610</v>
      </c>
    </row>
    <row r="37" spans="1:23" ht="13.8" customHeight="1">
      <c r="A37" s="30" t="s">
        <v>245</v>
      </c>
      <c r="B37" s="184">
        <f t="shared" ref="B37:C39" si="8">K17</f>
        <v>268</v>
      </c>
      <c r="C37" s="184">
        <f t="shared" si="8"/>
        <v>238</v>
      </c>
      <c r="D37" s="184">
        <f t="shared" ref="D37:I37" si="9">$B37*D$32/$B$32</f>
        <v>285.30525372296273</v>
      </c>
      <c r="E37" s="184">
        <f t="shared" si="9"/>
        <v>300.88298354219091</v>
      </c>
      <c r="F37" s="184">
        <f t="shared" si="9"/>
        <v>316.18398775294742</v>
      </c>
      <c r="G37" s="184">
        <f t="shared" si="9"/>
        <v>331.48775748222539</v>
      </c>
      <c r="H37" s="184">
        <f t="shared" si="9"/>
        <v>345.61399957083842</v>
      </c>
      <c r="I37" s="317">
        <f t="shared" si="9"/>
        <v>359.16163958058826</v>
      </c>
      <c r="J37" s="319" t="s">
        <v>427</v>
      </c>
      <c r="K37" t="s">
        <v>445</v>
      </c>
      <c r="O37" s="30" t="s">
        <v>245</v>
      </c>
      <c r="P37" s="30"/>
      <c r="Q37" s="170">
        <v>23.03</v>
      </c>
      <c r="R37" s="30"/>
      <c r="S37" s="30"/>
      <c r="T37" s="30"/>
      <c r="U37" s="30"/>
      <c r="V37" s="30"/>
      <c r="W37" s="30">
        <v>44.952869724770601</v>
      </c>
    </row>
    <row r="38" spans="1:23" ht="13.8" customHeight="1">
      <c r="A38" s="30" t="s">
        <v>246</v>
      </c>
      <c r="B38" s="184">
        <f t="shared" si="8"/>
        <v>28</v>
      </c>
      <c r="C38" s="184">
        <f t="shared" si="8"/>
        <v>0</v>
      </c>
      <c r="D38" s="184">
        <f t="shared" ref="D38:I38" si="10">$B38*D32/$B32</f>
        <v>29.808011582996102</v>
      </c>
      <c r="E38" s="184">
        <f t="shared" si="10"/>
        <v>31.435535593960243</v>
      </c>
      <c r="F38" s="184">
        <f t="shared" si="10"/>
        <v>33.034147974188535</v>
      </c>
      <c r="G38" s="184">
        <f t="shared" si="10"/>
        <v>34.633049289187731</v>
      </c>
      <c r="H38" s="184">
        <f t="shared" si="10"/>
        <v>36.10892532829655</v>
      </c>
      <c r="I38" s="317">
        <f t="shared" si="10"/>
        <v>37.524350403942051</v>
      </c>
      <c r="J38" s="319" t="s">
        <v>427</v>
      </c>
      <c r="K38" t="s">
        <v>445</v>
      </c>
      <c r="O38" s="30" t="s">
        <v>246</v>
      </c>
      <c r="P38" s="30"/>
      <c r="Q38" s="170">
        <v>2.4900000000000002</v>
      </c>
      <c r="R38" s="30"/>
      <c r="S38" s="30"/>
      <c r="T38" s="30"/>
      <c r="U38" s="30"/>
      <c r="V38" s="30"/>
      <c r="W38" s="30">
        <v>4.8602972477064199</v>
      </c>
    </row>
    <row r="39" spans="1:23" ht="13.8" customHeight="1">
      <c r="A39" s="30" t="s">
        <v>247</v>
      </c>
      <c r="B39" s="184">
        <f t="shared" si="8"/>
        <v>436</v>
      </c>
      <c r="C39" s="184">
        <f t="shared" si="8"/>
        <v>400</v>
      </c>
      <c r="D39" s="184">
        <f t="shared" ref="D39:I39" si="11">$B39*D32/$B32</f>
        <v>464.15332322093934</v>
      </c>
      <c r="E39" s="184">
        <f t="shared" si="11"/>
        <v>489.49619710595232</v>
      </c>
      <c r="F39" s="184">
        <f t="shared" si="11"/>
        <v>514.38887559807858</v>
      </c>
      <c r="G39" s="184">
        <f t="shared" si="11"/>
        <v>539.28605321735176</v>
      </c>
      <c r="H39" s="184">
        <f t="shared" si="11"/>
        <v>562.26755154061777</v>
      </c>
      <c r="I39" s="317">
        <f t="shared" si="11"/>
        <v>584.30774200424059</v>
      </c>
      <c r="J39" s="319" t="s">
        <v>427</v>
      </c>
      <c r="K39" t="s">
        <v>445</v>
      </c>
      <c r="O39" s="30" t="s">
        <v>247</v>
      </c>
      <c r="P39" s="30"/>
      <c r="Q39" s="170">
        <v>20.13</v>
      </c>
      <c r="R39" s="30"/>
      <c r="S39" s="30"/>
      <c r="T39" s="30"/>
      <c r="U39" s="30"/>
      <c r="V39" s="30"/>
      <c r="W39" s="30">
        <v>39.292282568807302</v>
      </c>
    </row>
    <row r="40" spans="1:23" ht="13.8" customHeight="1">
      <c r="A40" s="431" t="s">
        <v>461</v>
      </c>
      <c r="B40" s="431"/>
      <c r="C40" s="431"/>
      <c r="D40" s="431"/>
      <c r="E40" s="431"/>
      <c r="F40" s="431"/>
      <c r="G40" s="431"/>
      <c r="H40" s="431"/>
      <c r="I40" s="431"/>
      <c r="J40" s="431"/>
      <c r="K40" t="s">
        <v>445</v>
      </c>
      <c r="Q40" s="169">
        <v>2018</v>
      </c>
    </row>
    <row r="41" spans="1:23" ht="13.8" customHeight="1"/>
    <row r="42" spans="1:23" ht="13.8" customHeight="1">
      <c r="A42" s="414" t="s">
        <v>158</v>
      </c>
      <c r="B42" s="414"/>
      <c r="C42" s="414"/>
      <c r="D42" s="414"/>
      <c r="E42" s="414"/>
      <c r="F42" s="414"/>
      <c r="G42" s="414"/>
      <c r="H42" s="414"/>
      <c r="I42" s="414"/>
      <c r="J42" s="414"/>
      <c r="O42" s="414" t="s">
        <v>159</v>
      </c>
      <c r="P42" s="414"/>
      <c r="Q42" s="414"/>
      <c r="R42" s="414"/>
      <c r="S42" s="414"/>
      <c r="T42" s="414"/>
      <c r="U42" s="414"/>
      <c r="V42" s="414"/>
      <c r="W42" s="414"/>
    </row>
    <row r="43" spans="1:23" ht="13.8" customHeight="1"/>
    <row r="44" spans="1:23" ht="13.8" customHeight="1">
      <c r="A44" s="195"/>
      <c r="B44" s="30">
        <v>2019</v>
      </c>
      <c r="C44" s="30">
        <v>2020</v>
      </c>
      <c r="D44" s="30">
        <v>2025</v>
      </c>
      <c r="E44" s="30">
        <v>2030</v>
      </c>
      <c r="F44" s="30">
        <v>2035</v>
      </c>
      <c r="G44" s="30">
        <v>2040</v>
      </c>
      <c r="H44" s="30">
        <v>2045</v>
      </c>
      <c r="I44" s="30">
        <v>2050</v>
      </c>
      <c r="J44" s="311" t="s">
        <v>422</v>
      </c>
      <c r="O44" s="195"/>
      <c r="P44" s="92">
        <v>2011</v>
      </c>
      <c r="Q44" s="30">
        <v>2020</v>
      </c>
      <c r="R44" s="30">
        <v>2025</v>
      </c>
      <c r="S44" s="30">
        <v>2030</v>
      </c>
      <c r="T44" s="30">
        <v>2035</v>
      </c>
      <c r="U44" s="30">
        <v>2040</v>
      </c>
      <c r="V44" s="30">
        <v>2045</v>
      </c>
      <c r="W44" s="30">
        <v>2050</v>
      </c>
    </row>
    <row r="45" spans="1:23" ht="13.8" customHeight="1">
      <c r="A45" s="30" t="s">
        <v>215</v>
      </c>
      <c r="B45" s="162">
        <f>B25</f>
        <v>4.6142857142857152E-2</v>
      </c>
      <c r="C45" s="162">
        <f t="shared" ref="C45:I45" si="12">C25</f>
        <v>4.6357142857142875E-2</v>
      </c>
      <c r="D45" s="162">
        <f t="shared" si="12"/>
        <v>4.6357142857142875E-2</v>
      </c>
      <c r="E45" s="162">
        <f t="shared" si="12"/>
        <v>4.6357142857142875E-2</v>
      </c>
      <c r="F45" s="162">
        <f t="shared" si="12"/>
        <v>4.6357142857142875E-2</v>
      </c>
      <c r="G45" s="162">
        <f t="shared" si="12"/>
        <v>4.6357142857142875E-2</v>
      </c>
      <c r="H45" s="162">
        <f t="shared" si="12"/>
        <v>4.6357142857142875E-2</v>
      </c>
      <c r="I45" s="162">
        <f t="shared" si="12"/>
        <v>4.6357142857142875E-2</v>
      </c>
      <c r="J45" s="323" t="s">
        <v>232</v>
      </c>
      <c r="K45" t="s">
        <v>445</v>
      </c>
      <c r="O45" s="30" t="s">
        <v>215</v>
      </c>
      <c r="P45" s="30">
        <v>4.3999999999999997E-2</v>
      </c>
      <c r="Q45" s="30"/>
      <c r="R45" s="30"/>
      <c r="S45" s="30"/>
      <c r="T45" s="30"/>
      <c r="U45" s="30"/>
      <c r="V45" s="30"/>
      <c r="W45" s="30"/>
    </row>
    <row r="46" spans="1:23" ht="13.8" customHeight="1">
      <c r="A46" s="30" t="s">
        <v>463</v>
      </c>
      <c r="B46" s="30">
        <f>B26</f>
        <v>19660</v>
      </c>
      <c r="C46" s="30">
        <f t="shared" ref="C46:I46" si="13">C26</f>
        <v>19660</v>
      </c>
      <c r="D46" s="30">
        <f t="shared" si="13"/>
        <v>21096.190823125326</v>
      </c>
      <c r="E46" s="30">
        <f t="shared" si="13"/>
        <v>22248.047497929623</v>
      </c>
      <c r="F46" s="30">
        <f t="shared" si="13"/>
        <v>23379.442382543286</v>
      </c>
      <c r="G46" s="30">
        <f t="shared" si="13"/>
        <v>24511.041756579045</v>
      </c>
      <c r="H46" s="30">
        <f t="shared" si="13"/>
        <v>25555.571763742591</v>
      </c>
      <c r="I46" s="30">
        <f t="shared" si="13"/>
        <v>26557.318472291503</v>
      </c>
      <c r="J46" s="323" t="s">
        <v>233</v>
      </c>
      <c r="K46" t="s">
        <v>445</v>
      </c>
      <c r="O46" s="30" t="s">
        <v>234</v>
      </c>
      <c r="P46" s="30">
        <v>15487.057199999999</v>
      </c>
      <c r="Q46" s="30"/>
      <c r="R46" s="30"/>
      <c r="S46" s="30"/>
      <c r="T46" s="30"/>
      <c r="U46" s="30"/>
      <c r="V46" s="30"/>
      <c r="W46" s="30"/>
    </row>
    <row r="47" spans="1:23" ht="13.8" customHeight="1">
      <c r="A47" s="30" t="s">
        <v>236</v>
      </c>
      <c r="B47" s="167">
        <f>B27</f>
        <v>907.16857142857157</v>
      </c>
      <c r="C47" s="167">
        <f t="shared" ref="C47:I47" si="14">C27</f>
        <v>911.38142857142896</v>
      </c>
      <c r="D47" s="167">
        <f t="shared" si="14"/>
        <v>977.95913172916721</v>
      </c>
      <c r="E47" s="167">
        <f t="shared" si="14"/>
        <v>1031.3559161540236</v>
      </c>
      <c r="F47" s="167">
        <f t="shared" si="14"/>
        <v>1083.8041504478999</v>
      </c>
      <c r="G47" s="167">
        <f t="shared" si="14"/>
        <v>1136.2618642871289</v>
      </c>
      <c r="H47" s="167">
        <f t="shared" si="14"/>
        <v>1184.6832910477819</v>
      </c>
      <c r="I47" s="167">
        <f t="shared" si="14"/>
        <v>1231.1214063226566</v>
      </c>
      <c r="J47" s="323"/>
      <c r="K47" t="s">
        <v>445</v>
      </c>
      <c r="O47" s="30" t="s">
        <v>236</v>
      </c>
      <c r="P47" s="30">
        <v>681.43051679999996</v>
      </c>
      <c r="Q47" s="30"/>
      <c r="R47" s="30"/>
      <c r="S47" s="30"/>
      <c r="T47" s="30"/>
      <c r="U47" s="30"/>
      <c r="V47" s="30"/>
      <c r="W47" s="30"/>
    </row>
    <row r="48" spans="1:23" ht="13.8" customHeight="1">
      <c r="A48" s="30" t="s">
        <v>217</v>
      </c>
      <c r="B48" s="162">
        <f>B28</f>
        <v>5.3285714285713937E-2</v>
      </c>
      <c r="C48" s="162">
        <f t="shared" ref="C48:I48" si="15">C28</f>
        <v>5.2285714285714047E-2</v>
      </c>
      <c r="D48" s="162">
        <f t="shared" si="15"/>
        <v>5.2285714285714047E-2</v>
      </c>
      <c r="E48" s="162">
        <f t="shared" si="15"/>
        <v>5.2285714285714047E-2</v>
      </c>
      <c r="F48" s="162">
        <f t="shared" si="15"/>
        <v>5.2285714285714047E-2</v>
      </c>
      <c r="G48" s="162">
        <f t="shared" si="15"/>
        <v>5.2285714285714047E-2</v>
      </c>
      <c r="H48" s="162">
        <f t="shared" si="15"/>
        <v>5.2285714285714047E-2</v>
      </c>
      <c r="I48" s="162">
        <f t="shared" si="15"/>
        <v>5.2285714285714047E-2</v>
      </c>
      <c r="J48" s="323" t="s">
        <v>232</v>
      </c>
      <c r="K48" t="s">
        <v>445</v>
      </c>
      <c r="O48" s="30" t="s">
        <v>217</v>
      </c>
      <c r="P48" s="30">
        <v>6.6000000000000003E-2</v>
      </c>
      <c r="Q48" s="30"/>
      <c r="R48" s="30"/>
      <c r="S48" s="30"/>
      <c r="T48" s="30"/>
      <c r="U48" s="30"/>
      <c r="V48" s="30"/>
      <c r="W48" s="30"/>
    </row>
    <row r="49" spans="1:23" ht="13.8" customHeight="1">
      <c r="A49" s="30" t="s">
        <v>237</v>
      </c>
      <c r="B49" s="167">
        <f>B29</f>
        <v>1047.5971428571361</v>
      </c>
      <c r="C49" s="167">
        <f t="shared" ref="C49:I49" si="16">C29</f>
        <v>1027.9371428571383</v>
      </c>
      <c r="D49" s="167">
        <f t="shared" si="16"/>
        <v>1103.0294058948334</v>
      </c>
      <c r="E49" s="167">
        <f t="shared" si="16"/>
        <v>1163.2550548917436</v>
      </c>
      <c r="F49" s="167">
        <f t="shared" si="16"/>
        <v>1222.4108445729719</v>
      </c>
      <c r="G49" s="167">
        <f t="shared" si="16"/>
        <v>1281.5773261296986</v>
      </c>
      <c r="H49" s="167">
        <f t="shared" si="16"/>
        <v>1336.1913236471066</v>
      </c>
      <c r="I49" s="167">
        <f t="shared" si="16"/>
        <v>1388.5683658369494</v>
      </c>
      <c r="J49" s="323"/>
      <c r="K49" t="s">
        <v>445</v>
      </c>
      <c r="O49" s="30" t="s">
        <v>237</v>
      </c>
      <c r="P49" s="30">
        <v>1022.1457752</v>
      </c>
      <c r="Q49" s="30"/>
      <c r="R49" s="30"/>
      <c r="S49" s="30"/>
      <c r="T49" s="30"/>
      <c r="U49" s="30"/>
      <c r="V49" s="30"/>
      <c r="W49" s="30"/>
    </row>
    <row r="50" spans="1:23" ht="13.8" customHeight="1">
      <c r="J50" s="324"/>
      <c r="P50" t="s">
        <v>248</v>
      </c>
    </row>
    <row r="51" spans="1:23" ht="13.8" customHeight="1">
      <c r="B51" s="30">
        <v>2019</v>
      </c>
      <c r="C51" s="30">
        <v>2020</v>
      </c>
      <c r="D51" s="30">
        <v>2025</v>
      </c>
      <c r="E51" s="30">
        <v>2030</v>
      </c>
      <c r="F51" s="30">
        <v>2035</v>
      </c>
      <c r="G51" s="30">
        <v>2040</v>
      </c>
      <c r="H51" s="30">
        <v>2045</v>
      </c>
      <c r="I51" s="202">
        <v>2050</v>
      </c>
      <c r="J51" s="311" t="s">
        <v>422</v>
      </c>
      <c r="K51" t="s">
        <v>445</v>
      </c>
      <c r="P51" s="30">
        <v>2015</v>
      </c>
      <c r="Q51" s="30">
        <v>2020</v>
      </c>
      <c r="R51" s="30">
        <v>2025</v>
      </c>
      <c r="S51" s="30">
        <v>2030</v>
      </c>
      <c r="T51" s="30">
        <v>2035</v>
      </c>
      <c r="U51" s="30">
        <v>2040</v>
      </c>
      <c r="V51" s="30">
        <v>2045</v>
      </c>
      <c r="W51" s="30">
        <v>2050</v>
      </c>
    </row>
    <row r="52" spans="1:23" ht="13.8" customHeight="1">
      <c r="A52" s="141" t="s">
        <v>219</v>
      </c>
      <c r="B52" s="184">
        <f t="shared" ref="B52:I52" si="17">SUM(B49,B47)</f>
        <v>1954.7657142857076</v>
      </c>
      <c r="C52" s="184">
        <f t="shared" si="17"/>
        <v>1939.3185714285673</v>
      </c>
      <c r="D52" s="184">
        <f t="shared" si="17"/>
        <v>2080.9885376240009</v>
      </c>
      <c r="E52" s="184">
        <f t="shared" si="17"/>
        <v>2194.6109710457672</v>
      </c>
      <c r="F52" s="184">
        <f t="shared" si="17"/>
        <v>2306.2149950208718</v>
      </c>
      <c r="G52" s="184">
        <f t="shared" si="17"/>
        <v>2417.8391904168275</v>
      </c>
      <c r="H52" s="184">
        <f t="shared" si="17"/>
        <v>2520.8746146948888</v>
      </c>
      <c r="I52" s="317">
        <f t="shared" si="17"/>
        <v>2619.689772159606</v>
      </c>
      <c r="J52" s="323"/>
      <c r="K52" t="s">
        <v>445</v>
      </c>
      <c r="O52" s="141" t="s">
        <v>219</v>
      </c>
      <c r="P52" s="30">
        <v>1703.576292</v>
      </c>
      <c r="Q52" s="30"/>
      <c r="R52" s="30"/>
      <c r="S52" s="30"/>
      <c r="T52" s="30"/>
      <c r="U52" s="30"/>
      <c r="V52" s="30"/>
      <c r="W52" s="30">
        <v>4420.68</v>
      </c>
    </row>
    <row r="53" spans="1:23" ht="13.8" customHeight="1">
      <c r="A53" s="141" t="s">
        <v>220</v>
      </c>
      <c r="B53" s="339">
        <v>1</v>
      </c>
      <c r="C53" s="339">
        <f>$B$53+($I53-$B$53)*1/31</f>
        <v>0.9912903225806452</v>
      </c>
      <c r="D53" s="339">
        <f>$B$53+($I53-$B$53)*6/31</f>
        <v>0.94774193548387098</v>
      </c>
      <c r="E53" s="339">
        <f>$B$53+($I53-$B$53)*11/31</f>
        <v>0.90419354838709676</v>
      </c>
      <c r="F53" s="339">
        <f>$B$53+($I53-$B$53)*16/31</f>
        <v>0.86064516129032254</v>
      </c>
      <c r="G53" s="339">
        <f>$B$53+($I53-$B$53)*21/31</f>
        <v>0.81709677419354843</v>
      </c>
      <c r="H53" s="339">
        <f>$B$53+($I53-$B$53)*26/31</f>
        <v>0.7735483870967742</v>
      </c>
      <c r="I53" s="340">
        <v>0.73</v>
      </c>
      <c r="J53" s="323" t="s">
        <v>428</v>
      </c>
      <c r="K53" t="s">
        <v>445</v>
      </c>
      <c r="O53" s="141" t="s">
        <v>220</v>
      </c>
      <c r="P53" s="30">
        <v>1</v>
      </c>
      <c r="Q53" s="30"/>
      <c r="R53" s="30"/>
      <c r="S53" s="30"/>
      <c r="T53" s="30"/>
      <c r="U53" s="30"/>
      <c r="V53" s="30"/>
      <c r="W53" s="30">
        <v>0.73</v>
      </c>
    </row>
    <row r="54" spans="1:23" ht="13.8" customHeight="1">
      <c r="A54" s="141" t="s">
        <v>221</v>
      </c>
      <c r="B54" s="339">
        <v>0</v>
      </c>
      <c r="C54" s="339">
        <f>$B$54+($I54-$B$54)*1/31</f>
        <v>1.6129032258064516E-2</v>
      </c>
      <c r="D54" s="339">
        <f>$B$54+($I54-$B$54)*6/31</f>
        <v>9.6774193548387094E-2</v>
      </c>
      <c r="E54" s="339">
        <f>$B$54+($I54-$B$54)*11/31</f>
        <v>0.17741935483870969</v>
      </c>
      <c r="F54" s="339">
        <f>$B$54+($I54-$B$54)*16/31</f>
        <v>0.25806451612903225</v>
      </c>
      <c r="G54" s="339">
        <f>$B$54+($I54-$B$54)*21/31</f>
        <v>0.33870967741935482</v>
      </c>
      <c r="H54" s="339">
        <f>$B$54+($I54-$B$54)*26/31</f>
        <v>0.41935483870967744</v>
      </c>
      <c r="I54" s="340">
        <v>0.5</v>
      </c>
      <c r="J54" s="323" t="s">
        <v>428</v>
      </c>
      <c r="K54" t="s">
        <v>445</v>
      </c>
      <c r="O54" s="141" t="s">
        <v>221</v>
      </c>
      <c r="P54" s="30">
        <v>0</v>
      </c>
      <c r="Q54" s="30"/>
      <c r="R54" s="30"/>
      <c r="S54" s="30"/>
      <c r="T54" s="30"/>
      <c r="U54" s="30"/>
      <c r="V54" s="30"/>
      <c r="W54" s="30">
        <v>0.5</v>
      </c>
    </row>
    <row r="55" spans="1:23" ht="13.8" customHeight="1">
      <c r="A55" s="141" t="s">
        <v>249</v>
      </c>
      <c r="B55" s="107">
        <v>0</v>
      </c>
      <c r="C55" s="107">
        <v>0</v>
      </c>
      <c r="D55" s="107">
        <v>0.1</v>
      </c>
      <c r="E55" s="107">
        <v>0.2</v>
      </c>
      <c r="F55" s="107">
        <v>0.4</v>
      </c>
      <c r="G55" s="107">
        <v>0.6</v>
      </c>
      <c r="H55" s="107">
        <v>0.8</v>
      </c>
      <c r="I55" s="318">
        <v>1</v>
      </c>
      <c r="J55" s="323" t="s">
        <v>429</v>
      </c>
      <c r="K55" t="s">
        <v>445</v>
      </c>
      <c r="O55" s="141" t="s">
        <v>242</v>
      </c>
      <c r="P55" s="30">
        <v>28.27</v>
      </c>
      <c r="Q55" s="30"/>
      <c r="R55" s="30"/>
      <c r="S55" s="30"/>
      <c r="T55" s="30"/>
      <c r="U55" s="30"/>
      <c r="V55" s="30"/>
      <c r="W55" s="30">
        <v>26.776028657013001</v>
      </c>
    </row>
    <row r="56" spans="1:23" ht="13.8" customHeight="1">
      <c r="A56" s="321" t="s">
        <v>242</v>
      </c>
      <c r="B56" s="184">
        <f>K14</f>
        <v>289</v>
      </c>
      <c r="C56" s="184">
        <f>L14</f>
        <v>237</v>
      </c>
      <c r="D56" s="184">
        <f>$B56*(1-D54)*D53*(D52/$B52)*(1-D55)</f>
        <v>237.02915173592245</v>
      </c>
      <c r="E56" s="184">
        <f t="shared" ref="E56:I56" si="18">$B56*(1-E54)*E53*(E52/$B52)*(1-E55)</f>
        <v>193.05922262696924</v>
      </c>
      <c r="F56" s="184">
        <f t="shared" si="18"/>
        <v>130.63045671189141</v>
      </c>
      <c r="G56" s="184">
        <f t="shared" si="18"/>
        <v>77.260265616387244</v>
      </c>
      <c r="H56" s="184">
        <f t="shared" si="18"/>
        <v>33.4797854674893</v>
      </c>
      <c r="I56" s="184">
        <f t="shared" si="18"/>
        <v>0</v>
      </c>
      <c r="J56" s="323" t="s">
        <v>244</v>
      </c>
      <c r="K56" t="s">
        <v>445</v>
      </c>
      <c r="O56" s="141" t="s">
        <v>224</v>
      </c>
      <c r="P56" s="30">
        <v>368</v>
      </c>
      <c r="Q56" s="30"/>
      <c r="R56" s="30"/>
      <c r="S56" s="30"/>
      <c r="T56" s="30"/>
      <c r="U56" s="30"/>
      <c r="V56" s="30"/>
      <c r="W56" s="30">
        <v>1039.6506900941899</v>
      </c>
    </row>
    <row r="57" spans="1:23" ht="13.8" customHeight="1">
      <c r="A57" s="321" t="s">
        <v>224</v>
      </c>
      <c r="B57" s="184">
        <f>K15</f>
        <v>308</v>
      </c>
      <c r="C57" s="184">
        <f>L15</f>
        <v>289</v>
      </c>
      <c r="D57" s="175">
        <f t="shared" ref="D57:I57" si="19">$B57*(D52/$B52)*D53+1.1*D54*$B56*D53*(D52/$B52)</f>
        <v>341.79286027148032</v>
      </c>
      <c r="E57" s="175">
        <f t="shared" si="19"/>
        <v>369.91720188690329</v>
      </c>
      <c r="F57" s="175">
        <f t="shared" si="19"/>
        <v>396.03805681631343</v>
      </c>
      <c r="G57" s="175">
        <f t="shared" si="19"/>
        <v>420.10799211726101</v>
      </c>
      <c r="H57" s="175">
        <f t="shared" si="19"/>
        <v>440.24115825171191</v>
      </c>
      <c r="I57" s="322">
        <f t="shared" si="19"/>
        <v>456.82345205064792</v>
      </c>
      <c r="J57" s="323"/>
      <c r="K57" t="s">
        <v>447</v>
      </c>
      <c r="O57" s="141" t="s">
        <v>226</v>
      </c>
      <c r="P57" s="30">
        <v>145</v>
      </c>
      <c r="Q57" s="30"/>
      <c r="R57" s="30"/>
      <c r="S57" s="30"/>
      <c r="T57" s="30"/>
      <c r="U57" s="30"/>
      <c r="V57" s="30"/>
      <c r="W57" s="30">
        <v>0</v>
      </c>
    </row>
    <row r="58" spans="1:23" ht="13.8" customHeight="1">
      <c r="A58" s="141" t="s">
        <v>226</v>
      </c>
      <c r="B58" s="335">
        <f>K16</f>
        <v>152.93630694720699</v>
      </c>
      <c r="C58" s="335">
        <f>$B$58+($I$58-$B$58)*1/31</f>
        <v>148.00287769084548</v>
      </c>
      <c r="D58" s="335">
        <f>$B$58+($I$58-$B$58)*6/31</f>
        <v>123.33573140903789</v>
      </c>
      <c r="E58" s="335">
        <f>$B$58+($I$58-$B$58)*11/31</f>
        <v>98.668585127230315</v>
      </c>
      <c r="F58" s="335">
        <f>$B$58+($I$58-$B$58)*16/31</f>
        <v>74.00143884542274</v>
      </c>
      <c r="G58" s="335">
        <f>$B$58+($I$58-$B$58)*21/31</f>
        <v>49.334292563615165</v>
      </c>
      <c r="H58" s="335">
        <f>$B$58+($I$58-$B$58)*26/31</f>
        <v>24.667146281807561</v>
      </c>
      <c r="I58" s="341">
        <v>0</v>
      </c>
      <c r="J58" s="323" t="s">
        <v>430</v>
      </c>
      <c r="K58" t="s">
        <v>445</v>
      </c>
      <c r="O58" s="30" t="s">
        <v>245</v>
      </c>
      <c r="P58" s="30"/>
      <c r="Q58" s="30"/>
      <c r="R58" s="30"/>
      <c r="S58" s="30"/>
      <c r="T58" s="30"/>
      <c r="U58" s="30"/>
      <c r="V58" s="30"/>
      <c r="W58" s="30"/>
    </row>
    <row r="59" spans="1:23" ht="13.8" customHeight="1">
      <c r="A59" s="30" t="s">
        <v>245</v>
      </c>
      <c r="B59" s="184">
        <f>K17</f>
        <v>268</v>
      </c>
      <c r="C59" s="191">
        <f>L17</f>
        <v>238</v>
      </c>
      <c r="D59" s="175">
        <f t="shared" ref="D59:I59" si="20">$B59*D52/$B52</f>
        <v>285.30525372296273</v>
      </c>
      <c r="E59" s="175">
        <f t="shared" si="20"/>
        <v>300.88298354219091</v>
      </c>
      <c r="F59" s="175">
        <f t="shared" si="20"/>
        <v>316.18398775294742</v>
      </c>
      <c r="G59" s="175">
        <f t="shared" si="20"/>
        <v>331.48775748222539</v>
      </c>
      <c r="H59" s="175">
        <f t="shared" si="20"/>
        <v>345.61399957083842</v>
      </c>
      <c r="I59" s="322">
        <f t="shared" si="20"/>
        <v>359.16163958058826</v>
      </c>
      <c r="J59" s="323"/>
      <c r="K59" t="s">
        <v>445</v>
      </c>
      <c r="O59" s="30" t="s">
        <v>246</v>
      </c>
      <c r="P59" s="30"/>
      <c r="Q59" s="30"/>
      <c r="R59" s="30"/>
      <c r="S59" s="30"/>
      <c r="T59" s="30"/>
      <c r="U59" s="30"/>
      <c r="V59" s="30"/>
      <c r="W59" s="30"/>
    </row>
    <row r="60" spans="1:23" ht="13.8" customHeight="1">
      <c r="A60" s="30" t="s">
        <v>250</v>
      </c>
      <c r="B60" s="335">
        <v>0</v>
      </c>
      <c r="C60" s="342">
        <v>0</v>
      </c>
      <c r="D60" s="342">
        <f>C60+($I60-$C60)/6</f>
        <v>8.3333333333333329E-2</v>
      </c>
      <c r="E60" s="342">
        <f>D60+($I60-$C60)/6</f>
        <v>0.16666666666666666</v>
      </c>
      <c r="F60" s="342">
        <f>E60+($I60-$C60)/6</f>
        <v>0.25</v>
      </c>
      <c r="G60" s="342">
        <f>F60+($I60-$C60)/6</f>
        <v>0.33333333333333331</v>
      </c>
      <c r="H60" s="342">
        <f>G60+($I60-$C60)/6</f>
        <v>0.41666666666666663</v>
      </c>
      <c r="I60" s="343">
        <v>0.5</v>
      </c>
      <c r="J60" s="323" t="s">
        <v>431</v>
      </c>
      <c r="K60" t="s">
        <v>445</v>
      </c>
      <c r="O60" s="30" t="s">
        <v>247</v>
      </c>
      <c r="P60" s="30"/>
      <c r="Q60" s="30"/>
      <c r="R60" s="30"/>
      <c r="S60" s="30"/>
      <c r="T60" s="30"/>
      <c r="U60" s="30"/>
      <c r="V60" s="30"/>
      <c r="W60" s="30"/>
    </row>
    <row r="61" spans="1:23" ht="13.8" customHeight="1">
      <c r="A61" s="30" t="s">
        <v>251</v>
      </c>
      <c r="B61" s="175">
        <f t="shared" ref="B61:I61" si="21">B60*B59</f>
        <v>0</v>
      </c>
      <c r="C61" s="175">
        <f t="shared" si="21"/>
        <v>0</v>
      </c>
      <c r="D61" s="175">
        <f t="shared" si="21"/>
        <v>23.775437810246892</v>
      </c>
      <c r="E61" s="175">
        <f t="shared" si="21"/>
        <v>50.147163923698486</v>
      </c>
      <c r="F61" s="175">
        <f t="shared" si="21"/>
        <v>79.045996938236854</v>
      </c>
      <c r="G61" s="175">
        <f t="shared" si="21"/>
        <v>110.49591916074179</v>
      </c>
      <c r="H61" s="175">
        <f t="shared" si="21"/>
        <v>144.00583315451598</v>
      </c>
      <c r="I61" s="322">
        <f t="shared" si="21"/>
        <v>179.58081979029413</v>
      </c>
      <c r="J61" s="323"/>
      <c r="K61" t="s">
        <v>445</v>
      </c>
    </row>
    <row r="62" spans="1:23" ht="13.8" customHeight="1">
      <c r="A62" s="30" t="s">
        <v>246</v>
      </c>
      <c r="B62" s="39">
        <f>K18</f>
        <v>28</v>
      </c>
      <c r="C62" s="165">
        <f>L18</f>
        <v>0</v>
      </c>
      <c r="D62" s="171">
        <f t="shared" ref="D62:I62" si="22">$B62*(D52/$B52) + $B56*(1-D54)*D53*D55*(D52/$B52)</f>
        <v>56.144583998098597</v>
      </c>
      <c r="E62" s="171">
        <f t="shared" si="22"/>
        <v>79.70034125070255</v>
      </c>
      <c r="F62" s="171">
        <f t="shared" si="22"/>
        <v>120.12111911544949</v>
      </c>
      <c r="G62" s="171">
        <f t="shared" si="22"/>
        <v>150.52344771376858</v>
      </c>
      <c r="H62" s="171">
        <f t="shared" si="22"/>
        <v>170.02806719825378</v>
      </c>
      <c r="I62" s="322">
        <f t="shared" si="22"/>
        <v>178.8906397739359</v>
      </c>
      <c r="J62" s="323" t="s">
        <v>252</v>
      </c>
      <c r="K62" t="s">
        <v>447</v>
      </c>
    </row>
    <row r="63" spans="1:23" ht="13.8" customHeight="1">
      <c r="A63" s="30" t="s">
        <v>247</v>
      </c>
      <c r="B63" s="39">
        <f>K19</f>
        <v>436</v>
      </c>
      <c r="C63" s="165">
        <f>L19</f>
        <v>400</v>
      </c>
      <c r="D63" s="171">
        <f t="shared" ref="D63:I63" si="23">$B63*D52/$B52</f>
        <v>464.15332322093934</v>
      </c>
      <c r="E63" s="171">
        <f t="shared" si="23"/>
        <v>489.49619710595232</v>
      </c>
      <c r="F63" s="171">
        <f t="shared" si="23"/>
        <v>514.38887559807858</v>
      </c>
      <c r="G63" s="171">
        <f t="shared" si="23"/>
        <v>539.28605321735176</v>
      </c>
      <c r="H63" s="171">
        <f t="shared" si="23"/>
        <v>562.26755154061777</v>
      </c>
      <c r="I63" s="322">
        <f t="shared" si="23"/>
        <v>584.30774200424059</v>
      </c>
      <c r="J63" s="323" t="s">
        <v>253</v>
      </c>
      <c r="K63" t="s">
        <v>445</v>
      </c>
    </row>
    <row r="64" spans="1:23">
      <c r="A64" s="431" t="s">
        <v>462</v>
      </c>
      <c r="B64" s="431"/>
      <c r="C64" s="431"/>
      <c r="D64" s="431"/>
      <c r="E64" s="431"/>
      <c r="F64" s="431"/>
      <c r="G64" s="431"/>
      <c r="H64" s="431"/>
      <c r="I64" s="431"/>
      <c r="J64" s="431"/>
      <c r="K64" t="s">
        <v>445</v>
      </c>
    </row>
  </sheetData>
  <mergeCells count="9">
    <mergeCell ref="A40:J40"/>
    <mergeCell ref="A20:M20"/>
    <mergeCell ref="A3:M3"/>
    <mergeCell ref="O19:W20"/>
    <mergeCell ref="A64:J64"/>
    <mergeCell ref="A22:J22"/>
    <mergeCell ref="A42:J42"/>
    <mergeCell ref="O22:W22"/>
    <mergeCell ref="O42:W42"/>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2:X185"/>
  <sheetViews>
    <sheetView tabSelected="1" zoomScale="70" zoomScaleNormal="70" workbookViewId="0">
      <selection activeCell="Z11" sqref="Z11"/>
    </sheetView>
  </sheetViews>
  <sheetFormatPr baseColWidth="10" defaultColWidth="8.88671875" defaultRowHeight="14.4"/>
  <cols>
    <col min="1" max="1" width="25.5546875" customWidth="1"/>
    <col min="2" max="12" width="10.44140625" customWidth="1"/>
    <col min="13" max="13" width="27" customWidth="1"/>
    <col min="14" max="1025" width="10.44140625" customWidth="1"/>
  </cols>
  <sheetData>
    <row r="2" spans="1:14">
      <c r="A2" s="433" t="s">
        <v>433</v>
      </c>
      <c r="B2" s="433"/>
      <c r="C2" s="433"/>
      <c r="D2" s="433"/>
      <c r="E2" s="433"/>
      <c r="F2" s="433"/>
      <c r="G2" s="433"/>
      <c r="H2" s="433"/>
      <c r="I2" s="433"/>
      <c r="J2" s="433"/>
      <c r="K2" s="433"/>
    </row>
    <row r="4" spans="1:14">
      <c r="A4" s="414" t="s">
        <v>55</v>
      </c>
      <c r="B4" s="414"/>
      <c r="C4" s="414"/>
      <c r="D4" s="414"/>
      <c r="E4" s="414"/>
      <c r="F4" s="414"/>
      <c r="G4" s="414"/>
      <c r="H4" s="414"/>
      <c r="I4" s="414"/>
      <c r="J4" s="414"/>
      <c r="K4" s="414"/>
    </row>
    <row r="6" spans="1:14">
      <c r="A6" s="30"/>
      <c r="B6" s="30">
        <v>2010</v>
      </c>
      <c r="C6" s="30">
        <v>2011</v>
      </c>
      <c r="D6" s="30">
        <v>2012</v>
      </c>
      <c r="E6" s="30">
        <v>2013</v>
      </c>
      <c r="F6" s="30">
        <v>2014</v>
      </c>
      <c r="G6" s="30">
        <v>2015</v>
      </c>
      <c r="H6" s="30">
        <v>2016</v>
      </c>
      <c r="I6" s="30">
        <v>2017</v>
      </c>
      <c r="J6" s="30">
        <v>2018</v>
      </c>
      <c r="K6" s="30">
        <v>2019</v>
      </c>
      <c r="L6" s="30">
        <v>2020</v>
      </c>
      <c r="M6" s="310" t="s">
        <v>422</v>
      </c>
    </row>
    <row r="7" spans="1:14">
      <c r="A7" s="30" t="s">
        <v>254</v>
      </c>
      <c r="B7" s="43">
        <f>'Cadrage macroéconomique '!B5</f>
        <v>821136</v>
      </c>
      <c r="C7" s="43">
        <f>'Cadrage macroéconomique '!C5</f>
        <v>828581</v>
      </c>
      <c r="D7" s="43">
        <f>'Cadrage macroéconomique '!D5</f>
        <v>833944</v>
      </c>
      <c r="E7" s="43">
        <f>'Cadrage macroéconomique '!E5</f>
        <v>835103</v>
      </c>
      <c r="F7" s="43">
        <f>'Cadrage macroéconomique '!F5</f>
        <v>842767</v>
      </c>
      <c r="G7" s="43">
        <f>'Cadrage macroéconomique '!G5</f>
        <v>850727</v>
      </c>
      <c r="H7" s="43">
        <f>'Cadrage macroéconomique '!H5</f>
        <v>852924</v>
      </c>
      <c r="I7" s="43">
        <f>'Cadrage macroéconomique '!I5</f>
        <v>853659</v>
      </c>
      <c r="J7" s="43">
        <f>'Cadrage macroéconomique '!J5</f>
        <v>855961</v>
      </c>
      <c r="K7" s="43">
        <f>'Cadrage macroéconomique '!K5</f>
        <v>861210</v>
      </c>
      <c r="L7" s="43">
        <f>'Cadrage macroéconomique '!L5</f>
        <v>863197</v>
      </c>
      <c r="M7" s="323" t="s">
        <v>233</v>
      </c>
      <c r="N7" t="s">
        <v>445</v>
      </c>
    </row>
    <row r="8" spans="1:14">
      <c r="A8" s="30" t="s">
        <v>255</v>
      </c>
      <c r="B8" s="30">
        <v>2.7</v>
      </c>
      <c r="C8" s="167">
        <f>$B$8+($I$8-$B$8)*1/7</f>
        <v>2.6857142857142859</v>
      </c>
      <c r="D8" s="167">
        <f>$B$8+($I$8-$B$8)*2/7</f>
        <v>2.6714285714285717</v>
      </c>
      <c r="E8" s="167">
        <f>$B$8+($I$8-$B$8)*3/7</f>
        <v>2.6571428571428575</v>
      </c>
      <c r="F8" s="167">
        <f>$B$8+($I$8-$B$8)*4/7</f>
        <v>2.6428571428571428</v>
      </c>
      <c r="G8" s="167">
        <f>$B$8+($I$8-$B$8)*5/7</f>
        <v>2.6285714285714286</v>
      </c>
      <c r="H8" s="167">
        <f>$B$8+($I$8-$B$8)*6/7</f>
        <v>2.6142857142857143</v>
      </c>
      <c r="I8" s="30">
        <v>2.6</v>
      </c>
      <c r="J8" s="30">
        <v>2.6</v>
      </c>
      <c r="K8" s="30"/>
      <c r="L8" s="30"/>
      <c r="M8" s="323" t="s">
        <v>256</v>
      </c>
      <c r="N8" t="s">
        <v>445</v>
      </c>
    </row>
    <row r="9" spans="1:14">
      <c r="A9" s="30" t="s">
        <v>257</v>
      </c>
      <c r="B9" s="165">
        <f>305.555555555556*1000</f>
        <v>305555.55555555597</v>
      </c>
      <c r="C9" s="165">
        <f t="shared" ref="C9:H9" si="0">C7/C8</f>
        <v>308514.20212765958</v>
      </c>
      <c r="D9" s="165">
        <f t="shared" si="0"/>
        <v>312171.55080213898</v>
      </c>
      <c r="E9" s="165">
        <f t="shared" si="0"/>
        <v>314286.07526881719</v>
      </c>
      <c r="F9" s="165">
        <f t="shared" si="0"/>
        <v>318884.81081081083</v>
      </c>
      <c r="G9" s="165">
        <f t="shared" si="0"/>
        <v>323646.14130434784</v>
      </c>
      <c r="H9" s="165">
        <f t="shared" si="0"/>
        <v>326255.08196721313</v>
      </c>
      <c r="I9" s="165">
        <f>I7/I8</f>
        <v>328330.38461538462</v>
      </c>
      <c r="J9" s="43">
        <v>332393</v>
      </c>
      <c r="K9" s="30"/>
      <c r="L9" s="30"/>
      <c r="M9" s="323" t="s">
        <v>256</v>
      </c>
      <c r="N9" t="s">
        <v>445</v>
      </c>
    </row>
    <row r="10" spans="1:14">
      <c r="A10" s="30" t="s">
        <v>258</v>
      </c>
      <c r="B10" s="107">
        <v>0.23</v>
      </c>
      <c r="C10" s="172">
        <f>$B$10+($I$10-$B$10)*1/7</f>
        <v>0.23428571428571429</v>
      </c>
      <c r="D10" s="172">
        <f>$B$10+($I$10-$B$10)*2/7</f>
        <v>0.23857142857142857</v>
      </c>
      <c r="E10" s="172">
        <f>$B$10+($I$10-$B$10)*3/7</f>
        <v>0.24285714285714285</v>
      </c>
      <c r="F10" s="172">
        <f>$B$10+($I$10-$B$10)*4/7</f>
        <v>0.24714285714285716</v>
      </c>
      <c r="G10" s="172">
        <f>$B$10+($I$10-$B$10)*5/7</f>
        <v>0.25142857142857145</v>
      </c>
      <c r="H10" s="172">
        <f>$B$10+($I$10-$B$10)*6/7</f>
        <v>0.25571428571428573</v>
      </c>
      <c r="I10" s="102">
        <v>0.26</v>
      </c>
      <c r="J10" s="30"/>
      <c r="K10" s="30"/>
      <c r="L10" s="30"/>
      <c r="M10" s="323" t="s">
        <v>259</v>
      </c>
      <c r="N10" t="s">
        <v>445</v>
      </c>
    </row>
    <row r="11" spans="1:14" s="326" customFormat="1">
      <c r="A11" s="325" t="s">
        <v>260</v>
      </c>
      <c r="B11" s="325">
        <v>3</v>
      </c>
      <c r="C11" s="325"/>
      <c r="D11" s="325"/>
      <c r="E11" s="325"/>
      <c r="F11" s="325"/>
      <c r="G11" s="325"/>
      <c r="H11" s="325"/>
      <c r="I11" s="325">
        <v>3</v>
      </c>
      <c r="J11" s="325"/>
      <c r="K11" s="325"/>
      <c r="L11" s="325"/>
      <c r="M11" s="327" t="s">
        <v>261</v>
      </c>
      <c r="N11" s="326" t="s">
        <v>445</v>
      </c>
    </row>
    <row r="12" spans="1:14" s="326" customFormat="1">
      <c r="A12" s="325" t="s">
        <v>262</v>
      </c>
      <c r="B12" s="325">
        <v>1</v>
      </c>
      <c r="C12" s="325"/>
      <c r="D12" s="325"/>
      <c r="E12" s="325"/>
      <c r="F12" s="325"/>
      <c r="G12" s="325"/>
      <c r="H12" s="325"/>
      <c r="I12" s="325">
        <v>1</v>
      </c>
      <c r="J12" s="325"/>
      <c r="K12" s="325"/>
      <c r="L12" s="325"/>
      <c r="M12" s="327" t="s">
        <v>261</v>
      </c>
      <c r="N12" s="326" t="s">
        <v>445</v>
      </c>
    </row>
    <row r="13" spans="1:14">
      <c r="A13" s="1" t="s">
        <v>263</v>
      </c>
      <c r="B13" s="39">
        <f>134834/1000</f>
        <v>134.834</v>
      </c>
      <c r="C13" s="39">
        <f>154858/1000</f>
        <v>154.858</v>
      </c>
      <c r="D13" s="39">
        <f>164739/1000</f>
        <v>164.739</v>
      </c>
      <c r="E13" s="39">
        <f>175809/1000</f>
        <v>175.809</v>
      </c>
      <c r="F13" s="39">
        <f>190314/1000</f>
        <v>190.31399999999999</v>
      </c>
      <c r="G13" s="39">
        <f>201330/1000</f>
        <v>201.33</v>
      </c>
      <c r="H13" s="39">
        <f>210452/1000</f>
        <v>210.452</v>
      </c>
      <c r="I13" s="39">
        <f>221523/1000</f>
        <v>221.523</v>
      </c>
      <c r="J13" s="39">
        <f>208500/1000</f>
        <v>208.5</v>
      </c>
      <c r="K13" s="39">
        <f>207726/1000</f>
        <v>207.726</v>
      </c>
      <c r="L13" s="30"/>
      <c r="M13" s="323" t="s">
        <v>227</v>
      </c>
      <c r="N13" t="s">
        <v>445</v>
      </c>
    </row>
    <row r="14" spans="1:14">
      <c r="A14" s="1" t="s">
        <v>264</v>
      </c>
      <c r="B14" s="30">
        <v>72.400000000000006</v>
      </c>
      <c r="C14" s="30">
        <v>70.400000000000006</v>
      </c>
      <c r="D14" s="30">
        <v>70.400000000000006</v>
      </c>
      <c r="E14" s="30">
        <v>68.2</v>
      </c>
      <c r="F14" s="30">
        <v>66.3</v>
      </c>
      <c r="G14" s="30">
        <v>67.8</v>
      </c>
      <c r="H14" s="30">
        <v>67.7</v>
      </c>
      <c r="I14" s="30">
        <v>66.900000000000006</v>
      </c>
      <c r="J14" s="30">
        <v>55.9</v>
      </c>
      <c r="K14" s="30">
        <v>65.7</v>
      </c>
      <c r="L14" s="30"/>
      <c r="M14" s="323" t="s">
        <v>227</v>
      </c>
      <c r="N14" t="s">
        <v>445</v>
      </c>
    </row>
    <row r="15" spans="1:14">
      <c r="A15" s="1" t="s">
        <v>23</v>
      </c>
      <c r="B15" s="39">
        <f t="shared" ref="B15:K15" si="1">SUM(B13:B14)</f>
        <v>207.23400000000001</v>
      </c>
      <c r="C15" s="39">
        <f t="shared" si="1"/>
        <v>225.25800000000001</v>
      </c>
      <c r="D15" s="39">
        <f t="shared" si="1"/>
        <v>235.13900000000001</v>
      </c>
      <c r="E15" s="39">
        <f t="shared" si="1"/>
        <v>244.00900000000001</v>
      </c>
      <c r="F15" s="39">
        <f t="shared" si="1"/>
        <v>256.61399999999998</v>
      </c>
      <c r="G15" s="39">
        <f t="shared" si="1"/>
        <v>269.13</v>
      </c>
      <c r="H15" s="39">
        <f t="shared" si="1"/>
        <v>278.15199999999999</v>
      </c>
      <c r="I15" s="39">
        <f t="shared" si="1"/>
        <v>288.423</v>
      </c>
      <c r="J15" s="39">
        <f t="shared" si="1"/>
        <v>264.39999999999998</v>
      </c>
      <c r="K15" s="39">
        <f t="shared" si="1"/>
        <v>273.42599999999999</v>
      </c>
      <c r="L15" s="30"/>
      <c r="M15" s="323"/>
      <c r="N15" t="s">
        <v>445</v>
      </c>
    </row>
    <row r="16" spans="1:14">
      <c r="A16" s="1" t="s">
        <v>265</v>
      </c>
      <c r="B16" s="30"/>
      <c r="C16" s="30"/>
      <c r="D16" s="30"/>
      <c r="E16" s="165">
        <f>'Bilan d''énergie SDES historique'!H252</f>
        <v>1042</v>
      </c>
      <c r="F16" s="165">
        <f>'Bilan d''énergie SDES historique'!H220</f>
        <v>1080</v>
      </c>
      <c r="G16" s="165">
        <f>'Bilan d''énergie SDES historique'!H188</f>
        <v>1099</v>
      </c>
      <c r="H16" s="165">
        <f>'Bilan d''énergie SDES historique'!H156</f>
        <v>1233</v>
      </c>
      <c r="I16" s="165">
        <f>'Bilan d''énergie SDES historique'!H124</f>
        <v>1196</v>
      </c>
      <c r="J16" s="165">
        <f>'Bilan d''énergie SDES historique'!H92</f>
        <v>1219</v>
      </c>
      <c r="K16" s="165">
        <f>'Bilan d''énergie SDES historique'!H60</f>
        <v>1230</v>
      </c>
      <c r="L16" s="165">
        <f>'Bilan d''énergie SDES historique'!H28</f>
        <v>1273</v>
      </c>
      <c r="M16" s="323" t="s">
        <v>266</v>
      </c>
      <c r="N16" t="s">
        <v>445</v>
      </c>
    </row>
    <row r="17" spans="1:21">
      <c r="A17" s="1" t="s">
        <v>267</v>
      </c>
      <c r="B17" s="30">
        <f>'Cadrage macroéconomique '!B6</f>
        <v>15487</v>
      </c>
      <c r="C17" s="30">
        <f>'Cadrage macroéconomique '!C6</f>
        <v>15926</v>
      </c>
      <c r="D17" s="30">
        <f>'Cadrage macroéconomique '!D6</f>
        <v>17109</v>
      </c>
      <c r="E17" s="30">
        <f>'Cadrage macroéconomique '!E6</f>
        <v>17013</v>
      </c>
      <c r="F17" s="30">
        <f>'Cadrage macroéconomique '!F6</f>
        <v>17534</v>
      </c>
      <c r="G17" s="30">
        <f>'Cadrage macroéconomique '!G6</f>
        <v>17555</v>
      </c>
      <c r="H17" s="30">
        <f>'Cadrage macroéconomique '!H6</f>
        <v>18065</v>
      </c>
      <c r="I17" s="30">
        <f>'Cadrage macroéconomique '!I6</f>
        <v>18715</v>
      </c>
      <c r="J17" s="30">
        <f>'Cadrage macroéconomique '!J6</f>
        <v>19163</v>
      </c>
      <c r="K17" s="30">
        <f>'Cadrage macroéconomique '!K6</f>
        <v>19660</v>
      </c>
      <c r="L17" s="165"/>
      <c r="M17" s="323" t="s">
        <v>233</v>
      </c>
      <c r="N17" t="s">
        <v>445</v>
      </c>
    </row>
    <row r="18" spans="1:21">
      <c r="A18" s="1" t="s">
        <v>268</v>
      </c>
      <c r="B18" s="30"/>
      <c r="C18" s="30"/>
      <c r="D18" s="30"/>
      <c r="E18" s="165">
        <f>'Bilan d''énergie SDES historique'!D252</f>
        <v>143</v>
      </c>
      <c r="F18" s="165">
        <f>'Bilan d''énergie SDES historique'!D220</f>
        <v>138</v>
      </c>
      <c r="G18" s="165">
        <f>'Bilan d''énergie SDES historique'!D188</f>
        <v>150</v>
      </c>
      <c r="H18" s="165">
        <f>'Bilan d''énergie SDES historique'!D156</f>
        <v>159</v>
      </c>
      <c r="I18" s="165">
        <f>'Bilan d''énergie SDES historique'!D124</f>
        <v>121</v>
      </c>
      <c r="J18" s="165">
        <f>'Bilan d''énergie SDES historique'!D92</f>
        <v>145</v>
      </c>
      <c r="K18" s="165">
        <f>'Bilan d''énergie SDES historique'!D60</f>
        <v>92</v>
      </c>
      <c r="L18" s="165">
        <f>'Bilan d''énergie SDES historique'!D28</f>
        <v>131</v>
      </c>
      <c r="M18" s="323" t="s">
        <v>269</v>
      </c>
      <c r="N18" t="s">
        <v>445</v>
      </c>
    </row>
    <row r="19" spans="1:21">
      <c r="A19" s="1" t="s">
        <v>270</v>
      </c>
      <c r="B19" s="30"/>
      <c r="C19" s="30"/>
      <c r="D19" s="30"/>
      <c r="E19" s="165">
        <f>'Bilan d''énergie SDES historique'!G252</f>
        <v>493</v>
      </c>
      <c r="F19" s="165">
        <f>'Bilan d''énergie SDES historique'!G220</f>
        <v>513</v>
      </c>
      <c r="G19" s="165">
        <f>'Bilan d''énergie SDES historique'!G188</f>
        <v>531</v>
      </c>
      <c r="H19" s="165">
        <f>'Bilan d''énergie SDES historique'!G156</f>
        <v>552</v>
      </c>
      <c r="I19" s="165">
        <f>'Bilan d''énergie SDES historique'!G124</f>
        <v>578</v>
      </c>
      <c r="J19" s="165">
        <f>'Bilan d''énergie SDES historique'!G92</f>
        <v>610</v>
      </c>
      <c r="K19" s="165">
        <f>'Bilan d''énergie SDES historique'!G60</f>
        <v>633</v>
      </c>
      <c r="L19" s="165">
        <f>'Bilan d''énergie SDES historique'!G28</f>
        <v>655</v>
      </c>
      <c r="M19" s="323" t="s">
        <v>269</v>
      </c>
      <c r="N19" t="s">
        <v>445</v>
      </c>
    </row>
    <row r="22" spans="1:21">
      <c r="A22" s="414" t="s">
        <v>152</v>
      </c>
      <c r="B22" s="414"/>
      <c r="C22" s="414"/>
      <c r="D22" s="414"/>
      <c r="E22" s="414"/>
      <c r="F22" s="414"/>
      <c r="G22" s="414"/>
      <c r="H22" s="414"/>
      <c r="I22" s="414"/>
      <c r="J22" s="414"/>
      <c r="K22" s="414"/>
      <c r="M22" s="414" t="s">
        <v>153</v>
      </c>
      <c r="N22" s="414"/>
      <c r="O22" s="414"/>
      <c r="P22" s="414"/>
      <c r="Q22" s="414"/>
      <c r="R22" s="414"/>
      <c r="S22" s="414"/>
      <c r="T22" s="414"/>
      <c r="U22" s="414"/>
    </row>
    <row r="24" spans="1:21">
      <c r="A24" s="30"/>
      <c r="B24" s="1">
        <v>2015</v>
      </c>
      <c r="C24" s="30">
        <v>2019</v>
      </c>
      <c r="D24" s="30">
        <v>2025</v>
      </c>
      <c r="E24" s="30">
        <v>2030</v>
      </c>
      <c r="F24" s="30">
        <v>2035</v>
      </c>
      <c r="G24" s="30">
        <v>2040</v>
      </c>
      <c r="H24" s="30">
        <v>2045</v>
      </c>
      <c r="I24" s="30">
        <v>2050</v>
      </c>
      <c r="J24" s="328" t="s">
        <v>422</v>
      </c>
      <c r="M24" s="30"/>
      <c r="N24" s="92">
        <v>2017</v>
      </c>
      <c r="O24" s="92">
        <v>2018</v>
      </c>
      <c r="P24" s="30">
        <v>2025</v>
      </c>
      <c r="Q24" s="30">
        <v>2030</v>
      </c>
      <c r="R24" s="30">
        <v>2035</v>
      </c>
      <c r="S24" s="30">
        <v>2040</v>
      </c>
      <c r="T24" s="30">
        <v>2045</v>
      </c>
      <c r="U24" s="30">
        <v>2050</v>
      </c>
    </row>
    <row r="25" spans="1:21">
      <c r="A25" s="30" t="s">
        <v>254</v>
      </c>
      <c r="B25" s="352">
        <f>G7</f>
        <v>850727</v>
      </c>
      <c r="C25" s="352">
        <f>K7</f>
        <v>861210</v>
      </c>
      <c r="D25" s="165">
        <f>'Cadrage macroéconomique '!$C$15*1000000</f>
        <v>879000</v>
      </c>
      <c r="E25" s="165">
        <f>'Cadrage macroéconomique '!$D$15*1000000</f>
        <v>893000</v>
      </c>
      <c r="F25" s="165">
        <f>'Cadrage macroéconomique '!$E$15*1000000</f>
        <v>904000</v>
      </c>
      <c r="G25" s="165">
        <f>'Cadrage macroéconomique '!$F$15*1000000</f>
        <v>913000</v>
      </c>
      <c r="H25" s="165">
        <f>'Cadrage macroéconomique '!$G$15*1000000</f>
        <v>917000</v>
      </c>
      <c r="I25" s="165">
        <f>'Cadrage macroéconomique '!$H$15*1000000</f>
        <v>918000</v>
      </c>
      <c r="J25" s="323" t="s">
        <v>271</v>
      </c>
      <c r="K25" t="s">
        <v>445</v>
      </c>
      <c r="M25" s="30" t="s">
        <v>254</v>
      </c>
      <c r="N25" s="30">
        <v>854</v>
      </c>
      <c r="O25" s="30"/>
      <c r="P25" s="30"/>
      <c r="Q25" s="30"/>
      <c r="R25" s="30"/>
      <c r="S25" s="30"/>
      <c r="T25" s="30"/>
      <c r="U25" s="30">
        <v>873</v>
      </c>
    </row>
    <row r="26" spans="1:21">
      <c r="A26" s="30" t="s">
        <v>255</v>
      </c>
      <c r="B26" s="167">
        <f>G8</f>
        <v>2.6285714285714286</v>
      </c>
      <c r="C26" s="30">
        <f>J8</f>
        <v>2.6</v>
      </c>
      <c r="D26" s="168">
        <f>$C$26+($I$26-$C$26)*6/31</f>
        <v>2.5087557603686634</v>
      </c>
      <c r="E26" s="168">
        <f>$C$26+($I$26-$C$26)*11/31</f>
        <v>2.4327188940092159</v>
      </c>
      <c r="F26" s="168">
        <f>$C$26+($I$26-$C$26)*16/31</f>
        <v>2.3566820276497684</v>
      </c>
      <c r="G26" s="168">
        <f>$C$26+($I$26-$C$26)*21/31</f>
        <v>2.2806451612903214</v>
      </c>
      <c r="H26" s="168">
        <f>$C$26+($I$26-$C$26)*26/31</f>
        <v>2.2046082949308738</v>
      </c>
      <c r="I26" s="168">
        <f>_xlfn.FORECAST.LINEAR(I24,B8:I8,B6:I6)</f>
        <v>2.1285714285714263</v>
      </c>
      <c r="J26" s="323" t="s">
        <v>272</v>
      </c>
      <c r="K26" t="s">
        <v>445</v>
      </c>
      <c r="M26" s="30" t="s">
        <v>255</v>
      </c>
      <c r="N26" s="30">
        <v>2.6</v>
      </c>
      <c r="O26" s="30"/>
      <c r="P26" s="30"/>
      <c r="Q26" s="30"/>
      <c r="R26" s="30"/>
      <c r="S26" s="30"/>
      <c r="T26" s="30"/>
      <c r="U26" s="30">
        <v>2.2000000000000002</v>
      </c>
    </row>
    <row r="27" spans="1:21">
      <c r="A27" s="30" t="s">
        <v>257</v>
      </c>
      <c r="B27" s="165">
        <f t="shared" ref="B27:I27" si="2">B25/B26</f>
        <v>323646.14130434784</v>
      </c>
      <c r="C27" s="165">
        <f t="shared" si="2"/>
        <v>331234.61538461538</v>
      </c>
      <c r="D27" s="165">
        <f t="shared" si="2"/>
        <v>350372.88758265984</v>
      </c>
      <c r="E27" s="165">
        <f t="shared" si="2"/>
        <v>367078.99223337765</v>
      </c>
      <c r="F27" s="165">
        <f t="shared" si="2"/>
        <v>383590.14470082149</v>
      </c>
      <c r="G27" s="165">
        <f t="shared" si="2"/>
        <v>400325.31824611052</v>
      </c>
      <c r="H27" s="165">
        <f t="shared" si="2"/>
        <v>415946.90635451535</v>
      </c>
      <c r="I27" s="165">
        <f t="shared" si="2"/>
        <v>431275.16778523533</v>
      </c>
      <c r="J27" s="323" t="s">
        <v>272</v>
      </c>
      <c r="K27" t="s">
        <v>445</v>
      </c>
      <c r="M27" s="30" t="s">
        <v>257</v>
      </c>
      <c r="N27" s="30">
        <v>328</v>
      </c>
      <c r="O27" s="30"/>
      <c r="P27" s="30"/>
      <c r="Q27" s="30"/>
      <c r="R27" s="30"/>
      <c r="S27" s="30"/>
      <c r="T27" s="30"/>
      <c r="U27" s="30">
        <v>397</v>
      </c>
    </row>
    <row r="28" spans="1:21">
      <c r="A28" s="30" t="s">
        <v>258</v>
      </c>
      <c r="B28" s="107">
        <f>G10</f>
        <v>0.25142857142857145</v>
      </c>
      <c r="C28" s="102">
        <f>I10</f>
        <v>0.26</v>
      </c>
      <c r="D28" s="173">
        <f>$C$28+($I$28-$C$28)*5/30</f>
        <v>0.32166666666666666</v>
      </c>
      <c r="E28" s="173">
        <f>$C$28+($I$28-$C$28)*10/30</f>
        <v>0.38333333333333336</v>
      </c>
      <c r="F28" s="173">
        <f>$C$28+($I$28-$C$28)*15/30</f>
        <v>0.44500000000000001</v>
      </c>
      <c r="G28" s="173">
        <f>$C$28+($I$28-$C$28)*20/30</f>
        <v>0.50666666666666671</v>
      </c>
      <c r="H28" s="173">
        <f>$C$28+($I$28-$C$28)*25/30</f>
        <v>0.56833333333333336</v>
      </c>
      <c r="I28" s="107">
        <f>63%</f>
        <v>0.63</v>
      </c>
      <c r="J28" s="338" t="s">
        <v>261</v>
      </c>
      <c r="K28" t="s">
        <v>445</v>
      </c>
      <c r="M28" s="30" t="s">
        <v>258</v>
      </c>
      <c r="N28" s="102">
        <v>0.26</v>
      </c>
      <c r="O28" s="30"/>
      <c r="P28" s="30"/>
      <c r="Q28" s="30"/>
      <c r="R28" s="30"/>
      <c r="S28" s="30"/>
      <c r="T28" s="30"/>
      <c r="U28" s="102">
        <v>0.63</v>
      </c>
    </row>
    <row r="29" spans="1:21" s="326" customFormat="1" ht="12.6" customHeight="1">
      <c r="A29" s="325" t="s">
        <v>260</v>
      </c>
      <c r="B29" s="325">
        <v>3</v>
      </c>
      <c r="C29" s="325">
        <f>+I11</f>
        <v>3</v>
      </c>
      <c r="D29" s="325"/>
      <c r="E29" s="325"/>
      <c r="F29" s="325"/>
      <c r="G29" s="325"/>
      <c r="H29" s="325"/>
      <c r="I29" s="325">
        <f>U29</f>
        <v>5</v>
      </c>
      <c r="J29" s="327" t="s">
        <v>273</v>
      </c>
      <c r="K29" s="326" t="s">
        <v>445</v>
      </c>
      <c r="M29" s="325" t="s">
        <v>260</v>
      </c>
      <c r="N29" s="325">
        <v>3</v>
      </c>
      <c r="O29" s="325"/>
      <c r="P29" s="325"/>
      <c r="Q29" s="325"/>
      <c r="R29" s="325"/>
      <c r="S29" s="325"/>
      <c r="T29" s="325"/>
      <c r="U29" s="325">
        <v>5</v>
      </c>
    </row>
    <row r="30" spans="1:21" s="326" customFormat="1">
      <c r="A30" s="325" t="s">
        <v>262</v>
      </c>
      <c r="B30" s="325">
        <v>1</v>
      </c>
      <c r="C30" s="325">
        <f>+I12</f>
        <v>1</v>
      </c>
      <c r="D30" s="325"/>
      <c r="E30" s="325"/>
      <c r="F30" s="325"/>
      <c r="G30" s="325"/>
      <c r="H30" s="325"/>
      <c r="I30" s="325">
        <f>U30</f>
        <v>1</v>
      </c>
      <c r="J30" s="327" t="s">
        <v>274</v>
      </c>
      <c r="K30" s="326" t="s">
        <v>445</v>
      </c>
      <c r="M30" s="325" t="s">
        <v>262</v>
      </c>
      <c r="N30" s="325">
        <v>1</v>
      </c>
      <c r="O30" s="325"/>
      <c r="P30" s="325"/>
      <c r="Q30" s="325"/>
      <c r="R30" s="325"/>
      <c r="S30" s="325"/>
      <c r="T30" s="325"/>
      <c r="U30" s="325">
        <v>1</v>
      </c>
    </row>
    <row r="31" spans="1:21">
      <c r="A31" s="1" t="s">
        <v>263</v>
      </c>
      <c r="B31" s="184">
        <f>G13</f>
        <v>201.33</v>
      </c>
      <c r="C31" s="39">
        <f>K13</f>
        <v>207.726</v>
      </c>
      <c r="D31" s="168">
        <f>$C$31+($I$31-$C$31)*6/31</f>
        <v>229.82734264414114</v>
      </c>
      <c r="E31" s="168">
        <f>$C$31+($I$31-$C$31)*11/31</f>
        <v>248.24512818092543</v>
      </c>
      <c r="F31" s="168">
        <f>$C$31+($I$31-$C$31)*16/31</f>
        <v>266.66291371770973</v>
      </c>
      <c r="G31" s="168">
        <f>$C$31+($I$31-$C$31)*21/31</f>
        <v>285.08069925449399</v>
      </c>
      <c r="H31" s="168">
        <f>$C$31+($I$31-$C$31)*26/31</f>
        <v>303.49848479127832</v>
      </c>
      <c r="I31" s="168">
        <f>I25*C31*I30*I28*C29/(C28*I29*C25)</f>
        <v>321.91627032806258</v>
      </c>
      <c r="J31" s="323" t="s">
        <v>275</v>
      </c>
      <c r="K31" t="s">
        <v>445</v>
      </c>
      <c r="M31" s="30" t="s">
        <v>263</v>
      </c>
      <c r="N31" s="30">
        <v>273</v>
      </c>
      <c r="O31" s="30"/>
      <c r="P31" s="30"/>
      <c r="Q31" s="30"/>
      <c r="R31" s="30"/>
      <c r="S31" s="30"/>
      <c r="T31" s="30"/>
      <c r="U31" s="30">
        <v>406</v>
      </c>
    </row>
    <row r="32" spans="1:21">
      <c r="A32" s="325" t="s">
        <v>264</v>
      </c>
      <c r="B32" s="325">
        <f>G14</f>
        <v>67.8</v>
      </c>
      <c r="C32" s="325">
        <f>K14</f>
        <v>65.7</v>
      </c>
      <c r="D32" s="329">
        <f>$C$32+($I$32-$C$32)*6/31</f>
        <v>66.53852831219092</v>
      </c>
      <c r="E32" s="329">
        <f>$C$32+($I$32-$C$32)*11/31</f>
        <v>67.237301905683339</v>
      </c>
      <c r="F32" s="329">
        <f>$C$32+($I$32-$C$32)*16/31</f>
        <v>67.936075499175772</v>
      </c>
      <c r="G32" s="329">
        <f>$C$32+($I$32-$C$32)*21/31</f>
        <v>68.63484909266819</v>
      </c>
      <c r="H32" s="329">
        <f>$C$32+($I$32-$C$32)*26/31</f>
        <v>69.333622686160624</v>
      </c>
      <c r="I32" s="329">
        <f>(I25*C32)/C25</f>
        <v>70.032396279653042</v>
      </c>
      <c r="J32" s="327" t="s">
        <v>275</v>
      </c>
      <c r="K32" t="s">
        <v>445</v>
      </c>
      <c r="M32" s="30" t="s">
        <v>276</v>
      </c>
      <c r="N32" s="30">
        <v>67</v>
      </c>
      <c r="O32" s="30"/>
      <c r="P32" s="30"/>
      <c r="Q32" s="30"/>
      <c r="R32" s="30"/>
      <c r="S32" s="30"/>
      <c r="T32" s="30"/>
      <c r="U32" s="30">
        <v>71</v>
      </c>
    </row>
    <row r="33" spans="1:21">
      <c r="A33" s="1" t="s">
        <v>23</v>
      </c>
      <c r="B33" s="184">
        <f>G15</f>
        <v>269.13</v>
      </c>
      <c r="C33" s="39">
        <f>SUM(C31:C32)</f>
        <v>273.42599999999999</v>
      </c>
      <c r="D33" s="168">
        <f t="shared" ref="D33:I33" si="3">SUM(D31:D32)</f>
        <v>296.36587095633206</v>
      </c>
      <c r="E33" s="168">
        <f t="shared" si="3"/>
        <v>315.48243008660876</v>
      </c>
      <c r="F33" s="168">
        <f t="shared" si="3"/>
        <v>334.59898921688551</v>
      </c>
      <c r="G33" s="168">
        <f t="shared" si="3"/>
        <v>353.71554834716221</v>
      </c>
      <c r="H33" s="168">
        <f t="shared" si="3"/>
        <v>372.83210747743897</v>
      </c>
      <c r="I33" s="168">
        <f t="shared" si="3"/>
        <v>391.94866660771561</v>
      </c>
      <c r="J33" s="323"/>
      <c r="K33" t="s">
        <v>445</v>
      </c>
      <c r="M33" s="30" t="s">
        <v>23</v>
      </c>
      <c r="N33" s="30">
        <v>340</v>
      </c>
      <c r="O33" s="30"/>
      <c r="P33" s="30"/>
      <c r="Q33" s="30"/>
      <c r="R33" s="30"/>
      <c r="S33" s="30"/>
      <c r="T33" s="30"/>
      <c r="U33" s="30">
        <v>477</v>
      </c>
    </row>
    <row r="34" spans="1:21">
      <c r="A34" s="1" t="s">
        <v>267</v>
      </c>
      <c r="B34" s="30">
        <f>'Cadrage macroéconomique '!G6</f>
        <v>17555</v>
      </c>
      <c r="C34" s="30">
        <f>'Cadrage macroéconomique '!B16</f>
        <v>19660</v>
      </c>
      <c r="D34" s="43">
        <f>'Cadrage macroéconomique '!C16</f>
        <v>21096.190823125326</v>
      </c>
      <c r="E34" s="43">
        <f>'Cadrage macroéconomique '!D16</f>
        <v>22248.047497929623</v>
      </c>
      <c r="F34" s="43">
        <f>'Cadrage macroéconomique '!E16</f>
        <v>23379.442382543286</v>
      </c>
      <c r="G34" s="43">
        <f>'Cadrage macroéconomique '!F16</f>
        <v>24511.041756579045</v>
      </c>
      <c r="H34" s="43">
        <f>'Cadrage macroéconomique '!G16</f>
        <v>25555.571763742591</v>
      </c>
      <c r="I34" s="43">
        <f>'Cadrage macroéconomique '!H16</f>
        <v>26557.318472291503</v>
      </c>
      <c r="J34" s="323" t="s">
        <v>271</v>
      </c>
      <c r="K34" t="s">
        <v>445</v>
      </c>
      <c r="M34" s="30" t="s">
        <v>277</v>
      </c>
      <c r="N34" s="93" t="s">
        <v>278</v>
      </c>
      <c r="O34" s="30"/>
      <c r="P34" s="30"/>
      <c r="Q34" s="30"/>
      <c r="R34" s="30"/>
      <c r="S34" s="30"/>
      <c r="T34" s="30"/>
      <c r="U34" s="93" t="s">
        <v>160</v>
      </c>
    </row>
    <row r="35" spans="1:21">
      <c r="A35" s="431" t="s">
        <v>434</v>
      </c>
      <c r="B35" s="431"/>
      <c r="C35" s="431"/>
      <c r="D35" s="431"/>
      <c r="E35" s="431"/>
      <c r="F35" s="431"/>
      <c r="G35" s="431"/>
      <c r="H35" s="431"/>
      <c r="I35" s="431"/>
      <c r="J35" s="431"/>
      <c r="K35" t="s">
        <v>445</v>
      </c>
      <c r="O35">
        <v>30.35</v>
      </c>
      <c r="U35">
        <v>31.02</v>
      </c>
    </row>
    <row r="37" spans="1:21">
      <c r="A37" s="414" t="s">
        <v>158</v>
      </c>
      <c r="B37" s="414"/>
      <c r="C37" s="414"/>
      <c r="D37" s="414"/>
      <c r="E37" s="414"/>
      <c r="F37" s="414"/>
      <c r="G37" s="414"/>
      <c r="H37" s="414"/>
      <c r="I37" s="414"/>
      <c r="J37" s="414"/>
      <c r="K37" s="414"/>
      <c r="M37" s="414" t="s">
        <v>159</v>
      </c>
      <c r="N37" s="414"/>
      <c r="O37" s="414"/>
      <c r="P37" s="414"/>
      <c r="Q37" s="414"/>
      <c r="R37" s="414"/>
      <c r="S37" s="414"/>
      <c r="T37" s="414"/>
      <c r="U37" s="414"/>
    </row>
    <row r="39" spans="1:21">
      <c r="A39" s="30"/>
      <c r="B39" s="1">
        <v>2015</v>
      </c>
      <c r="C39" s="30">
        <v>2019</v>
      </c>
      <c r="D39" s="30">
        <v>2025</v>
      </c>
      <c r="E39" s="30">
        <v>2030</v>
      </c>
      <c r="F39" s="30">
        <v>2035</v>
      </c>
      <c r="G39" s="30">
        <v>2040</v>
      </c>
      <c r="H39" s="30">
        <v>2045</v>
      </c>
      <c r="I39" s="30">
        <v>2050</v>
      </c>
      <c r="J39" s="310" t="s">
        <v>422</v>
      </c>
      <c r="K39" t="s">
        <v>445</v>
      </c>
      <c r="M39" s="30"/>
      <c r="N39" s="92">
        <v>2010</v>
      </c>
      <c r="O39" s="30">
        <v>2020</v>
      </c>
      <c r="P39" s="30">
        <v>2025</v>
      </c>
      <c r="Q39" s="30">
        <v>2030</v>
      </c>
      <c r="R39" s="30">
        <v>2035</v>
      </c>
      <c r="S39" s="30">
        <v>2040</v>
      </c>
      <c r="T39" s="30">
        <v>2045</v>
      </c>
      <c r="U39" s="30">
        <v>2050</v>
      </c>
    </row>
    <row r="40" spans="1:21">
      <c r="A40" s="30" t="s">
        <v>254</v>
      </c>
      <c r="B40" s="336">
        <f>B25</f>
        <v>850727</v>
      </c>
      <c r="C40" s="336">
        <f>C25</f>
        <v>861210</v>
      </c>
      <c r="D40" s="191">
        <f>'Cadrage macroéconomique '!$C$15*1000000</f>
        <v>879000</v>
      </c>
      <c r="E40" s="191">
        <f>'Cadrage macroéconomique '!$D$15*1000000</f>
        <v>893000</v>
      </c>
      <c r="F40" s="191">
        <f>'Cadrage macroéconomique '!$E$15*1000000</f>
        <v>904000</v>
      </c>
      <c r="G40" s="191">
        <f>'Cadrage macroéconomique '!$F$15*1000000</f>
        <v>913000</v>
      </c>
      <c r="H40" s="191">
        <f>'Cadrage macroéconomique '!$G$15*1000000</f>
        <v>917000</v>
      </c>
      <c r="I40" s="191">
        <f>'Cadrage macroéconomique '!$H$15*1000000</f>
        <v>918000</v>
      </c>
      <c r="J40" s="323" t="s">
        <v>271</v>
      </c>
      <c r="K40" t="s">
        <v>445</v>
      </c>
      <c r="M40" s="30" t="s">
        <v>254</v>
      </c>
      <c r="N40" s="30">
        <v>825</v>
      </c>
      <c r="O40" s="30"/>
      <c r="P40" s="30"/>
      <c r="Q40" s="30"/>
      <c r="R40" s="30"/>
      <c r="S40" s="30"/>
      <c r="T40" s="30"/>
      <c r="U40" s="30">
        <v>910</v>
      </c>
    </row>
    <row r="41" spans="1:21">
      <c r="A41" s="30" t="s">
        <v>255</v>
      </c>
      <c r="B41" s="336">
        <f t="shared" ref="B41:C49" si="4">B26</f>
        <v>2.6285714285714286</v>
      </c>
      <c r="C41" s="336">
        <f t="shared" si="4"/>
        <v>2.6</v>
      </c>
      <c r="D41" s="175">
        <f t="shared" ref="D41:I41" si="5">D26</f>
        <v>2.5087557603686634</v>
      </c>
      <c r="E41" s="175">
        <f t="shared" si="5"/>
        <v>2.4327188940092159</v>
      </c>
      <c r="F41" s="175">
        <f t="shared" si="5"/>
        <v>2.3566820276497684</v>
      </c>
      <c r="G41" s="175">
        <f t="shared" si="5"/>
        <v>2.2806451612903214</v>
      </c>
      <c r="H41" s="175">
        <f t="shared" si="5"/>
        <v>2.2046082949308738</v>
      </c>
      <c r="I41" s="175">
        <f t="shared" si="5"/>
        <v>2.1285714285714263</v>
      </c>
      <c r="J41" s="323" t="s">
        <v>272</v>
      </c>
      <c r="K41" t="s">
        <v>445</v>
      </c>
      <c r="M41" s="30" t="s">
        <v>255</v>
      </c>
      <c r="N41" s="30">
        <v>2.7</v>
      </c>
      <c r="O41" s="30"/>
      <c r="P41" s="30"/>
      <c r="Q41" s="30"/>
      <c r="R41" s="30"/>
      <c r="S41" s="30"/>
      <c r="T41" s="30"/>
      <c r="U41" s="30">
        <v>2.2000000000000002</v>
      </c>
    </row>
    <row r="42" spans="1:21">
      <c r="A42" s="30" t="s">
        <v>257</v>
      </c>
      <c r="B42" s="336">
        <f t="shared" si="4"/>
        <v>323646.14130434784</v>
      </c>
      <c r="C42" s="336">
        <f t="shared" si="4"/>
        <v>331234.61538461538</v>
      </c>
      <c r="D42" s="165">
        <f t="shared" ref="D42:I42" si="6">D40/D41</f>
        <v>350372.88758265984</v>
      </c>
      <c r="E42" s="165">
        <f t="shared" si="6"/>
        <v>367078.99223337765</v>
      </c>
      <c r="F42" s="165">
        <f t="shared" si="6"/>
        <v>383590.14470082149</v>
      </c>
      <c r="G42" s="165">
        <f t="shared" si="6"/>
        <v>400325.31824611052</v>
      </c>
      <c r="H42" s="165">
        <f t="shared" si="6"/>
        <v>415946.90635451535</v>
      </c>
      <c r="I42" s="165">
        <f t="shared" si="6"/>
        <v>431275.16778523533</v>
      </c>
      <c r="J42" s="323" t="s">
        <v>272</v>
      </c>
      <c r="K42" t="s">
        <v>445</v>
      </c>
      <c r="M42" s="30" t="s">
        <v>257</v>
      </c>
      <c r="N42" s="30">
        <v>305.555555555556</v>
      </c>
      <c r="O42" s="30"/>
      <c r="P42" s="30"/>
      <c r="Q42" s="30"/>
      <c r="R42" s="30"/>
      <c r="S42" s="30"/>
      <c r="T42" s="30"/>
      <c r="U42" s="30">
        <v>413.63636363636402</v>
      </c>
    </row>
    <row r="43" spans="1:21">
      <c r="A43" s="30" t="s">
        <v>258</v>
      </c>
      <c r="B43" s="335">
        <f t="shared" si="4"/>
        <v>0.25142857142857145</v>
      </c>
      <c r="C43" s="336">
        <f t="shared" si="4"/>
        <v>0.26</v>
      </c>
      <c r="D43" s="142">
        <f>$C$43+($I$43-$C$43)*5/30</f>
        <v>0.3</v>
      </c>
      <c r="E43" s="142">
        <f>$C$43+($I$43-$C$43)*10/30</f>
        <v>0.34</v>
      </c>
      <c r="F43" s="142">
        <f>$C$43+($I$43-$C$43)*15/30</f>
        <v>0.38</v>
      </c>
      <c r="G43" s="142">
        <f>$C$43+($I$43-$C$43)*20/30</f>
        <v>0.42000000000000004</v>
      </c>
      <c r="H43" s="142">
        <f>$C$43+($I$43-$C$43)*25/30</f>
        <v>0.46</v>
      </c>
      <c r="I43" s="107">
        <f>U43</f>
        <v>0.5</v>
      </c>
      <c r="J43" s="338" t="s">
        <v>279</v>
      </c>
      <c r="K43" t="s">
        <v>445</v>
      </c>
      <c r="M43" s="30" t="s">
        <v>258</v>
      </c>
      <c r="N43" s="30">
        <v>0.23</v>
      </c>
      <c r="O43" s="30"/>
      <c r="P43" s="30"/>
      <c r="Q43" s="30"/>
      <c r="R43" s="30"/>
      <c r="S43" s="30"/>
      <c r="T43" s="30"/>
      <c r="U43" s="30">
        <v>0.5</v>
      </c>
    </row>
    <row r="44" spans="1:21" s="326" customFormat="1">
      <c r="A44" s="325" t="s">
        <v>260</v>
      </c>
      <c r="B44" s="336">
        <f t="shared" si="4"/>
        <v>3</v>
      </c>
      <c r="C44" s="336">
        <f t="shared" si="4"/>
        <v>3</v>
      </c>
      <c r="D44" s="325"/>
      <c r="E44" s="325"/>
      <c r="F44" s="325"/>
      <c r="G44" s="325"/>
      <c r="H44" s="325"/>
      <c r="I44" s="325">
        <f>U29</f>
        <v>5</v>
      </c>
      <c r="J44" s="327" t="s">
        <v>274</v>
      </c>
      <c r="K44" s="326" t="s">
        <v>445</v>
      </c>
      <c r="M44" s="325" t="s">
        <v>260</v>
      </c>
      <c r="N44" s="325">
        <v>3</v>
      </c>
      <c r="O44" s="325"/>
      <c r="P44" s="325"/>
      <c r="Q44" s="325">
        <v>6</v>
      </c>
      <c r="R44" s="325"/>
      <c r="S44" s="325"/>
      <c r="T44" s="325"/>
      <c r="U44" s="325">
        <v>6</v>
      </c>
    </row>
    <row r="45" spans="1:21" s="326" customFormat="1">
      <c r="A45" s="325" t="s">
        <v>262</v>
      </c>
      <c r="B45" s="336">
        <f t="shared" si="4"/>
        <v>1</v>
      </c>
      <c r="C45" s="336">
        <f t="shared" si="4"/>
        <v>1</v>
      </c>
      <c r="D45" s="325"/>
      <c r="E45" s="325"/>
      <c r="F45" s="325"/>
      <c r="G45" s="325"/>
      <c r="H45" s="325"/>
      <c r="I45" s="325">
        <f>U45</f>
        <v>1</v>
      </c>
      <c r="J45" s="327" t="s">
        <v>274</v>
      </c>
      <c r="K45" s="326" t="s">
        <v>445</v>
      </c>
      <c r="M45" s="325" t="s">
        <v>262</v>
      </c>
      <c r="N45" s="325">
        <v>1</v>
      </c>
      <c r="O45" s="325"/>
      <c r="P45" s="325"/>
      <c r="Q45" s="325">
        <v>1</v>
      </c>
      <c r="R45" s="325"/>
      <c r="S45" s="325"/>
      <c r="T45" s="325"/>
      <c r="U45" s="325">
        <v>1</v>
      </c>
    </row>
    <row r="46" spans="1:21">
      <c r="A46" s="1" t="s">
        <v>263</v>
      </c>
      <c r="B46" s="336">
        <f t="shared" si="4"/>
        <v>201.33</v>
      </c>
      <c r="C46" s="336">
        <f t="shared" si="4"/>
        <v>207.726</v>
      </c>
      <c r="D46" s="168">
        <f>$C$46+($I$46-$C$46)*6/31</f>
        <v>216.97047163257488</v>
      </c>
      <c r="E46" s="168">
        <f>$C$46+($I$46-$C$46)*11/31</f>
        <v>224.67419799305398</v>
      </c>
      <c r="F46" s="168">
        <f>$C$46+($I$46-$C$46)*16/31</f>
        <v>232.37792435353305</v>
      </c>
      <c r="G46" s="168">
        <f>$C$46+($I$46-$C$46)*21/31</f>
        <v>240.08165071401214</v>
      </c>
      <c r="H46" s="168">
        <f>$C$46+($I$46-$C$46)*26/31</f>
        <v>247.78537707449124</v>
      </c>
      <c r="I46" s="168">
        <f>I40*C46*I45*I43*C44/(C43*I44*C40)</f>
        <v>255.4891034349703</v>
      </c>
      <c r="J46" s="323" t="s">
        <v>275</v>
      </c>
      <c r="K46" t="s">
        <v>445</v>
      </c>
      <c r="M46" s="30" t="s">
        <v>263</v>
      </c>
      <c r="N46" s="30">
        <v>134.80000000000001</v>
      </c>
      <c r="O46" s="30"/>
      <c r="P46" s="30"/>
      <c r="Q46" s="30"/>
      <c r="R46" s="30"/>
      <c r="S46" s="30"/>
      <c r="T46" s="30"/>
      <c r="U46" s="30">
        <v>16.1617918313571</v>
      </c>
    </row>
    <row r="47" spans="1:21">
      <c r="A47" s="1" t="s">
        <v>264</v>
      </c>
      <c r="B47" s="336">
        <f t="shared" si="4"/>
        <v>67.8</v>
      </c>
      <c r="C47" s="336">
        <f t="shared" si="4"/>
        <v>65.7</v>
      </c>
      <c r="D47" s="168">
        <f>$C$47+($I$47-$C$47)*6/31</f>
        <v>66.53852831219092</v>
      </c>
      <c r="E47" s="168">
        <f>$C$47+($I$47-$C$47)*11/31</f>
        <v>67.237301905683339</v>
      </c>
      <c r="F47" s="168">
        <f>$C$47+($I$47-$C$47)*16/31</f>
        <v>67.936075499175772</v>
      </c>
      <c r="G47" s="168">
        <f>$C$47+($I$47-$C$47)*21/31</f>
        <v>68.63484909266819</v>
      </c>
      <c r="H47" s="168">
        <f>$C$47+($I$47-$C$47)*26/31</f>
        <v>69.333622686160624</v>
      </c>
      <c r="I47" s="168">
        <f>(I40*C47)/C40</f>
        <v>70.032396279653042</v>
      </c>
      <c r="J47" s="323" t="s">
        <v>275</v>
      </c>
      <c r="K47" t="s">
        <v>445</v>
      </c>
      <c r="M47" s="30" t="s">
        <v>276</v>
      </c>
      <c r="N47" s="30">
        <v>89</v>
      </c>
      <c r="O47" s="30"/>
      <c r="P47" s="30"/>
      <c r="Q47" s="30"/>
      <c r="R47" s="30"/>
      <c r="S47" s="30"/>
      <c r="T47" s="30"/>
      <c r="U47" s="30">
        <v>0</v>
      </c>
    </row>
    <row r="48" spans="1:21">
      <c r="A48" s="1" t="s">
        <v>23</v>
      </c>
      <c r="B48" s="336">
        <f t="shared" si="4"/>
        <v>269.13</v>
      </c>
      <c r="C48" s="336">
        <f t="shared" si="4"/>
        <v>273.42599999999999</v>
      </c>
      <c r="D48" s="168">
        <f t="shared" ref="D48:I48" si="7">SUM(D46:D47)</f>
        <v>283.50899994476583</v>
      </c>
      <c r="E48" s="168">
        <f t="shared" si="7"/>
        <v>291.9114998987373</v>
      </c>
      <c r="F48" s="168">
        <f t="shared" si="7"/>
        <v>300.31399985270883</v>
      </c>
      <c r="G48" s="168">
        <f t="shared" si="7"/>
        <v>308.7164998066803</v>
      </c>
      <c r="H48" s="168">
        <f t="shared" si="7"/>
        <v>317.11899976065183</v>
      </c>
      <c r="I48" s="168">
        <f t="shared" si="7"/>
        <v>325.52149971462336</v>
      </c>
      <c r="J48" s="323"/>
      <c r="K48" t="s">
        <v>445</v>
      </c>
      <c r="M48" s="30" t="s">
        <v>23</v>
      </c>
      <c r="N48" s="30">
        <v>223.8</v>
      </c>
      <c r="O48" s="30"/>
      <c r="P48" s="30"/>
      <c r="Q48" s="30"/>
      <c r="R48" s="30"/>
      <c r="S48" s="30"/>
      <c r="T48" s="30"/>
      <c r="U48" s="30">
        <v>16.1617918313571</v>
      </c>
    </row>
    <row r="49" spans="1:21" ht="17.399999999999999" customHeight="1">
      <c r="A49" s="1" t="s">
        <v>267</v>
      </c>
      <c r="B49" s="336">
        <f t="shared" si="4"/>
        <v>17555</v>
      </c>
      <c r="C49" s="336">
        <f t="shared" si="4"/>
        <v>19660</v>
      </c>
      <c r="D49" s="165">
        <f>D34</f>
        <v>21096.190823125326</v>
      </c>
      <c r="E49" s="191">
        <f t="shared" ref="E49:I49" si="8">E34</f>
        <v>22248.047497929623</v>
      </c>
      <c r="F49" s="191">
        <f t="shared" si="8"/>
        <v>23379.442382543286</v>
      </c>
      <c r="G49" s="191">
        <f t="shared" si="8"/>
        <v>24511.041756579045</v>
      </c>
      <c r="H49" s="191">
        <f t="shared" si="8"/>
        <v>25555.571763742591</v>
      </c>
      <c r="I49" s="191">
        <f t="shared" si="8"/>
        <v>26557.318472291503</v>
      </c>
      <c r="J49" s="323" t="s">
        <v>271</v>
      </c>
      <c r="K49" t="s">
        <v>445</v>
      </c>
      <c r="M49" s="30" t="s">
        <v>277</v>
      </c>
      <c r="N49" s="30">
        <v>15395.9448738097</v>
      </c>
      <c r="O49" s="30"/>
      <c r="P49" s="30"/>
      <c r="Q49" s="30"/>
      <c r="R49" s="30"/>
      <c r="S49" s="30"/>
      <c r="T49" s="30"/>
      <c r="U49" s="30">
        <v>40188</v>
      </c>
    </row>
    <row r="50" spans="1:21">
      <c r="A50" s="431" t="s">
        <v>450</v>
      </c>
      <c r="B50" s="431"/>
      <c r="C50" s="431"/>
      <c r="D50" s="431"/>
      <c r="E50" s="431"/>
      <c r="F50" s="431"/>
      <c r="G50" s="431"/>
      <c r="H50" s="431"/>
      <c r="I50" s="431"/>
      <c r="J50" s="431"/>
      <c r="K50" t="s">
        <v>445</v>
      </c>
    </row>
    <row r="52" spans="1:21">
      <c r="A52" s="435" t="s">
        <v>280</v>
      </c>
      <c r="B52" s="435"/>
      <c r="C52" s="435"/>
      <c r="D52" s="435"/>
      <c r="E52" s="435"/>
      <c r="F52" s="435"/>
      <c r="G52" s="435"/>
      <c r="H52" s="435"/>
      <c r="I52" s="435"/>
      <c r="J52" s="435"/>
      <c r="K52" s="435"/>
    </row>
    <row r="54" spans="1:21">
      <c r="A54" s="414" t="s">
        <v>55</v>
      </c>
      <c r="B54" s="414"/>
      <c r="C54" s="414"/>
      <c r="D54" s="414"/>
      <c r="E54" s="414"/>
      <c r="F54" s="414"/>
      <c r="G54" s="414"/>
      <c r="H54" s="414"/>
      <c r="I54" s="414"/>
      <c r="J54" s="414"/>
      <c r="K54" s="414"/>
    </row>
    <row r="55" spans="1:21">
      <c r="B55" t="s">
        <v>281</v>
      </c>
      <c r="C55" t="s">
        <v>282</v>
      </c>
    </row>
    <row r="56" spans="1:21">
      <c r="A56" s="176" t="s">
        <v>283</v>
      </c>
      <c r="B56" s="1">
        <v>2010</v>
      </c>
      <c r="C56" s="1">
        <v>2010</v>
      </c>
      <c r="E56" s="271" t="s">
        <v>481</v>
      </c>
      <c r="F56" s="271" t="s">
        <v>482</v>
      </c>
      <c r="G56" t="s">
        <v>445</v>
      </c>
      <c r="H56" s="271" t="s">
        <v>283</v>
      </c>
      <c r="I56" s="271" t="s">
        <v>483</v>
      </c>
    </row>
    <row r="57" spans="1:21">
      <c r="A57" s="1" t="s">
        <v>284</v>
      </c>
      <c r="B57" s="177">
        <v>0.04</v>
      </c>
      <c r="C57" s="178">
        <f>B57/B$64</f>
        <v>5.4794520547945209E-2</v>
      </c>
      <c r="E57" s="271" t="s">
        <v>43</v>
      </c>
      <c r="F57" s="375">
        <f>22%+34%</f>
        <v>0.56000000000000005</v>
      </c>
      <c r="H57" s="271" t="s">
        <v>484</v>
      </c>
      <c r="I57" s="376">
        <v>0.3</v>
      </c>
    </row>
    <row r="58" spans="1:21">
      <c r="A58" s="1" t="s">
        <v>285</v>
      </c>
      <c r="B58" s="177">
        <v>0.14000000000000001</v>
      </c>
      <c r="C58" s="178">
        <f>B58/B$64</f>
        <v>0.19178082191780824</v>
      </c>
      <c r="E58" s="271" t="s">
        <v>44</v>
      </c>
      <c r="F58" s="375">
        <v>0.44</v>
      </c>
      <c r="H58" s="271" t="s">
        <v>285</v>
      </c>
      <c r="I58" s="376">
        <v>0.31</v>
      </c>
    </row>
    <row r="59" spans="1:21">
      <c r="A59" s="1" t="s">
        <v>286</v>
      </c>
      <c r="B59" s="177">
        <v>0.28999999999999998</v>
      </c>
      <c r="C59" s="178">
        <f>B59/B$64</f>
        <v>0.39726027397260272</v>
      </c>
      <c r="E59" s="271" t="s">
        <v>41</v>
      </c>
      <c r="F59" s="375">
        <v>0</v>
      </c>
      <c r="H59" s="271" t="s">
        <v>485</v>
      </c>
      <c r="I59" s="376">
        <v>0.17</v>
      </c>
    </row>
    <row r="60" spans="1:21">
      <c r="A60" s="1" t="s">
        <v>287</v>
      </c>
      <c r="B60" s="177">
        <v>0.13</v>
      </c>
      <c r="C60" s="178">
        <f>B60/B$64</f>
        <v>0.17808219178082194</v>
      </c>
      <c r="G60" s="377"/>
      <c r="H60" s="271" t="s">
        <v>486</v>
      </c>
      <c r="I60" s="376">
        <v>0.05</v>
      </c>
    </row>
    <row r="61" spans="1:21">
      <c r="A61" s="1" t="s">
        <v>288</v>
      </c>
      <c r="B61" s="177">
        <v>0.13</v>
      </c>
      <c r="C61" s="178">
        <f>B61/B$64</f>
        <v>0.17808219178082194</v>
      </c>
      <c r="H61" s="271" t="s">
        <v>487</v>
      </c>
      <c r="I61" s="376">
        <v>0.02</v>
      </c>
    </row>
    <row r="62" spans="1:21">
      <c r="A62" s="1" t="s">
        <v>289</v>
      </c>
      <c r="B62" s="177">
        <v>0.25</v>
      </c>
      <c r="C62" s="1"/>
      <c r="H62" s="271" t="s">
        <v>488</v>
      </c>
      <c r="I62" s="376">
        <v>0.15</v>
      </c>
    </row>
    <row r="63" spans="1:21">
      <c r="A63" s="179" t="s">
        <v>23</v>
      </c>
      <c r="B63" s="180">
        <f>SUM(B57:B62)</f>
        <v>0.98</v>
      </c>
      <c r="C63" s="180">
        <f>SUM(C57:C62)</f>
        <v>1</v>
      </c>
    </row>
    <row r="64" spans="1:21">
      <c r="A64" s="181" t="s">
        <v>290</v>
      </c>
      <c r="B64" s="182">
        <f>SUM(B57:B61)</f>
        <v>0.73</v>
      </c>
      <c r="C64" s="181"/>
      <c r="D64" s="35"/>
      <c r="E64" s="35"/>
      <c r="F64" s="35"/>
      <c r="G64" s="35"/>
      <c r="H64" s="35"/>
      <c r="I64" s="35"/>
      <c r="J64" s="35"/>
      <c r="K64" s="35"/>
      <c r="L64" s="35"/>
    </row>
    <row r="65" spans="1:24">
      <c r="A65" s="181"/>
      <c r="B65" s="182"/>
      <c r="C65" s="181"/>
      <c r="D65" s="35"/>
      <c r="E65" s="35"/>
      <c r="F65" s="35"/>
      <c r="G65" s="35"/>
      <c r="H65" s="35"/>
      <c r="I65" s="35"/>
      <c r="J65" s="35"/>
      <c r="K65" s="35"/>
      <c r="L65" s="35"/>
    </row>
    <row r="66" spans="1:24">
      <c r="A66" s="414" t="s">
        <v>152</v>
      </c>
      <c r="B66" s="414"/>
      <c r="C66" s="414"/>
      <c r="D66" s="414"/>
      <c r="E66" s="414"/>
      <c r="F66" s="414"/>
      <c r="G66" s="414"/>
      <c r="H66" s="414"/>
      <c r="I66" s="414"/>
      <c r="J66" s="414"/>
      <c r="K66" s="414"/>
      <c r="M66" s="414" t="s">
        <v>153</v>
      </c>
      <c r="N66" s="414"/>
      <c r="O66" s="414"/>
      <c r="P66" s="414"/>
      <c r="Q66" s="414"/>
      <c r="R66" s="414"/>
      <c r="S66" s="414"/>
      <c r="T66" s="414"/>
      <c r="U66" s="414"/>
    </row>
    <row r="68" spans="1:24">
      <c r="A68" s="385" t="s">
        <v>283</v>
      </c>
      <c r="B68" s="386">
        <v>2019</v>
      </c>
      <c r="C68" s="386">
        <v>2020</v>
      </c>
      <c r="D68" s="386">
        <v>2025</v>
      </c>
      <c r="E68" s="386">
        <v>2030</v>
      </c>
      <c r="F68" s="386">
        <v>2035</v>
      </c>
      <c r="G68" s="386">
        <v>2040</v>
      </c>
      <c r="H68" s="386">
        <v>2045</v>
      </c>
      <c r="I68" s="386">
        <v>2050</v>
      </c>
      <c r="J68" s="386" t="s">
        <v>291</v>
      </c>
      <c r="K68" s="386" t="s">
        <v>292</v>
      </c>
      <c r="M68" s="111" t="s">
        <v>283</v>
      </c>
      <c r="N68" s="30">
        <v>2015</v>
      </c>
      <c r="O68" s="30">
        <v>2020</v>
      </c>
      <c r="P68" s="30">
        <v>2025</v>
      </c>
      <c r="Q68" s="30">
        <v>2030</v>
      </c>
      <c r="R68" s="30">
        <v>2035</v>
      </c>
      <c r="S68" s="30">
        <v>2040</v>
      </c>
      <c r="T68" s="30">
        <v>2045</v>
      </c>
      <c r="U68" s="30">
        <v>2050</v>
      </c>
      <c r="W68" t="s">
        <v>291</v>
      </c>
      <c r="X68" t="s">
        <v>292</v>
      </c>
    </row>
    <row r="69" spans="1:24">
      <c r="A69" s="386" t="s">
        <v>284</v>
      </c>
      <c r="B69" s="387">
        <f>B$74*$C57</f>
        <v>100.21873373289316</v>
      </c>
      <c r="C69" s="387">
        <f>C$74*$C57</f>
        <v>105.91736386987945</v>
      </c>
      <c r="D69" s="387">
        <f>$B69+($I69-$B69)*6/31</f>
        <v>96.330200265549706</v>
      </c>
      <c r="E69" s="387">
        <f>$B69+($I69-$B69)*11/31</f>
        <v>93.089755709430179</v>
      </c>
      <c r="F69" s="387">
        <f>$B69+($I69-$B69)*16/31</f>
        <v>89.849311153310637</v>
      </c>
      <c r="G69" s="387">
        <f>$B69+($I69-$B69)*21/31</f>
        <v>86.608866597191096</v>
      </c>
      <c r="H69" s="387">
        <f>$B69+($I69-$B69)*26/31</f>
        <v>83.368422041071568</v>
      </c>
      <c r="I69" s="387">
        <f>B69*J69*K69</f>
        <v>80.127977484952027</v>
      </c>
      <c r="J69" s="386">
        <v>0.6</v>
      </c>
      <c r="K69" s="388">
        <f>I27/B27</f>
        <v>1.3325515516641866</v>
      </c>
      <c r="M69" s="30" t="s">
        <v>284</v>
      </c>
      <c r="N69" s="30">
        <v>51</v>
      </c>
      <c r="O69" s="30"/>
      <c r="P69" s="30"/>
      <c r="Q69" s="30"/>
      <c r="R69" s="30"/>
      <c r="S69" s="30"/>
      <c r="T69" s="30"/>
      <c r="U69" s="30">
        <v>17</v>
      </c>
      <c r="W69">
        <v>0.25</v>
      </c>
      <c r="X69">
        <v>1.29812437895094</v>
      </c>
    </row>
    <row r="70" spans="1:24">
      <c r="A70" s="386" t="s">
        <v>285</v>
      </c>
      <c r="B70" s="387">
        <f>B$74*C58</f>
        <v>350.76556806512605</v>
      </c>
      <c r="C70" s="387">
        <f>C$74*$C58</f>
        <v>370.7107735445781</v>
      </c>
      <c r="D70" s="387">
        <f>$B70+($I70-$B70)*6/31</f>
        <v>355.24911520021965</v>
      </c>
      <c r="E70" s="387">
        <f>$B70+($I70-$B70)*11/31</f>
        <v>358.98540447946431</v>
      </c>
      <c r="F70" s="387">
        <f>$B70+($I70-$B70)*16/31</f>
        <v>362.72169375870897</v>
      </c>
      <c r="G70" s="387">
        <f>$B70+($I70-$B70)*21/31</f>
        <v>366.45798303795362</v>
      </c>
      <c r="H70" s="387">
        <f>$B70+($I70-$B70)*26/31</f>
        <v>370.19427231719828</v>
      </c>
      <c r="I70" s="387">
        <f>B70*J70*K70</f>
        <v>373.93056159644294</v>
      </c>
      <c r="J70" s="386">
        <v>1</v>
      </c>
      <c r="K70" s="388">
        <f>0.8*I27/B27</f>
        <v>1.0660412413313496</v>
      </c>
      <c r="M70" s="30" t="s">
        <v>285</v>
      </c>
      <c r="N70" s="30">
        <v>175</v>
      </c>
      <c r="O70" s="30"/>
      <c r="P70" s="30"/>
      <c r="Q70" s="30"/>
      <c r="R70" s="30"/>
      <c r="S70" s="30"/>
      <c r="T70" s="30"/>
      <c r="U70" s="30">
        <v>133</v>
      </c>
      <c r="W70">
        <v>0.9</v>
      </c>
      <c r="X70">
        <v>0.84618478035320199</v>
      </c>
    </row>
    <row r="71" spans="1:24">
      <c r="A71" s="386" t="s">
        <v>286</v>
      </c>
      <c r="B71" s="387">
        <f>B$74*C59</f>
        <v>726.5858195634753</v>
      </c>
      <c r="C71" s="387">
        <f>C$74*$C59</f>
        <v>767.90088805662594</v>
      </c>
      <c r="D71" s="387">
        <f>$B71+($I71-$B71)*6/31</f>
        <v>810.83159775089382</v>
      </c>
      <c r="E71" s="387">
        <f>$B71+($I71-$B71)*11/31</f>
        <v>881.03641290707594</v>
      </c>
      <c r="F71" s="387">
        <f>$B71+($I71-$B71)*16/31</f>
        <v>951.24122806325795</v>
      </c>
      <c r="G71" s="387">
        <f>$B71+($I71-$B71)*21/31</f>
        <v>1021.4460432194401</v>
      </c>
      <c r="H71" s="387">
        <f>$B71+($I71-$B71)*26/31</f>
        <v>1091.6508583756222</v>
      </c>
      <c r="I71" s="387">
        <f>B71*J71*K71</f>
        <v>1161.8556735318043</v>
      </c>
      <c r="J71" s="386">
        <v>1</v>
      </c>
      <c r="K71" s="388">
        <f>1.2*I27/B27</f>
        <v>1.5990618619970238</v>
      </c>
      <c r="M71" s="30" t="s">
        <v>286</v>
      </c>
      <c r="N71" s="30">
        <v>360</v>
      </c>
      <c r="O71" s="30"/>
      <c r="P71" s="30"/>
      <c r="Q71" s="30"/>
      <c r="R71" s="30"/>
      <c r="S71" s="30"/>
      <c r="T71" s="30"/>
      <c r="U71" s="30">
        <v>224</v>
      </c>
      <c r="W71">
        <v>0.4</v>
      </c>
      <c r="X71">
        <v>1.55774925474112</v>
      </c>
    </row>
    <row r="72" spans="1:24">
      <c r="A72" s="386" t="s">
        <v>293</v>
      </c>
      <c r="B72" s="387">
        <f>B$74*C60</f>
        <v>325.71088463190273</v>
      </c>
      <c r="C72" s="387">
        <f>C$74*$C60</f>
        <v>344.23143257710825</v>
      </c>
      <c r="D72" s="387">
        <f>$B72+($I72-$B72)*6/31</f>
        <v>355.07571970595495</v>
      </c>
      <c r="E72" s="387">
        <f>$B72+($I72-$B72)*11/31</f>
        <v>379.5464156009985</v>
      </c>
      <c r="F72" s="387">
        <f>$B72+($I72-$B72)*16/31</f>
        <v>404.01711149604205</v>
      </c>
      <c r="G72" s="387">
        <f>$B72+($I72-$B72)*21/31</f>
        <v>428.48780739108554</v>
      </c>
      <c r="H72" s="387">
        <f>$B72+($I72-$B72)*26/31</f>
        <v>452.95850328612909</v>
      </c>
      <c r="I72" s="387">
        <f>B72*J72*K72</f>
        <v>477.42919918117263</v>
      </c>
      <c r="J72" s="386">
        <v>1</v>
      </c>
      <c r="K72" s="388">
        <f>1.1*I27/B27</f>
        <v>1.4658067068306055</v>
      </c>
      <c r="M72" s="30" t="s">
        <v>293</v>
      </c>
      <c r="N72" s="30">
        <v>164</v>
      </c>
      <c r="O72" s="30"/>
      <c r="P72" s="30"/>
      <c r="Q72" s="30"/>
      <c r="R72" s="30"/>
      <c r="S72" s="30"/>
      <c r="T72" s="30"/>
      <c r="U72" s="30">
        <v>117</v>
      </c>
      <c r="W72">
        <v>0.5</v>
      </c>
      <c r="X72">
        <v>1.42793681684603</v>
      </c>
    </row>
    <row r="73" spans="1:24">
      <c r="A73" s="386" t="s">
        <v>288</v>
      </c>
      <c r="B73" s="387">
        <f>B$74*C61</f>
        <v>325.71088463190273</v>
      </c>
      <c r="C73" s="387">
        <f>C$74*$C61</f>
        <v>344.23143257710825</v>
      </c>
      <c r="D73" s="387">
        <f>$B73+($I73-$B73)*6/31</f>
        <v>330.69596779060879</v>
      </c>
      <c r="E73" s="387">
        <f>$B73+($I73-$B73)*11/31</f>
        <v>334.85020375619712</v>
      </c>
      <c r="F73" s="387">
        <f>$B73+($I73-$B73)*16/31</f>
        <v>339.0044397217855</v>
      </c>
      <c r="G73" s="387">
        <f>$B73+($I73-$B73)*21/31</f>
        <v>343.15867568737389</v>
      </c>
      <c r="H73" s="387">
        <f>$B73+($I73-$B73)*26/31</f>
        <v>347.31291165296221</v>
      </c>
      <c r="I73" s="387">
        <f>B73*J73*K73</f>
        <v>351.4671476185506</v>
      </c>
      <c r="J73" s="386">
        <v>1</v>
      </c>
      <c r="K73" s="388">
        <f>I25/B25</f>
        <v>1.0790770717280631</v>
      </c>
      <c r="M73" s="30" t="s">
        <v>288</v>
      </c>
      <c r="N73" s="30">
        <v>164</v>
      </c>
      <c r="O73" s="30"/>
      <c r="P73" s="30"/>
      <c r="Q73" s="30"/>
      <c r="R73" s="30"/>
      <c r="S73" s="30"/>
      <c r="T73" s="30"/>
      <c r="U73" s="30">
        <v>139</v>
      </c>
      <c r="W73">
        <v>0.8</v>
      </c>
      <c r="X73">
        <v>1.0577309754415001</v>
      </c>
    </row>
    <row r="74" spans="1:24">
      <c r="A74" s="389" t="s">
        <v>23</v>
      </c>
      <c r="B74" s="390">
        <f>'Bilan d''énergie SDES historique'!J60-B137</f>
        <v>1828.9918906252999</v>
      </c>
      <c r="C74" s="391">
        <f>'Bilan d''énergie SDES historique'!J28-'Résidentiel-tertiaire'!C137</f>
        <v>1932.9918906252999</v>
      </c>
      <c r="D74" s="391">
        <f t="shared" ref="D74:I74" si="9">SUM(D69:D73)</f>
        <v>1948.182600713227</v>
      </c>
      <c r="E74" s="391">
        <f t="shared" si="9"/>
        <v>2047.508192453166</v>
      </c>
      <c r="F74" s="391">
        <f t="shared" si="9"/>
        <v>2146.8337841931052</v>
      </c>
      <c r="G74" s="391">
        <f t="shared" si="9"/>
        <v>2246.1593759330444</v>
      </c>
      <c r="H74" s="391">
        <f t="shared" si="9"/>
        <v>2345.4849676729832</v>
      </c>
      <c r="I74" s="391">
        <f t="shared" si="9"/>
        <v>2444.810559412922</v>
      </c>
      <c r="J74" s="386"/>
      <c r="K74" s="386"/>
      <c r="M74" s="91" t="s">
        <v>23</v>
      </c>
      <c r="N74" s="110" t="s">
        <v>161</v>
      </c>
      <c r="O74" s="91"/>
      <c r="P74" s="91"/>
      <c r="Q74" s="91"/>
      <c r="R74" s="91"/>
      <c r="S74" s="91"/>
      <c r="T74" s="91"/>
      <c r="U74" s="110" t="s">
        <v>294</v>
      </c>
    </row>
    <row r="75" spans="1:24" ht="27" customHeight="1">
      <c r="A75" s="434" t="s">
        <v>451</v>
      </c>
      <c r="B75" s="434"/>
      <c r="C75" s="434"/>
      <c r="D75" s="434"/>
      <c r="E75" s="434"/>
      <c r="F75" s="434"/>
      <c r="G75" s="434"/>
      <c r="H75" s="434"/>
      <c r="I75" s="434"/>
      <c r="J75" s="434"/>
      <c r="K75" s="434"/>
      <c r="W75" t="s">
        <v>295</v>
      </c>
      <c r="X75" t="s">
        <v>296</v>
      </c>
    </row>
    <row r="76" spans="1:24">
      <c r="A76" s="337"/>
      <c r="B76" s="337"/>
      <c r="C76" s="337"/>
      <c r="D76" s="337"/>
      <c r="E76" s="337"/>
      <c r="F76" s="337"/>
      <c r="G76" s="337"/>
      <c r="H76" s="337"/>
      <c r="I76" s="337"/>
      <c r="J76" s="337"/>
      <c r="K76" s="337"/>
    </row>
    <row r="77" spans="1:24">
      <c r="A77" s="271" t="s">
        <v>489</v>
      </c>
      <c r="B77" s="271">
        <v>2019</v>
      </c>
      <c r="C77" s="271">
        <v>2020</v>
      </c>
      <c r="D77" s="271">
        <v>2025</v>
      </c>
      <c r="E77" s="271">
        <v>2030</v>
      </c>
      <c r="F77" s="271">
        <v>2035</v>
      </c>
      <c r="G77" s="271">
        <v>2040</v>
      </c>
      <c r="H77" s="271">
        <v>2045</v>
      </c>
      <c r="I77" s="271">
        <v>2050</v>
      </c>
      <c r="J77" s="271" t="s">
        <v>422</v>
      </c>
      <c r="K77" s="337"/>
    </row>
    <row r="78" spans="1:24">
      <c r="A78" s="271" t="s">
        <v>490</v>
      </c>
      <c r="B78" s="271">
        <v>0</v>
      </c>
      <c r="C78" s="271">
        <v>0</v>
      </c>
      <c r="D78" s="271">
        <v>150</v>
      </c>
      <c r="E78" s="271">
        <v>235</v>
      </c>
      <c r="F78" s="271">
        <v>270</v>
      </c>
      <c r="G78" s="271">
        <v>280</v>
      </c>
      <c r="H78" s="271">
        <v>285</v>
      </c>
      <c r="I78" s="271">
        <v>288</v>
      </c>
      <c r="J78" s="271"/>
      <c r="K78" s="337"/>
    </row>
    <row r="79" spans="1:24">
      <c r="A79" s="378" t="s">
        <v>491</v>
      </c>
      <c r="B79" s="379">
        <f>'Bilan d''énergie SDES historique'!J60-B142</f>
        <v>1828.998551587898</v>
      </c>
      <c r="C79" s="379">
        <f>'Bilan d''énergie SDES historique'!J28-'Résidentiel-tertiaire'!C137</f>
        <v>1932.9918906252999</v>
      </c>
      <c r="D79" s="379">
        <f>($B$79-D78*$F$57*(1-$I$59))*D$27/$C$27</f>
        <v>1860.927202509768</v>
      </c>
      <c r="E79" s="379">
        <f t="shared" ref="E79:I79" si="10">($B$79-E78*$F$57*(1-$I$59))*E$27/$C$27</f>
        <v>1905.8746025577577</v>
      </c>
      <c r="F79" s="379">
        <f t="shared" si="10"/>
        <v>1972.761178668075</v>
      </c>
      <c r="G79" s="379">
        <f t="shared" si="10"/>
        <v>2053.2107981183735</v>
      </c>
      <c r="H79" s="379">
        <f t="shared" si="10"/>
        <v>2130.4133133836749</v>
      </c>
      <c r="I79" s="379">
        <f t="shared" si="10"/>
        <v>2207.1066677195004</v>
      </c>
      <c r="J79" s="271"/>
      <c r="K79" s="337"/>
    </row>
    <row r="80" spans="1:24" ht="45" customHeight="1">
      <c r="A80" s="436" t="s">
        <v>502</v>
      </c>
      <c r="B80" s="436"/>
      <c r="C80" s="436"/>
      <c r="D80" s="436"/>
      <c r="E80" s="436"/>
      <c r="F80" s="436"/>
      <c r="G80" s="436"/>
      <c r="H80" s="436"/>
      <c r="I80" s="436"/>
      <c r="J80" s="436"/>
      <c r="K80" s="337"/>
    </row>
    <row r="81" spans="1:24">
      <c r="A81" s="337"/>
      <c r="B81" s="337"/>
      <c r="C81" s="337"/>
      <c r="D81" s="337"/>
      <c r="E81" s="337"/>
      <c r="F81" s="337"/>
      <c r="G81" s="337"/>
      <c r="H81" s="337"/>
      <c r="I81" s="337"/>
      <c r="J81" s="337"/>
      <c r="K81" s="337"/>
    </row>
    <row r="82" spans="1:24">
      <c r="A82" s="414" t="s">
        <v>158</v>
      </c>
      <c r="B82" s="414"/>
      <c r="C82" s="414"/>
      <c r="D82" s="414"/>
      <c r="E82" s="414"/>
      <c r="F82" s="414"/>
      <c r="G82" s="414"/>
      <c r="H82" s="414"/>
      <c r="I82" s="414"/>
      <c r="J82" s="414"/>
      <c r="K82" s="414"/>
      <c r="M82" s="414" t="s">
        <v>159</v>
      </c>
      <c r="N82" s="414"/>
      <c r="O82" s="414"/>
      <c r="P82" s="414"/>
      <c r="Q82" s="414"/>
      <c r="R82" s="414"/>
      <c r="S82" s="414"/>
      <c r="T82" s="414"/>
      <c r="U82" s="414"/>
    </row>
    <row r="84" spans="1:24">
      <c r="A84" s="183" t="s">
        <v>283</v>
      </c>
      <c r="B84" s="1">
        <v>2019</v>
      </c>
      <c r="C84" s="30">
        <v>2020</v>
      </c>
      <c r="D84" s="30">
        <v>2025</v>
      </c>
      <c r="E84" s="30">
        <v>2030</v>
      </c>
      <c r="F84" s="30">
        <v>2035</v>
      </c>
      <c r="G84" s="30">
        <v>2040</v>
      </c>
      <c r="H84" s="30">
        <v>2045</v>
      </c>
      <c r="I84" s="30">
        <v>2050</v>
      </c>
      <c r="J84" s="1" t="s">
        <v>291</v>
      </c>
      <c r="K84" s="1" t="s">
        <v>292</v>
      </c>
      <c r="M84" s="111" t="s">
        <v>283</v>
      </c>
      <c r="N84" s="30">
        <v>2015</v>
      </c>
      <c r="O84" s="30">
        <v>2020</v>
      </c>
      <c r="P84" s="30">
        <v>2025</v>
      </c>
      <c r="Q84" s="30">
        <v>2030</v>
      </c>
      <c r="R84" s="30">
        <v>2035</v>
      </c>
      <c r="S84" s="30">
        <v>2040</v>
      </c>
      <c r="T84" s="30">
        <v>2045</v>
      </c>
      <c r="U84" s="30">
        <v>2050</v>
      </c>
      <c r="W84" t="s">
        <v>291</v>
      </c>
      <c r="X84" t="s">
        <v>292</v>
      </c>
    </row>
    <row r="85" spans="1:24">
      <c r="A85" s="30" t="s">
        <v>284</v>
      </c>
      <c r="B85" s="175">
        <f>B$90*$C57</f>
        <v>100.21873373289316</v>
      </c>
      <c r="C85" s="171">
        <f>$B85+($I85-$B85)*5/35</f>
        <v>90.671294240393664</v>
      </c>
      <c r="D85" s="171">
        <f>$B85+($I85-$B85)*6/31</f>
        <v>87.283493130151911</v>
      </c>
      <c r="E85" s="171">
        <f>$B85+($I85-$B85)*11/31</f>
        <v>76.504125961200856</v>
      </c>
      <c r="F85" s="171">
        <f>$B85+($I85-$B85)*16/31</f>
        <v>65.724758792249816</v>
      </c>
      <c r="G85" s="171">
        <f>$B85+($I85-$B85)*21/31</f>
        <v>54.945391623298782</v>
      </c>
      <c r="H85" s="171">
        <f>$B85+($I85-$B85)*26/31</f>
        <v>44.166024454347742</v>
      </c>
      <c r="I85" s="168">
        <f>B85*J85*K85</f>
        <v>33.386657285396687</v>
      </c>
      <c r="J85" s="1">
        <v>0.25</v>
      </c>
      <c r="K85" s="184">
        <f>I42/B42</f>
        <v>1.3325515516641866</v>
      </c>
      <c r="M85" s="30" t="s">
        <v>284</v>
      </c>
      <c r="N85" s="30">
        <v>51.404494382022499</v>
      </c>
      <c r="O85" s="30"/>
      <c r="P85" s="30"/>
      <c r="Q85" s="30"/>
      <c r="R85" s="30"/>
      <c r="S85" s="30"/>
      <c r="T85" s="30"/>
      <c r="U85" s="30">
        <v>17.396810288791901</v>
      </c>
      <c r="W85">
        <v>0.25</v>
      </c>
      <c r="X85">
        <v>1.3537190082644599</v>
      </c>
    </row>
    <row r="86" spans="1:24">
      <c r="A86" s="30" t="s">
        <v>285</v>
      </c>
      <c r="B86" s="175">
        <f>B$90*$C58</f>
        <v>350.76556806512605</v>
      </c>
      <c r="C86" s="171">
        <f>$B86+($I86-$B86)*5/35</f>
        <v>348.73298768965071</v>
      </c>
      <c r="D86" s="171">
        <f>$B86+($I86-$B86)*6/31</f>
        <v>348.01174949190141</v>
      </c>
      <c r="E86" s="171">
        <f>$B86+($I86-$B86)*11/31</f>
        <v>345.71690068088083</v>
      </c>
      <c r="F86" s="171">
        <f>$B86+($I86-$B86)*16/31</f>
        <v>343.4220518698603</v>
      </c>
      <c r="G86" s="171">
        <f>$B86+($I86-$B86)*21/31</f>
        <v>341.12720305883977</v>
      </c>
      <c r="H86" s="171">
        <f>$B86+($I86-$B86)*26/31</f>
        <v>338.83235424781918</v>
      </c>
      <c r="I86" s="168">
        <f>B86*J86*K86</f>
        <v>336.53750543679865</v>
      </c>
      <c r="J86" s="1">
        <v>0.9</v>
      </c>
      <c r="K86" s="184">
        <f>0.8*I42/B42</f>
        <v>1.0660412413313496</v>
      </c>
      <c r="M86" s="30" t="s">
        <v>285</v>
      </c>
      <c r="N86" s="30">
        <v>174.77528089887599</v>
      </c>
      <c r="O86" s="30"/>
      <c r="P86" s="30"/>
      <c r="Q86" s="30"/>
      <c r="R86" s="30"/>
      <c r="S86" s="30"/>
      <c r="T86" s="30"/>
      <c r="U86" s="30">
        <v>138.80335035750801</v>
      </c>
      <c r="W86">
        <v>0.9</v>
      </c>
      <c r="X86">
        <v>0.882424242424242</v>
      </c>
    </row>
    <row r="87" spans="1:24">
      <c r="A87" s="30" t="s">
        <v>286</v>
      </c>
      <c r="B87" s="175">
        <f>B$90*$C59</f>
        <v>726.5858195634753</v>
      </c>
      <c r="C87" s="171">
        <f>$B87+($I87-$B87)*5/35</f>
        <v>689.17959811336766</v>
      </c>
      <c r="D87" s="171">
        <f>$B87+($I87-$B87)*6/31</f>
        <v>675.90642276010362</v>
      </c>
      <c r="E87" s="171">
        <f>$B87+($I87-$B87)*11/31</f>
        <v>633.67359209062727</v>
      </c>
      <c r="F87" s="171">
        <f>$B87+($I87-$B87)*16/31</f>
        <v>591.44076142115091</v>
      </c>
      <c r="G87" s="171">
        <f>$B87+($I87-$B87)*21/31</f>
        <v>549.20793075167455</v>
      </c>
      <c r="H87" s="171">
        <f>$B87+($I87-$B87)*26/31</f>
        <v>506.97510008219814</v>
      </c>
      <c r="I87" s="168">
        <f>B87*J87*K87</f>
        <v>464.74226941272178</v>
      </c>
      <c r="J87" s="1">
        <v>0.4</v>
      </c>
      <c r="K87" s="184">
        <f>1.2*I42/B42</f>
        <v>1.5990618619970238</v>
      </c>
      <c r="M87" s="30" t="s">
        <v>286</v>
      </c>
      <c r="N87" s="30">
        <v>359.83146067415697</v>
      </c>
      <c r="O87" s="30"/>
      <c r="P87" s="30"/>
      <c r="Q87" s="30"/>
      <c r="R87" s="30"/>
      <c r="S87" s="30"/>
      <c r="T87" s="30"/>
      <c r="U87" s="30">
        <v>233.81313028136401</v>
      </c>
      <c r="W87">
        <v>0.4</v>
      </c>
      <c r="X87">
        <v>1.6244628099173599</v>
      </c>
    </row>
    <row r="88" spans="1:24">
      <c r="A88" s="30" t="s">
        <v>293</v>
      </c>
      <c r="B88" s="175">
        <f>B$90*$C60</f>
        <v>325.71088463190273</v>
      </c>
      <c r="C88" s="171">
        <f>$B88+($I88-$B88)*5/35</f>
        <v>313.28284391171468</v>
      </c>
      <c r="D88" s="171">
        <f>$B88+($I88-$B88)*6/31</f>
        <v>308.87289397874474</v>
      </c>
      <c r="E88" s="171">
        <f>$B88+($I88-$B88)*11/31</f>
        <v>294.84123510111306</v>
      </c>
      <c r="F88" s="171">
        <f>$B88+($I88-$B88)*16/31</f>
        <v>280.80957622348137</v>
      </c>
      <c r="G88" s="171">
        <f>$B88+($I88-$B88)*21/31</f>
        <v>266.77791734584969</v>
      </c>
      <c r="H88" s="171">
        <f>$B88+($I88-$B88)*26/31</f>
        <v>252.746258468218</v>
      </c>
      <c r="I88" s="168">
        <f>B88*J88*K88</f>
        <v>238.71459959058632</v>
      </c>
      <c r="J88" s="1">
        <v>0.5</v>
      </c>
      <c r="K88" s="184">
        <f>1.1*I42/B42</f>
        <v>1.4658067068306055</v>
      </c>
      <c r="M88" s="30" t="s">
        <v>293</v>
      </c>
      <c r="N88" s="30">
        <v>164.494382022472</v>
      </c>
      <c r="O88" s="30"/>
      <c r="P88" s="30"/>
      <c r="Q88" s="30"/>
      <c r="R88" s="30"/>
      <c r="S88" s="30"/>
      <c r="T88" s="30"/>
      <c r="U88" s="30">
        <v>122.473544433095</v>
      </c>
      <c r="W88">
        <v>0.5</v>
      </c>
      <c r="X88">
        <v>1.4890909090909099</v>
      </c>
    </row>
    <row r="89" spans="1:24">
      <c r="A89" s="30" t="s">
        <v>288</v>
      </c>
      <c r="B89" s="175">
        <f>B$90*$C61</f>
        <v>325.71088463190273</v>
      </c>
      <c r="C89" s="171">
        <f>$B89+($I89-$B89)*5/35</f>
        <v>319.34843226946526</v>
      </c>
      <c r="D89" s="171">
        <f>$B89+($I89-$B89)*6/31</f>
        <v>317.0907878827939</v>
      </c>
      <c r="E89" s="171">
        <f>$B89+($I89-$B89)*11/31</f>
        <v>309.90737392520322</v>
      </c>
      <c r="F89" s="171">
        <f>$B89+($I89-$B89)*16/31</f>
        <v>302.72395996761253</v>
      </c>
      <c r="G89" s="171">
        <f>$B89+($I89-$B89)*21/31</f>
        <v>295.54054601002184</v>
      </c>
      <c r="H89" s="171">
        <f>$B89+($I89-$B89)*26/31</f>
        <v>288.35713205243115</v>
      </c>
      <c r="I89" s="168">
        <f>B89*J89*K89</f>
        <v>281.17371809484047</v>
      </c>
      <c r="J89" s="1">
        <v>0.8</v>
      </c>
      <c r="K89" s="184">
        <f>I40/B40</f>
        <v>1.0790770717280631</v>
      </c>
      <c r="M89" s="30" t="s">
        <v>288</v>
      </c>
      <c r="N89" s="30">
        <v>164.494382022472</v>
      </c>
      <c r="O89" s="30"/>
      <c r="P89" s="30"/>
      <c r="Q89" s="30"/>
      <c r="R89" s="30"/>
      <c r="S89" s="30"/>
      <c r="T89" s="30"/>
      <c r="U89" s="30">
        <v>145.15383043922299</v>
      </c>
      <c r="W89">
        <v>0.8</v>
      </c>
      <c r="X89">
        <v>1.1030303030302999</v>
      </c>
    </row>
    <row r="90" spans="1:24">
      <c r="A90" s="91" t="s">
        <v>23</v>
      </c>
      <c r="B90" s="185">
        <f>B74</f>
        <v>1828.9918906252999</v>
      </c>
      <c r="C90" s="186">
        <f>C74</f>
        <v>1932.9918906252999</v>
      </c>
      <c r="D90" s="186">
        <f t="shared" ref="D90:I90" si="11">SUM(D85:D89)</f>
        <v>1737.1653472436956</v>
      </c>
      <c r="E90" s="186">
        <f t="shared" si="11"/>
        <v>1660.6432277590254</v>
      </c>
      <c r="F90" s="186">
        <f t="shared" si="11"/>
        <v>1584.1211082743548</v>
      </c>
      <c r="G90" s="186">
        <f t="shared" si="11"/>
        <v>1507.5989887896849</v>
      </c>
      <c r="H90" s="186">
        <f t="shared" si="11"/>
        <v>1431.076869305014</v>
      </c>
      <c r="I90" s="186">
        <f t="shared" si="11"/>
        <v>1354.5547498203439</v>
      </c>
      <c r="J90" s="1"/>
      <c r="K90" s="1"/>
      <c r="M90" s="91" t="s">
        <v>23</v>
      </c>
      <c r="N90" s="91">
        <v>1220</v>
      </c>
      <c r="O90" s="91"/>
      <c r="P90" s="91"/>
      <c r="Q90" s="91"/>
      <c r="R90" s="91"/>
      <c r="S90" s="91"/>
      <c r="T90" s="91"/>
      <c r="U90" s="91">
        <v>967.624595356236</v>
      </c>
      <c r="V90" t="s">
        <v>297</v>
      </c>
    </row>
    <row r="91" spans="1:24" ht="27.6" customHeight="1">
      <c r="A91" s="436" t="s">
        <v>452</v>
      </c>
      <c r="B91" s="436"/>
      <c r="C91" s="436"/>
      <c r="D91" s="436"/>
      <c r="E91" s="436"/>
      <c r="F91" s="436"/>
      <c r="G91" s="436"/>
      <c r="H91" s="436"/>
      <c r="I91" s="436"/>
      <c r="J91" s="436"/>
      <c r="K91" s="436"/>
      <c r="W91" t="s">
        <v>295</v>
      </c>
      <c r="X91" t="s">
        <v>296</v>
      </c>
    </row>
    <row r="93" spans="1:24">
      <c r="A93" s="435" t="s">
        <v>298</v>
      </c>
      <c r="B93" s="435"/>
      <c r="C93" s="435"/>
      <c r="D93" s="435"/>
      <c r="E93" s="435"/>
      <c r="F93" s="435"/>
      <c r="G93" s="435"/>
      <c r="H93" s="435"/>
      <c r="I93" s="435"/>
      <c r="J93" s="435"/>
      <c r="K93" s="435"/>
    </row>
    <row r="95" spans="1:24">
      <c r="A95" s="414" t="s">
        <v>55</v>
      </c>
      <c r="B95" s="414"/>
      <c r="C95" s="414"/>
      <c r="D95" s="414"/>
      <c r="E95" s="414"/>
      <c r="F95" s="414"/>
      <c r="G95" s="414"/>
      <c r="H95" s="414"/>
      <c r="I95" s="414"/>
      <c r="J95" s="414"/>
      <c r="K95" s="414"/>
    </row>
    <row r="96" spans="1:24">
      <c r="B96" t="s">
        <v>299</v>
      </c>
    </row>
    <row r="97" spans="1:24">
      <c r="A97" s="176" t="s">
        <v>44</v>
      </c>
      <c r="B97" s="1" t="s">
        <v>300</v>
      </c>
      <c r="C97" s="1" t="s">
        <v>282</v>
      </c>
    </row>
    <row r="98" spans="1:24">
      <c r="A98" s="1" t="s">
        <v>284</v>
      </c>
      <c r="B98" s="177">
        <v>0.13</v>
      </c>
      <c r="C98" s="142">
        <f>B98/B$102</f>
        <v>0.25490196078431371</v>
      </c>
    </row>
    <row r="99" spans="1:24">
      <c r="A99" s="1" t="s">
        <v>301</v>
      </c>
      <c r="B99" s="177">
        <v>7.0000000000000007E-2</v>
      </c>
      <c r="C99" s="142">
        <f>B99/B$102</f>
        <v>0.13725490196078433</v>
      </c>
    </row>
    <row r="100" spans="1:24">
      <c r="A100" s="1" t="s">
        <v>285</v>
      </c>
      <c r="B100" s="187">
        <v>0.04</v>
      </c>
      <c r="C100" s="142">
        <f>B100/B$102</f>
        <v>7.8431372549019607E-2</v>
      </c>
    </row>
    <row r="101" spans="1:24">
      <c r="A101" s="1" t="s">
        <v>302</v>
      </c>
      <c r="B101" s="187">
        <v>0.27</v>
      </c>
      <c r="C101" s="142">
        <f>B101/B$102</f>
        <v>0.52941176470588236</v>
      </c>
    </row>
    <row r="102" spans="1:24">
      <c r="A102" s="179" t="s">
        <v>303</v>
      </c>
      <c r="B102" s="180">
        <f>SUM(B98:B101)</f>
        <v>0.51</v>
      </c>
      <c r="C102" s="180">
        <f>SUM(C98:C101)</f>
        <v>1</v>
      </c>
    </row>
    <row r="104" spans="1:24">
      <c r="A104" s="414" t="s">
        <v>152</v>
      </c>
      <c r="B104" s="414"/>
      <c r="C104" s="414"/>
      <c r="D104" s="414"/>
      <c r="E104" s="414"/>
      <c r="F104" s="414"/>
      <c r="G104" s="414"/>
      <c r="H104" s="414"/>
      <c r="I104" s="414"/>
      <c r="J104" s="414"/>
      <c r="K104" s="414"/>
      <c r="M104" s="414" t="s">
        <v>153</v>
      </c>
      <c r="N104" s="414"/>
      <c r="O104" s="414"/>
      <c r="P104" s="414"/>
      <c r="Q104" s="414"/>
      <c r="R104" s="414"/>
      <c r="S104" s="414"/>
      <c r="T104" s="414"/>
      <c r="U104" s="414"/>
    </row>
    <row r="106" spans="1:24">
      <c r="A106" s="385" t="s">
        <v>44</v>
      </c>
      <c r="B106" s="386">
        <v>2019</v>
      </c>
      <c r="C106" s="386">
        <v>2020</v>
      </c>
      <c r="D106" s="386">
        <v>2025</v>
      </c>
      <c r="E106" s="386">
        <v>2030</v>
      </c>
      <c r="F106" s="386">
        <v>2035</v>
      </c>
      <c r="G106" s="386">
        <v>2040</v>
      </c>
      <c r="H106" s="386">
        <v>2045</v>
      </c>
      <c r="I106" s="386">
        <v>2050</v>
      </c>
      <c r="J106" s="386" t="s">
        <v>291</v>
      </c>
      <c r="K106" s="386" t="s">
        <v>292</v>
      </c>
      <c r="M106" s="111" t="s">
        <v>44</v>
      </c>
      <c r="N106" s="30">
        <v>2015</v>
      </c>
      <c r="O106" s="30">
        <v>2020</v>
      </c>
      <c r="P106" s="30">
        <v>2025</v>
      </c>
      <c r="Q106" s="30">
        <v>2030</v>
      </c>
      <c r="R106" s="30">
        <v>2035</v>
      </c>
      <c r="S106" s="30">
        <v>2040</v>
      </c>
      <c r="T106" s="30">
        <v>2045</v>
      </c>
      <c r="U106" s="30">
        <v>2050</v>
      </c>
      <c r="W106" t="s">
        <v>291</v>
      </c>
      <c r="X106" t="s">
        <v>292</v>
      </c>
    </row>
    <row r="107" spans="1:24">
      <c r="A107" s="386" t="s">
        <v>284</v>
      </c>
      <c r="B107" s="387">
        <f t="shared" ref="B107:C110" si="12">B$111*$C98</f>
        <v>273.10038447628398</v>
      </c>
      <c r="C107" s="387">
        <f t="shared" si="12"/>
        <v>247.35528643706829</v>
      </c>
      <c r="D107" s="387">
        <f>$B107+($I107-$B107)*6/31</f>
        <v>240.23327985812705</v>
      </c>
      <c r="E107" s="387">
        <f>$B107+($I107-$B107)*11/31</f>
        <v>212.84402600966291</v>
      </c>
      <c r="F107" s="387">
        <f>$B107+($I107-$B107)*16/31</f>
        <v>185.45477216119878</v>
      </c>
      <c r="G107" s="387">
        <f>$B107+($I107-$B107)*21/31</f>
        <v>158.06551831273467</v>
      </c>
      <c r="H107" s="387">
        <f>$B107+($I107-$B107)*26/31</f>
        <v>130.67626446427056</v>
      </c>
      <c r="I107" s="388">
        <f>B107*J107*K107</f>
        <v>103.28701061580644</v>
      </c>
      <c r="J107" s="386">
        <f>J85</f>
        <v>0.25</v>
      </c>
      <c r="K107" s="388">
        <f>$I$34/$B$34</f>
        <v>1.5128065207799204</v>
      </c>
      <c r="M107" s="30" t="s">
        <v>284</v>
      </c>
      <c r="N107" s="30">
        <v>146</v>
      </c>
      <c r="O107" s="30"/>
      <c r="P107" s="30"/>
      <c r="Q107" s="30"/>
      <c r="R107" s="30"/>
      <c r="S107" s="30"/>
      <c r="T107" s="30"/>
      <c r="U107" s="30">
        <v>95</v>
      </c>
      <c r="W107">
        <v>0.25</v>
      </c>
      <c r="X107">
        <v>2.6102977329026702</v>
      </c>
    </row>
    <row r="108" spans="1:24">
      <c r="A108" s="386" t="s">
        <v>301</v>
      </c>
      <c r="B108" s="387">
        <f t="shared" si="12"/>
        <v>147.05405317953756</v>
      </c>
      <c r="C108" s="387">
        <f t="shared" si="12"/>
        <v>133.19130808149833</v>
      </c>
      <c r="D108" s="387">
        <f>$B108+($I108-$B108)*6/31</f>
        <v>135.81502331695262</v>
      </c>
      <c r="E108" s="387">
        <f>$B108+($I108-$B108)*11/31</f>
        <v>126.44916509813181</v>
      </c>
      <c r="F108" s="387">
        <f>$B108+($I108-$B108)*16/31</f>
        <v>117.08330687931102</v>
      </c>
      <c r="G108" s="387">
        <f>$B108+($I108-$B108)*21/31</f>
        <v>107.71744866049022</v>
      </c>
      <c r="H108" s="387">
        <f>$B108+($I108-$B108)*26/31</f>
        <v>98.35159044166943</v>
      </c>
      <c r="I108" s="388">
        <f>B108*J108*K108</f>
        <v>88.98573222284864</v>
      </c>
      <c r="J108" s="386">
        <v>0.4</v>
      </c>
      <c r="K108" s="388">
        <f>$I$34/$B$34</f>
        <v>1.5128065207799204</v>
      </c>
      <c r="M108" s="30" t="s">
        <v>301</v>
      </c>
      <c r="N108" s="30">
        <v>78</v>
      </c>
      <c r="O108" s="30"/>
      <c r="P108" s="30"/>
      <c r="Q108" s="30"/>
      <c r="R108" s="30"/>
      <c r="S108" s="30"/>
      <c r="T108" s="30"/>
      <c r="U108" s="30">
        <v>82</v>
      </c>
      <c r="W108">
        <v>0.4</v>
      </c>
      <c r="X108">
        <v>2.6102977329026702</v>
      </c>
    </row>
    <row r="109" spans="1:24">
      <c r="A109" s="386" t="s">
        <v>285</v>
      </c>
      <c r="B109" s="387">
        <f t="shared" si="12"/>
        <v>84.030887531164311</v>
      </c>
      <c r="C109" s="387">
        <f t="shared" si="12"/>
        <v>76.10931890371333</v>
      </c>
      <c r="D109" s="387">
        <f>$B109+($I109-$B109)*6/31</f>
        <v>89.910759714228476</v>
      </c>
      <c r="E109" s="387">
        <f>$B109+($I109-$B109)*11/31</f>
        <v>94.810653200115297</v>
      </c>
      <c r="F109" s="387">
        <f>$B109+($I109-$B109)*16/31</f>
        <v>99.710546686002104</v>
      </c>
      <c r="G109" s="387">
        <f>$B109+($I109-$B109)*21/31</f>
        <v>104.61044017188891</v>
      </c>
      <c r="H109" s="387">
        <f>$B109+($I109-$B109)*26/31</f>
        <v>109.51033365777572</v>
      </c>
      <c r="I109" s="388">
        <f>B109*J109*K109</f>
        <v>114.41022714366252</v>
      </c>
      <c r="J109" s="386">
        <f>J86</f>
        <v>0.9</v>
      </c>
      <c r="K109" s="388">
        <f>$I$34/$B$34</f>
        <v>1.5128065207799204</v>
      </c>
      <c r="M109" s="30" t="s">
        <v>285</v>
      </c>
      <c r="N109" s="30">
        <v>45</v>
      </c>
      <c r="O109" s="30"/>
      <c r="P109" s="30"/>
      <c r="Q109" s="30"/>
      <c r="R109" s="30"/>
      <c r="S109" s="30"/>
      <c r="T109" s="30"/>
      <c r="U109" s="30">
        <v>105</v>
      </c>
      <c r="W109">
        <v>0.9</v>
      </c>
      <c r="X109">
        <v>2.6102977329026702</v>
      </c>
    </row>
    <row r="110" spans="1:24">
      <c r="A110" s="386" t="s">
        <v>302</v>
      </c>
      <c r="B110" s="387">
        <f t="shared" si="12"/>
        <v>567.20849083535904</v>
      </c>
      <c r="C110" s="387">
        <f t="shared" si="12"/>
        <v>513.73790260006501</v>
      </c>
      <c r="D110" s="387">
        <f>$B110+($I110-$B110)*6/31</f>
        <v>540.4658832779478</v>
      </c>
      <c r="E110" s="387">
        <f>$B110+($I110-$B110)*11/31</f>
        <v>518.18037698010517</v>
      </c>
      <c r="F110" s="387">
        <f>$B110+($I110-$B110)*16/31</f>
        <v>495.89487068226248</v>
      </c>
      <c r="G110" s="387">
        <f>$B110+($I110-$B110)*21/31</f>
        <v>473.60936438441979</v>
      </c>
      <c r="H110" s="387">
        <f>$B110+($I110-$B110)*26/31</f>
        <v>451.3238580865771</v>
      </c>
      <c r="I110" s="388">
        <f>B110*J110*K110</f>
        <v>429.03835178873442</v>
      </c>
      <c r="J110" s="386">
        <v>0.5</v>
      </c>
      <c r="K110" s="388">
        <f>$I$34/$B$34</f>
        <v>1.5128065207799204</v>
      </c>
      <c r="M110" s="30" t="s">
        <v>302</v>
      </c>
      <c r="N110" s="30">
        <v>302</v>
      </c>
      <c r="O110" s="30"/>
      <c r="P110" s="30"/>
      <c r="Q110" s="30"/>
      <c r="R110" s="30"/>
      <c r="S110" s="30"/>
      <c r="T110" s="30"/>
      <c r="U110" s="30">
        <v>395</v>
      </c>
      <c r="W110">
        <v>0.5</v>
      </c>
      <c r="X110">
        <v>2.6102977329026702</v>
      </c>
    </row>
    <row r="111" spans="1:24">
      <c r="A111" s="389" t="s">
        <v>303</v>
      </c>
      <c r="B111" s="390">
        <f>'Bilan d''énergie SDES historique'!J61-'Résidentiel-tertiaire'!B149</f>
        <v>1071.3938160223449</v>
      </c>
      <c r="C111" s="392">
        <f>'Bilan d''énergie SDES historique'!J29-'Résidentiel-tertiaire'!C149</f>
        <v>970.39381602234494</v>
      </c>
      <c r="D111" s="392">
        <f t="shared" ref="D111:I111" si="13">SUM(D107:D110)</f>
        <v>1006.4249461672559</v>
      </c>
      <c r="E111" s="392">
        <f t="shared" si="13"/>
        <v>952.28422128801515</v>
      </c>
      <c r="F111" s="392">
        <f t="shared" si="13"/>
        <v>898.14349640877435</v>
      </c>
      <c r="G111" s="392">
        <f t="shared" si="13"/>
        <v>844.00277152953367</v>
      </c>
      <c r="H111" s="392">
        <f t="shared" si="13"/>
        <v>789.86204665029277</v>
      </c>
      <c r="I111" s="392">
        <f t="shared" si="13"/>
        <v>735.72132177105198</v>
      </c>
      <c r="J111" s="386"/>
      <c r="K111" s="386"/>
      <c r="M111" s="91" t="s">
        <v>303</v>
      </c>
      <c r="N111" s="110" t="s">
        <v>162</v>
      </c>
      <c r="O111" s="91"/>
      <c r="P111" s="91"/>
      <c r="Q111" s="91"/>
      <c r="R111" s="91"/>
      <c r="S111" s="91"/>
      <c r="T111" s="91"/>
      <c r="U111" s="110" t="s">
        <v>304</v>
      </c>
    </row>
    <row r="112" spans="1:24">
      <c r="A112" s="434" t="s">
        <v>453</v>
      </c>
      <c r="B112" s="434"/>
      <c r="C112" s="434"/>
      <c r="D112" s="434"/>
      <c r="E112" s="434"/>
      <c r="F112" s="434"/>
      <c r="G112" s="434"/>
      <c r="H112" s="434"/>
      <c r="I112" s="434"/>
      <c r="J112" s="434"/>
      <c r="K112" s="434"/>
      <c r="N112" t="s">
        <v>305</v>
      </c>
      <c r="W112" t="s">
        <v>306</v>
      </c>
      <c r="X112" t="s">
        <v>307</v>
      </c>
    </row>
    <row r="114" spans="1:24">
      <c r="A114" s="271" t="s">
        <v>489</v>
      </c>
      <c r="B114" s="271">
        <v>2019</v>
      </c>
      <c r="C114" s="271">
        <v>2020</v>
      </c>
      <c r="D114" s="271">
        <v>2025</v>
      </c>
      <c r="E114" s="271">
        <v>2030</v>
      </c>
      <c r="F114" s="271">
        <v>2035</v>
      </c>
      <c r="G114" s="271">
        <v>2040</v>
      </c>
      <c r="H114" s="271">
        <v>2045</v>
      </c>
      <c r="I114" s="271">
        <v>2050</v>
      </c>
      <c r="J114" s="271" t="s">
        <v>422</v>
      </c>
    </row>
    <row r="115" spans="1:24">
      <c r="A115" s="271" t="s">
        <v>490</v>
      </c>
      <c r="B115" s="271">
        <v>0</v>
      </c>
      <c r="C115" s="271">
        <v>0</v>
      </c>
      <c r="D115" s="271">
        <v>150</v>
      </c>
      <c r="E115" s="271">
        <v>235</v>
      </c>
      <c r="F115" s="271">
        <v>270</v>
      </c>
      <c r="G115" s="271">
        <v>280</v>
      </c>
      <c r="H115" s="271">
        <v>285</v>
      </c>
      <c r="I115" s="271">
        <v>288</v>
      </c>
      <c r="J115" s="271"/>
    </row>
    <row r="116" spans="1:24">
      <c r="A116" s="378" t="s">
        <v>491</v>
      </c>
      <c r="B116" s="379">
        <f>'Bilan d''énergie SDES historique'!J61-'Résidentiel-tertiaire'!B149</f>
        <v>1071.3938160223449</v>
      </c>
      <c r="C116" s="379">
        <f>'Bilan d''énergie SDES historique'!J29-'Résidentiel-tertiaire'!C149</f>
        <v>970.39381602234494</v>
      </c>
      <c r="D116" s="379">
        <f>($B$116-D115*$F$58*(1-$I$59))*D$34/$C$34</f>
        <v>1090.8788940098175</v>
      </c>
      <c r="E116" s="379">
        <f t="shared" ref="E116:I116" si="14">($B$116-E115*$F$58*(1-$I$59))*E$34/$C$34</f>
        <v>1115.3127454468913</v>
      </c>
      <c r="F116" s="379">
        <f t="shared" si="14"/>
        <v>1156.8302875899947</v>
      </c>
      <c r="G116" s="379">
        <f t="shared" si="14"/>
        <v>1208.2694545474831</v>
      </c>
      <c r="H116" s="379">
        <f t="shared" si="14"/>
        <v>1257.3858866874471</v>
      </c>
      <c r="I116" s="379">
        <f t="shared" si="14"/>
        <v>1305.1938841301028</v>
      </c>
      <c r="J116" s="271"/>
    </row>
    <row r="117" spans="1:24" ht="30.6" customHeight="1">
      <c r="A117" s="436" t="s">
        <v>503</v>
      </c>
      <c r="B117" s="436"/>
      <c r="C117" s="436"/>
      <c r="D117" s="436"/>
      <c r="E117" s="436"/>
      <c r="F117" s="436"/>
      <c r="G117" s="436"/>
      <c r="H117" s="436"/>
      <c r="I117" s="436"/>
      <c r="J117" s="436"/>
    </row>
    <row r="119" spans="1:24">
      <c r="A119" s="414" t="s">
        <v>158</v>
      </c>
      <c r="B119" s="414"/>
      <c r="C119" s="414"/>
      <c r="D119" s="414"/>
      <c r="E119" s="414"/>
      <c r="F119" s="414"/>
      <c r="G119" s="414"/>
      <c r="H119" s="414"/>
      <c r="I119" s="414"/>
      <c r="J119" s="414"/>
      <c r="K119" s="414"/>
      <c r="M119" s="414" t="s">
        <v>159</v>
      </c>
      <c r="N119" s="414"/>
      <c r="O119" s="414"/>
      <c r="P119" s="414"/>
      <c r="Q119" s="414"/>
      <c r="R119" s="414"/>
      <c r="S119" s="414"/>
      <c r="T119" s="414"/>
      <c r="U119" s="414"/>
    </row>
    <row r="121" spans="1:24">
      <c r="A121" s="183" t="s">
        <v>44</v>
      </c>
      <c r="B121" s="1">
        <v>2019</v>
      </c>
      <c r="C121" s="30">
        <v>2020</v>
      </c>
      <c r="D121" s="30">
        <v>2025</v>
      </c>
      <c r="E121" s="30">
        <v>2030</v>
      </c>
      <c r="F121" s="30">
        <v>2035</v>
      </c>
      <c r="G121" s="30">
        <v>2040</v>
      </c>
      <c r="H121" s="30">
        <v>2045</v>
      </c>
      <c r="I121" s="30">
        <v>2050</v>
      </c>
      <c r="J121" s="1" t="s">
        <v>291</v>
      </c>
      <c r="K121" s="1" t="s">
        <v>292</v>
      </c>
      <c r="M121" s="111" t="s">
        <v>44</v>
      </c>
      <c r="N121" s="30">
        <v>2015</v>
      </c>
      <c r="O121" s="30">
        <v>2020</v>
      </c>
      <c r="P121" s="30">
        <v>2025</v>
      </c>
      <c r="Q121" s="30">
        <v>2030</v>
      </c>
      <c r="R121" s="30">
        <v>2035</v>
      </c>
      <c r="S121" s="30">
        <v>2040</v>
      </c>
      <c r="T121" s="30">
        <v>2045</v>
      </c>
      <c r="U121" s="30">
        <v>2050</v>
      </c>
      <c r="W121" t="s">
        <v>291</v>
      </c>
      <c r="X121" t="s">
        <v>292</v>
      </c>
    </row>
    <row r="122" spans="1:24">
      <c r="A122" s="30" t="s">
        <v>284</v>
      </c>
      <c r="B122" s="175">
        <f t="shared" ref="B122:C125" si="15">B$126*$C98</f>
        <v>273.10038447628398</v>
      </c>
      <c r="C122" s="175">
        <f t="shared" si="15"/>
        <v>247.35528643706829</v>
      </c>
      <c r="D122" s="171">
        <f>$B122+($I122-$B122)*6/31</f>
        <v>240.23327985812705</v>
      </c>
      <c r="E122" s="171">
        <f>$B122+($I122-$B122)*11/31</f>
        <v>212.84402600966291</v>
      </c>
      <c r="F122" s="171">
        <f>$B122+($I122-$B122)*16/31</f>
        <v>185.45477216119878</v>
      </c>
      <c r="G122" s="171">
        <f>$B122+($I122-$B122)*21/31</f>
        <v>158.06551831273467</v>
      </c>
      <c r="H122" s="171">
        <f>$B122+($I122-$B122)*26/31</f>
        <v>130.67626446427056</v>
      </c>
      <c r="I122" s="168">
        <f>B122*J122*K122</f>
        <v>103.28701061580644</v>
      </c>
      <c r="J122" s="1">
        <f>J85</f>
        <v>0.25</v>
      </c>
      <c r="K122" s="184">
        <f>$I$34/$B$34</f>
        <v>1.5128065207799204</v>
      </c>
      <c r="M122" s="30" t="s">
        <v>284</v>
      </c>
      <c r="N122" s="30">
        <v>145.6</v>
      </c>
      <c r="O122" s="30"/>
      <c r="P122" s="30"/>
      <c r="Q122" s="30"/>
      <c r="R122" s="30"/>
      <c r="S122" s="30"/>
      <c r="T122" s="30"/>
      <c r="U122" s="30">
        <v>95.014837477657295</v>
      </c>
      <c r="W122">
        <v>0.25</v>
      </c>
      <c r="X122">
        <v>2.6102977329026702</v>
      </c>
    </row>
    <row r="123" spans="1:24">
      <c r="A123" s="30" t="s">
        <v>301</v>
      </c>
      <c r="B123" s="175">
        <f t="shared" si="15"/>
        <v>147.05405317953756</v>
      </c>
      <c r="C123" s="175">
        <f t="shared" si="15"/>
        <v>133.19130808149833</v>
      </c>
      <c r="D123" s="171">
        <f>$B123+($I123-$B123)*6/31</f>
        <v>135.81502331695262</v>
      </c>
      <c r="E123" s="171">
        <f>$B123+($I123-$B123)*11/31</f>
        <v>126.44916509813181</v>
      </c>
      <c r="F123" s="171">
        <f>$B123+($I123-$B123)*16/31</f>
        <v>117.08330687931102</v>
      </c>
      <c r="G123" s="171">
        <f>$B123+($I123-$B123)*21/31</f>
        <v>107.71744866049022</v>
      </c>
      <c r="H123" s="171">
        <f>$B123+($I123-$B123)*26/31</f>
        <v>98.35159044166943</v>
      </c>
      <c r="I123" s="168">
        <f>B123*J123*K123</f>
        <v>88.98573222284864</v>
      </c>
      <c r="J123" s="1">
        <v>0.4</v>
      </c>
      <c r="K123" s="184">
        <f>$I$34/$B$34</f>
        <v>1.5128065207799204</v>
      </c>
      <c r="M123" s="30" t="s">
        <v>301</v>
      </c>
      <c r="N123" s="30">
        <v>78.400000000000006</v>
      </c>
      <c r="O123" s="30"/>
      <c r="P123" s="30"/>
      <c r="Q123" s="30"/>
      <c r="R123" s="30"/>
      <c r="S123" s="30"/>
      <c r="T123" s="30"/>
      <c r="U123" s="30">
        <v>81.858936903827896</v>
      </c>
      <c r="W123">
        <v>0.4</v>
      </c>
      <c r="X123">
        <v>2.6102977329026702</v>
      </c>
    </row>
    <row r="124" spans="1:24">
      <c r="A124" s="30" t="s">
        <v>285</v>
      </c>
      <c r="B124" s="175">
        <f t="shared" si="15"/>
        <v>84.030887531164311</v>
      </c>
      <c r="C124" s="175">
        <f t="shared" si="15"/>
        <v>76.10931890371333</v>
      </c>
      <c r="D124" s="171">
        <f>$B124+($I124-$B124)*6/31</f>
        <v>89.910759714228476</v>
      </c>
      <c r="E124" s="171">
        <f>$B124+($I124-$B124)*11/31</f>
        <v>94.810653200115297</v>
      </c>
      <c r="F124" s="171">
        <f>$B124+($I124-$B124)*16/31</f>
        <v>99.710546686002104</v>
      </c>
      <c r="G124" s="171">
        <f>$B124+($I124-$B124)*21/31</f>
        <v>104.61044017188891</v>
      </c>
      <c r="H124" s="171">
        <f>$B124+($I124-$B124)*26/31</f>
        <v>109.51033365777572</v>
      </c>
      <c r="I124" s="168">
        <f>B124*J124*K124</f>
        <v>114.41022714366252</v>
      </c>
      <c r="J124" s="1">
        <v>0.9</v>
      </c>
      <c r="K124" s="184">
        <f>$I$34/$B$34</f>
        <v>1.5128065207799204</v>
      </c>
      <c r="M124" s="30" t="s">
        <v>285</v>
      </c>
      <c r="N124" s="30">
        <v>44.8</v>
      </c>
      <c r="O124" s="30"/>
      <c r="P124" s="30"/>
      <c r="Q124" s="30"/>
      <c r="R124" s="30"/>
      <c r="S124" s="30"/>
      <c r="T124" s="30"/>
      <c r="U124" s="30">
        <v>105.247204590636</v>
      </c>
      <c r="W124">
        <v>0.9</v>
      </c>
      <c r="X124">
        <v>2.6102977329026702</v>
      </c>
    </row>
    <row r="125" spans="1:24">
      <c r="A125" s="30" t="s">
        <v>302</v>
      </c>
      <c r="B125" s="175">
        <f t="shared" si="15"/>
        <v>567.20849083535904</v>
      </c>
      <c r="C125" s="175">
        <f t="shared" si="15"/>
        <v>513.73790260006501</v>
      </c>
      <c r="D125" s="171">
        <f>$B125+($I125-$B125)*6/31</f>
        <v>540.4658832779478</v>
      </c>
      <c r="E125" s="171">
        <f>$B125+($I125-$B125)*11/31</f>
        <v>518.18037698010517</v>
      </c>
      <c r="F125" s="171">
        <f>$B125+($I125-$B125)*16/31</f>
        <v>495.89487068226248</v>
      </c>
      <c r="G125" s="171">
        <f>$B125+($I125-$B125)*21/31</f>
        <v>473.60936438441979</v>
      </c>
      <c r="H125" s="171">
        <f>$B125+($I125-$B125)*26/31</f>
        <v>451.3238580865771</v>
      </c>
      <c r="I125" s="168">
        <f>B125*J125*K125</f>
        <v>429.03835178873442</v>
      </c>
      <c r="J125" s="1">
        <v>0.5</v>
      </c>
      <c r="K125" s="184">
        <f>$I$34/$B$34</f>
        <v>1.5128065207799204</v>
      </c>
      <c r="M125" s="30" t="s">
        <v>302</v>
      </c>
      <c r="N125" s="30">
        <v>302.39999999999998</v>
      </c>
      <c r="O125" s="30"/>
      <c r="P125" s="30"/>
      <c r="Q125" s="30"/>
      <c r="R125" s="30"/>
      <c r="S125" s="30"/>
      <c r="T125" s="30"/>
      <c r="U125" s="30">
        <v>394.67701721488402</v>
      </c>
      <c r="W125">
        <v>0.5</v>
      </c>
      <c r="X125">
        <v>2.6102977329026702</v>
      </c>
    </row>
    <row r="126" spans="1:24">
      <c r="A126" s="91" t="s">
        <v>303</v>
      </c>
      <c r="B126" s="189">
        <f>B111</f>
        <v>1071.3938160223449</v>
      </c>
      <c r="C126" s="188">
        <f>C111</f>
        <v>970.39381602234494</v>
      </c>
      <c r="D126" s="188">
        <f t="shared" ref="D126:I126" si="16">SUM(D122:D125)</f>
        <v>1006.4249461672559</v>
      </c>
      <c r="E126" s="188">
        <f t="shared" si="16"/>
        <v>952.28422128801515</v>
      </c>
      <c r="F126" s="188">
        <f t="shared" si="16"/>
        <v>898.14349640877435</v>
      </c>
      <c r="G126" s="188">
        <f t="shared" si="16"/>
        <v>844.00277152953367</v>
      </c>
      <c r="H126" s="188">
        <f t="shared" si="16"/>
        <v>789.86204665029277</v>
      </c>
      <c r="I126" s="188">
        <f t="shared" si="16"/>
        <v>735.72132177105198</v>
      </c>
      <c r="J126" s="1"/>
      <c r="K126" s="1"/>
      <c r="M126" s="91" t="s">
        <v>303</v>
      </c>
      <c r="N126" s="91">
        <v>1120</v>
      </c>
      <c r="O126" s="91"/>
      <c r="P126" s="91"/>
      <c r="Q126" s="91"/>
      <c r="R126" s="91"/>
      <c r="S126" s="91"/>
      <c r="T126" s="91"/>
      <c r="U126" s="91">
        <v>1287.8164895048601</v>
      </c>
      <c r="V126" t="s">
        <v>297</v>
      </c>
    </row>
    <row r="127" spans="1:24">
      <c r="A127" s="436" t="s">
        <v>454</v>
      </c>
      <c r="B127" s="436"/>
      <c r="C127" s="436"/>
      <c r="D127" s="436"/>
      <c r="E127" s="436"/>
      <c r="F127" s="436"/>
      <c r="G127" s="436"/>
      <c r="H127" s="436"/>
      <c r="I127" s="436"/>
      <c r="J127" s="436"/>
      <c r="K127" s="436"/>
      <c r="N127" t="s">
        <v>305</v>
      </c>
      <c r="W127" t="s">
        <v>306</v>
      </c>
      <c r="X127" t="s">
        <v>307</v>
      </c>
    </row>
    <row r="128" spans="1:24">
      <c r="N128" t="s">
        <v>308</v>
      </c>
    </row>
    <row r="130" spans="1:21">
      <c r="A130" s="435" t="s">
        <v>309</v>
      </c>
      <c r="B130" s="435"/>
      <c r="C130" s="435"/>
      <c r="D130" s="435"/>
      <c r="E130" s="435"/>
      <c r="F130" s="435"/>
      <c r="G130" s="435"/>
      <c r="H130" s="435"/>
      <c r="I130" s="435"/>
      <c r="J130" s="435"/>
      <c r="K130" s="435"/>
    </row>
    <row r="132" spans="1:21">
      <c r="A132" s="437" t="s">
        <v>310</v>
      </c>
      <c r="B132" s="437"/>
      <c r="C132" s="437"/>
      <c r="D132" s="437"/>
      <c r="E132" s="437"/>
      <c r="F132" s="437"/>
      <c r="G132" s="437"/>
      <c r="H132" s="437"/>
      <c r="I132" s="437"/>
      <c r="J132" s="190"/>
      <c r="K132" s="190"/>
    </row>
    <row r="134" spans="1:21">
      <c r="A134" s="414" t="s">
        <v>311</v>
      </c>
      <c r="B134" s="414"/>
      <c r="C134" s="414"/>
      <c r="D134" s="414"/>
      <c r="E134" s="414"/>
      <c r="F134" s="414"/>
      <c r="G134" s="414"/>
      <c r="H134" s="414"/>
      <c r="I134" s="414"/>
      <c r="J134" s="414"/>
      <c r="M134" s="414" t="s">
        <v>312</v>
      </c>
      <c r="N134" s="414"/>
      <c r="O134" s="414"/>
      <c r="P134" s="414"/>
      <c r="Q134" s="414"/>
      <c r="R134" s="414"/>
      <c r="S134" s="414"/>
      <c r="T134" s="414"/>
      <c r="U134" s="414"/>
    </row>
    <row r="136" spans="1:21">
      <c r="A136" s="1" t="s">
        <v>313</v>
      </c>
      <c r="B136" s="1">
        <v>2019</v>
      </c>
      <c r="C136" s="1">
        <v>2020</v>
      </c>
      <c r="D136" s="1">
        <v>2025</v>
      </c>
      <c r="E136" s="1">
        <v>2030</v>
      </c>
      <c r="F136" s="1">
        <v>2035</v>
      </c>
      <c r="G136" s="1">
        <v>2040</v>
      </c>
      <c r="H136" s="1">
        <v>2045</v>
      </c>
      <c r="I136" s="1">
        <v>2050</v>
      </c>
      <c r="J136" s="271" t="s">
        <v>422</v>
      </c>
      <c r="M136" s="1"/>
      <c r="N136" s="1">
        <v>2015</v>
      </c>
      <c r="O136" s="1">
        <v>2020</v>
      </c>
      <c r="P136" s="1">
        <v>2025</v>
      </c>
      <c r="Q136" s="1">
        <v>2030</v>
      </c>
      <c r="R136" s="1">
        <v>2035</v>
      </c>
      <c r="S136" s="1">
        <v>2040</v>
      </c>
      <c r="T136" s="1">
        <v>2045</v>
      </c>
      <c r="U136" s="1">
        <v>2050</v>
      </c>
    </row>
    <row r="137" spans="1:21">
      <c r="A137" s="1" t="s">
        <v>289</v>
      </c>
      <c r="B137" s="191">
        <f>C137</f>
        <v>126.0081093747</v>
      </c>
      <c r="C137" s="191">
        <f>0.1260081093747*1000</f>
        <v>126.0081093747</v>
      </c>
      <c r="D137" s="192">
        <f>AVERAGE(C137,E137)</f>
        <v>164.33032066953049</v>
      </c>
      <c r="E137" s="191">
        <f>0.202652531964361*1000</f>
        <v>202.652531964361</v>
      </c>
      <c r="F137" s="192">
        <f>AVERAGE(E137,G137)</f>
        <v>266.335573529763</v>
      </c>
      <c r="G137" s="191">
        <f>0.330018615095165*1000</f>
        <v>330.01861509516499</v>
      </c>
      <c r="H137" s="192">
        <f>AVERAGE(G137,I137)</f>
        <v>420.52302450426851</v>
      </c>
      <c r="I137" s="191">
        <f>0.511027433913372*1000</f>
        <v>511.02743391337202</v>
      </c>
      <c r="J137" s="323" t="s">
        <v>455</v>
      </c>
      <c r="K137" t="s">
        <v>445</v>
      </c>
      <c r="M137" s="1" t="s">
        <v>314</v>
      </c>
      <c r="N137" s="1">
        <v>40</v>
      </c>
      <c r="O137" s="1"/>
      <c r="P137" s="1"/>
      <c r="Q137" s="1"/>
      <c r="R137" s="1"/>
      <c r="S137" s="1"/>
      <c r="T137" s="1"/>
      <c r="U137" s="1">
        <v>10</v>
      </c>
    </row>
    <row r="139" spans="1:21">
      <c r="A139" s="414" t="s">
        <v>315</v>
      </c>
      <c r="B139" s="414"/>
      <c r="C139" s="414"/>
      <c r="D139" s="414"/>
      <c r="E139" s="414"/>
      <c r="F139" s="414"/>
      <c r="G139" s="414"/>
      <c r="H139" s="414"/>
      <c r="I139" s="414"/>
      <c r="J139" s="414"/>
      <c r="M139" s="414" t="s">
        <v>316</v>
      </c>
      <c r="N139" s="414"/>
      <c r="O139" s="414"/>
      <c r="P139" s="414"/>
      <c r="Q139" s="414"/>
      <c r="R139" s="414"/>
      <c r="S139" s="414"/>
      <c r="T139" s="414"/>
      <c r="U139" s="414"/>
    </row>
    <row r="141" spans="1:21">
      <c r="A141" s="1" t="s">
        <v>313</v>
      </c>
      <c r="B141" s="1">
        <v>2019</v>
      </c>
      <c r="C141" s="1">
        <v>2020</v>
      </c>
      <c r="D141" s="1">
        <v>2025</v>
      </c>
      <c r="E141" s="1">
        <v>2030</v>
      </c>
      <c r="F141" s="1">
        <v>2035</v>
      </c>
      <c r="G141" s="1">
        <v>2040</v>
      </c>
      <c r="H141" s="1">
        <v>2045</v>
      </c>
      <c r="I141" s="1">
        <v>2050</v>
      </c>
      <c r="J141" s="271" t="s">
        <v>422</v>
      </c>
      <c r="M141" s="1"/>
      <c r="N141" s="1">
        <v>2015</v>
      </c>
      <c r="O141" s="1">
        <v>2020</v>
      </c>
      <c r="P141" s="1">
        <v>2025</v>
      </c>
      <c r="Q141" s="1">
        <v>2030</v>
      </c>
      <c r="R141" s="1">
        <v>2035</v>
      </c>
      <c r="S141" s="1">
        <v>2040</v>
      </c>
      <c r="T141" s="1">
        <v>2045</v>
      </c>
      <c r="U141" s="1">
        <v>2050</v>
      </c>
    </row>
    <row r="142" spans="1:21">
      <c r="A142" s="1" t="s">
        <v>289</v>
      </c>
      <c r="B142" s="191">
        <f>C142</f>
        <v>126.00144841210201</v>
      </c>
      <c r="C142" s="191">
        <f>0.126001448412102*1000</f>
        <v>126.00144841210201</v>
      </c>
      <c r="D142" s="192">
        <f>AVERAGE(C142,E142)</f>
        <v>72.489874787480559</v>
      </c>
      <c r="E142" s="191">
        <f>0.0189783011628591*1000</f>
        <v>18.978301162859101</v>
      </c>
      <c r="F142" s="192">
        <f>AVERAGE(E142,G142)</f>
        <v>23.83643104235275</v>
      </c>
      <c r="G142" s="191">
        <f>0.0286945609218464*1000</f>
        <v>28.694560921846399</v>
      </c>
      <c r="H142" s="192">
        <f>AVERAGE(G142,I142)</f>
        <v>37.818582979956702</v>
      </c>
      <c r="I142" s="191">
        <f>0.046942605038067*1000</f>
        <v>46.942605038067001</v>
      </c>
      <c r="J142" s="323" t="s">
        <v>455</v>
      </c>
      <c r="K142" t="s">
        <v>445</v>
      </c>
      <c r="M142" s="1" t="s">
        <v>314</v>
      </c>
      <c r="N142" s="1"/>
      <c r="O142" s="1"/>
      <c r="P142" s="1"/>
      <c r="Q142" s="1"/>
      <c r="R142" s="1"/>
      <c r="S142" s="1"/>
      <c r="T142" s="1"/>
      <c r="U142" s="1"/>
    </row>
    <row r="144" spans="1:21">
      <c r="A144" s="437" t="s">
        <v>317</v>
      </c>
      <c r="B144" s="437"/>
      <c r="C144" s="437"/>
      <c r="D144" s="437"/>
      <c r="E144" s="437"/>
      <c r="F144" s="437"/>
      <c r="G144" s="437"/>
      <c r="H144" s="437"/>
      <c r="I144" s="437"/>
    </row>
    <row r="146" spans="1:11">
      <c r="A146" s="414" t="s">
        <v>311</v>
      </c>
      <c r="B146" s="414"/>
      <c r="C146" s="414"/>
      <c r="D146" s="414"/>
      <c r="E146" s="414"/>
      <c r="F146" s="414"/>
      <c r="G146" s="414"/>
      <c r="H146" s="414"/>
      <c r="I146" s="414"/>
      <c r="J146" s="414"/>
    </row>
    <row r="148" spans="1:11">
      <c r="A148" s="1" t="s">
        <v>313</v>
      </c>
      <c r="B148" s="1">
        <v>2019</v>
      </c>
      <c r="C148" s="1">
        <v>2020</v>
      </c>
      <c r="D148" s="1">
        <v>2025</v>
      </c>
      <c r="E148" s="1">
        <v>2030</v>
      </c>
      <c r="F148" s="1">
        <v>2035</v>
      </c>
      <c r="G148" s="1">
        <v>2040</v>
      </c>
      <c r="H148" s="1">
        <v>2045</v>
      </c>
      <c r="I148" s="1">
        <v>2050</v>
      </c>
      <c r="J148" s="271" t="s">
        <v>422</v>
      </c>
    </row>
    <row r="149" spans="1:11">
      <c r="A149" s="1" t="s">
        <v>289</v>
      </c>
      <c r="B149" s="191">
        <f>C149</f>
        <v>449.60618397765501</v>
      </c>
      <c r="C149" s="191">
        <f>0.449606183977655*1000</f>
        <v>449.60618397765501</v>
      </c>
      <c r="D149" s="192">
        <f>AVERAGE(C149,E149)</f>
        <v>434.72961733251799</v>
      </c>
      <c r="E149" s="191">
        <f>0.419853050687381*1000</f>
        <v>419.85305068738097</v>
      </c>
      <c r="F149" s="192">
        <f>AVERAGE(E149,G149)</f>
        <v>452.14999933818001</v>
      </c>
      <c r="G149" s="191">
        <f>0.484446947988979*1000</f>
        <v>484.44694798897905</v>
      </c>
      <c r="H149" s="192">
        <f>AVERAGE(G149,I149)</f>
        <v>522.15767909088902</v>
      </c>
      <c r="I149" s="191">
        <f>0.559868410192799*1000</f>
        <v>559.86841019279893</v>
      </c>
      <c r="J149" s="323" t="s">
        <v>455</v>
      </c>
      <c r="K149" t="s">
        <v>445</v>
      </c>
    </row>
    <row r="151" spans="1:11">
      <c r="A151" s="414" t="s">
        <v>315</v>
      </c>
      <c r="B151" s="414"/>
      <c r="C151" s="414"/>
      <c r="D151" s="414"/>
      <c r="E151" s="414"/>
      <c r="F151" s="414"/>
      <c r="G151" s="414"/>
      <c r="H151" s="414"/>
      <c r="I151" s="414"/>
      <c r="J151" s="414"/>
    </row>
    <row r="153" spans="1:11">
      <c r="A153" s="1" t="s">
        <v>313</v>
      </c>
      <c r="B153" s="1">
        <v>2019</v>
      </c>
      <c r="C153" s="1">
        <v>2020</v>
      </c>
      <c r="D153" s="1">
        <v>2025</v>
      </c>
      <c r="E153" s="1">
        <v>2030</v>
      </c>
      <c r="F153" s="1">
        <v>2035</v>
      </c>
      <c r="G153" s="1">
        <v>2040</v>
      </c>
      <c r="H153" s="1">
        <v>2045</v>
      </c>
      <c r="I153" s="1">
        <v>2050</v>
      </c>
      <c r="J153" s="271" t="s">
        <v>422</v>
      </c>
    </row>
    <row r="154" spans="1:11">
      <c r="A154" s="1" t="s">
        <v>289</v>
      </c>
      <c r="B154" s="191">
        <f>C154</f>
        <v>449.60618397765501</v>
      </c>
      <c r="C154" s="191">
        <f>0.449606183977655*1000</f>
        <v>449.60618397765501</v>
      </c>
      <c r="D154" s="192">
        <f>AVERAGE(C154,E154)</f>
        <v>376.72261599915703</v>
      </c>
      <c r="E154" s="191">
        <f>0.303839048020659*1000</f>
        <v>303.83904802065899</v>
      </c>
      <c r="F154" s="192">
        <f>AVERAGE(E154,G154)</f>
        <v>262.10662248343198</v>
      </c>
      <c r="G154" s="191">
        <f>0.220374196946205*1000</f>
        <v>220.37419694620499</v>
      </c>
      <c r="H154" s="192">
        <f>AVERAGE(G154,I154)</f>
        <v>206.30405371524449</v>
      </c>
      <c r="I154" s="191">
        <f>0.192233910484284*1000</f>
        <v>192.233910484284</v>
      </c>
      <c r="J154" s="323" t="s">
        <v>455</v>
      </c>
      <c r="K154" t="s">
        <v>445</v>
      </c>
    </row>
    <row r="156" spans="1:11">
      <c r="A156" s="435" t="s">
        <v>318</v>
      </c>
      <c r="B156" s="435"/>
      <c r="C156" s="435"/>
      <c r="D156" s="435"/>
      <c r="E156" s="435"/>
      <c r="F156" s="435"/>
      <c r="G156" s="435"/>
      <c r="H156" s="435"/>
      <c r="I156" s="435"/>
      <c r="J156" s="435"/>
      <c r="K156" s="435"/>
    </row>
    <row r="159" spans="1:11">
      <c r="A159" s="414" t="s">
        <v>311</v>
      </c>
      <c r="B159" s="414"/>
      <c r="C159" s="414"/>
      <c r="D159" s="414"/>
      <c r="E159" s="414"/>
      <c r="F159" s="414"/>
      <c r="G159" s="414"/>
      <c r="H159" s="414"/>
      <c r="I159" s="414"/>
      <c r="J159" s="414"/>
    </row>
    <row r="160" spans="1:11">
      <c r="B160" s="193"/>
      <c r="C160" s="193"/>
      <c r="D160" s="193"/>
      <c r="E160" s="193"/>
      <c r="F160" s="193"/>
      <c r="G160" s="193"/>
      <c r="H160" s="193"/>
      <c r="I160" s="193"/>
    </row>
    <row r="161" spans="1:11">
      <c r="A161" s="30" t="s">
        <v>313</v>
      </c>
      <c r="B161" s="30">
        <v>2019</v>
      </c>
      <c r="C161" s="30">
        <v>2020</v>
      </c>
      <c r="D161" s="30">
        <v>2025</v>
      </c>
      <c r="E161" s="30">
        <v>2030</v>
      </c>
      <c r="F161" s="30">
        <v>2035</v>
      </c>
      <c r="G161" s="30">
        <v>2040</v>
      </c>
      <c r="H161" s="30">
        <v>2045</v>
      </c>
      <c r="I161" s="202">
        <v>2050</v>
      </c>
      <c r="J161" s="271" t="s">
        <v>456</v>
      </c>
      <c r="K161" t="s">
        <v>445</v>
      </c>
    </row>
    <row r="162" spans="1:11">
      <c r="A162" s="30" t="s">
        <v>319</v>
      </c>
      <c r="B162" s="184">
        <f t="shared" ref="B162:I162" si="17">B137+B79</f>
        <v>1955.0066609625981</v>
      </c>
      <c r="C162" s="184">
        <f t="shared" si="17"/>
        <v>2059</v>
      </c>
      <c r="D162" s="184">
        <f t="shared" si="17"/>
        <v>2025.2575231792985</v>
      </c>
      <c r="E162" s="184">
        <f t="shared" si="17"/>
        <v>2108.5271345221186</v>
      </c>
      <c r="F162" s="184">
        <f t="shared" si="17"/>
        <v>2239.0967521978382</v>
      </c>
      <c r="G162" s="184">
        <f t="shared" si="17"/>
        <v>2383.2294132135385</v>
      </c>
      <c r="H162" s="184">
        <f t="shared" si="17"/>
        <v>2550.9363378879434</v>
      </c>
      <c r="I162" s="317">
        <f t="shared" si="17"/>
        <v>2718.1341016328724</v>
      </c>
      <c r="J162" s="323" t="s">
        <v>457</v>
      </c>
      <c r="K162" t="s">
        <v>445</v>
      </c>
    </row>
    <row r="163" spans="1:11">
      <c r="A163" s="271" t="s">
        <v>320</v>
      </c>
      <c r="B163" s="184">
        <f>K18</f>
        <v>92</v>
      </c>
      <c r="C163" s="184">
        <f>L18</f>
        <v>131</v>
      </c>
      <c r="D163" s="184">
        <f t="shared" ref="D163:I165" si="18">$B163/$B$162*D$162</f>
        <v>95.305911664134271</v>
      </c>
      <c r="E163" s="184">
        <f t="shared" si="18"/>
        <v>99.224468258600027</v>
      </c>
      <c r="F163" s="184">
        <f t="shared" si="18"/>
        <v>105.36889992015332</v>
      </c>
      <c r="G163" s="184">
        <f t="shared" si="18"/>
        <v>112.15159027012658</v>
      </c>
      <c r="H163" s="184">
        <f t="shared" si="18"/>
        <v>120.04365395365815</v>
      </c>
      <c r="I163" s="317">
        <f t="shared" si="18"/>
        <v>127.91175720449806</v>
      </c>
      <c r="J163" s="323" t="s">
        <v>458</v>
      </c>
      <c r="K163" t="s">
        <v>445</v>
      </c>
    </row>
    <row r="164" spans="1:11">
      <c r="A164" s="271" t="s">
        <v>322</v>
      </c>
      <c r="B164" s="184">
        <f>K19</f>
        <v>633</v>
      </c>
      <c r="C164" s="184">
        <f>L19</f>
        <v>655</v>
      </c>
      <c r="D164" s="184">
        <f t="shared" si="18"/>
        <v>655.74610960214113</v>
      </c>
      <c r="E164" s="184">
        <f t="shared" si="18"/>
        <v>682.70748269232399</v>
      </c>
      <c r="F164" s="184">
        <f t="shared" si="18"/>
        <v>724.98384401583746</v>
      </c>
      <c r="G164" s="184">
        <f t="shared" si="18"/>
        <v>771.65170261945775</v>
      </c>
      <c r="H164" s="184">
        <f t="shared" si="18"/>
        <v>825.95253209419127</v>
      </c>
      <c r="I164" s="317">
        <f t="shared" si="18"/>
        <v>880.08850337442675</v>
      </c>
      <c r="J164" s="323" t="s">
        <v>458</v>
      </c>
      <c r="K164" t="s">
        <v>445</v>
      </c>
    </row>
    <row r="165" spans="1:11">
      <c r="A165" s="271" t="s">
        <v>323</v>
      </c>
      <c r="B165" s="184">
        <f>K16</f>
        <v>1230</v>
      </c>
      <c r="C165" s="184">
        <f>L16</f>
        <v>1273</v>
      </c>
      <c r="D165" s="184">
        <f t="shared" si="18"/>
        <v>1274.1986015965776</v>
      </c>
      <c r="E165" s="184">
        <f t="shared" si="18"/>
        <v>1326.5879995443263</v>
      </c>
      <c r="F165" s="184">
        <f t="shared" si="18"/>
        <v>1408.7363793672673</v>
      </c>
      <c r="G165" s="184">
        <f t="shared" si="18"/>
        <v>1499.4180003506053</v>
      </c>
      <c r="H165" s="184">
        <f t="shared" si="18"/>
        <v>1604.9314604673862</v>
      </c>
      <c r="I165" s="317">
        <f t="shared" si="18"/>
        <v>1710.1245800166587</v>
      </c>
      <c r="J165" s="323" t="s">
        <v>458</v>
      </c>
      <c r="K165" t="s">
        <v>445</v>
      </c>
    </row>
    <row r="166" spans="1:11">
      <c r="B166" s="193"/>
      <c r="C166" s="193"/>
      <c r="D166" s="193"/>
      <c r="E166" s="193"/>
      <c r="F166" s="193"/>
      <c r="G166" s="193"/>
      <c r="H166" s="193"/>
      <c r="I166" s="193"/>
      <c r="J166" s="323"/>
      <c r="K166" t="s">
        <v>445</v>
      </c>
    </row>
    <row r="167" spans="1:11">
      <c r="A167" s="271" t="s">
        <v>324</v>
      </c>
      <c r="B167" s="184">
        <f t="shared" ref="B167:I167" si="19">B149+B116</f>
        <v>1521</v>
      </c>
      <c r="C167" s="184">
        <f t="shared" si="19"/>
        <v>1420</v>
      </c>
      <c r="D167" s="184">
        <f t="shared" si="19"/>
        <v>1525.6085113423355</v>
      </c>
      <c r="E167" s="184">
        <f t="shared" si="19"/>
        <v>1535.1657961342723</v>
      </c>
      <c r="F167" s="184">
        <f t="shared" si="19"/>
        <v>1608.9802869281748</v>
      </c>
      <c r="G167" s="184">
        <f t="shared" si="19"/>
        <v>1692.7164025364621</v>
      </c>
      <c r="H167" s="184">
        <f t="shared" si="19"/>
        <v>1779.543565778336</v>
      </c>
      <c r="I167" s="317">
        <f t="shared" si="19"/>
        <v>1865.0622943229018</v>
      </c>
      <c r="J167" s="323"/>
      <c r="K167" t="s">
        <v>445</v>
      </c>
    </row>
    <row r="168" spans="1:11">
      <c r="A168" s="271" t="s">
        <v>320</v>
      </c>
      <c r="B168" s="184">
        <f>'Bilan d''énergie SDES historique'!D61</f>
        <v>333</v>
      </c>
      <c r="C168" s="184">
        <f>'Bilan d''énergie SDES historique'!D29</f>
        <v>280</v>
      </c>
      <c r="D168" s="184">
        <f t="shared" ref="D168:I170" si="20">$B168/$B$167*D$167</f>
        <v>334.00896402169479</v>
      </c>
      <c r="E168" s="184">
        <f t="shared" si="20"/>
        <v>336.10138731933773</v>
      </c>
      <c r="F168" s="184">
        <f t="shared" si="20"/>
        <v>352.26195630971876</v>
      </c>
      <c r="G168" s="184">
        <f t="shared" si="20"/>
        <v>370.59471534821949</v>
      </c>
      <c r="H168" s="184">
        <f t="shared" si="20"/>
        <v>389.60421262602625</v>
      </c>
      <c r="I168" s="317">
        <f t="shared" si="20"/>
        <v>408.32724786951104</v>
      </c>
      <c r="J168" s="323" t="s">
        <v>458</v>
      </c>
      <c r="K168" t="s">
        <v>445</v>
      </c>
    </row>
    <row r="169" spans="1:11">
      <c r="A169" s="271" t="s">
        <v>322</v>
      </c>
      <c r="B169" s="184">
        <f>'Bilan d''énergie SDES historique'!G61</f>
        <v>1</v>
      </c>
      <c r="C169" s="184">
        <f>'Bilan d''énergie SDES historique'!G29</f>
        <v>1</v>
      </c>
      <c r="D169" s="184">
        <f t="shared" si="20"/>
        <v>1.0030299219870713</v>
      </c>
      <c r="E169" s="184">
        <f t="shared" si="20"/>
        <v>1.0093134754334467</v>
      </c>
      <c r="F169" s="184">
        <f t="shared" si="20"/>
        <v>1.0578437126417981</v>
      </c>
      <c r="G169" s="184">
        <f t="shared" si="20"/>
        <v>1.1128970430877463</v>
      </c>
      <c r="H169" s="184">
        <f t="shared" si="20"/>
        <v>1.1699826204985773</v>
      </c>
      <c r="I169" s="317">
        <f t="shared" si="20"/>
        <v>1.2262079515600932</v>
      </c>
      <c r="J169" s="323" t="s">
        <v>458</v>
      </c>
      <c r="K169" t="s">
        <v>445</v>
      </c>
    </row>
    <row r="170" spans="1:11">
      <c r="A170" s="271" t="s">
        <v>323</v>
      </c>
      <c r="B170" s="184">
        <f>'Bilan d''énergie SDES historique'!H61</f>
        <v>1187</v>
      </c>
      <c r="C170" s="184">
        <f>'Bilan d''énergie SDES historique'!H29</f>
        <v>1139</v>
      </c>
      <c r="D170" s="184">
        <f t="shared" si="20"/>
        <v>1190.5965173986535</v>
      </c>
      <c r="E170" s="184">
        <f t="shared" si="20"/>
        <v>1198.0550953395011</v>
      </c>
      <c r="F170" s="184">
        <f t="shared" si="20"/>
        <v>1255.6604869058142</v>
      </c>
      <c r="G170" s="184">
        <f t="shared" si="20"/>
        <v>1321.0087901451548</v>
      </c>
      <c r="H170" s="184">
        <f t="shared" si="20"/>
        <v>1388.7693705318111</v>
      </c>
      <c r="I170" s="317">
        <f t="shared" si="20"/>
        <v>1455.5088385018305</v>
      </c>
      <c r="J170" s="323" t="s">
        <v>458</v>
      </c>
      <c r="K170" t="s">
        <v>447</v>
      </c>
    </row>
    <row r="171" spans="1:11">
      <c r="A171" s="431" t="s">
        <v>459</v>
      </c>
      <c r="B171" s="431"/>
      <c r="C171" s="431"/>
      <c r="D171" s="431"/>
      <c r="E171" s="431"/>
      <c r="F171" s="431"/>
      <c r="G171" s="431"/>
      <c r="H171" s="431"/>
      <c r="I171" s="431"/>
      <c r="J171" s="431"/>
    </row>
    <row r="173" spans="1:11">
      <c r="A173" s="414" t="s">
        <v>315</v>
      </c>
      <c r="B173" s="414"/>
      <c r="C173" s="414"/>
      <c r="D173" s="414"/>
      <c r="E173" s="414"/>
      <c r="F173" s="414"/>
      <c r="G173" s="414"/>
      <c r="H173" s="414"/>
      <c r="I173" s="414"/>
      <c r="J173" s="414"/>
    </row>
    <row r="174" spans="1:11">
      <c r="B174" s="193"/>
      <c r="C174" s="193"/>
      <c r="D174" s="193"/>
      <c r="E174" s="193"/>
      <c r="F174" s="193"/>
      <c r="G174" s="193"/>
      <c r="H174" s="193"/>
      <c r="I174" s="193"/>
    </row>
    <row r="175" spans="1:11">
      <c r="A175" s="30" t="s">
        <v>313</v>
      </c>
      <c r="B175" s="30">
        <v>2019</v>
      </c>
      <c r="C175" s="30">
        <v>2020</v>
      </c>
      <c r="D175" s="30">
        <v>2025</v>
      </c>
      <c r="E175" s="30">
        <v>2030</v>
      </c>
      <c r="F175" s="30">
        <v>2035</v>
      </c>
      <c r="G175" s="30">
        <v>2040</v>
      </c>
      <c r="H175" s="30">
        <v>2045</v>
      </c>
      <c r="I175" s="202">
        <v>2050</v>
      </c>
      <c r="J175" s="271" t="s">
        <v>422</v>
      </c>
      <c r="K175" t="s">
        <v>445</v>
      </c>
    </row>
    <row r="176" spans="1:11">
      <c r="A176" s="30" t="s">
        <v>319</v>
      </c>
      <c r="B176" s="175">
        <f t="shared" ref="B176:I176" si="21">B142+B90</f>
        <v>1954.9933390374019</v>
      </c>
      <c r="C176" s="175">
        <f t="shared" si="21"/>
        <v>2058.9933390374017</v>
      </c>
      <c r="D176" s="175">
        <f t="shared" si="21"/>
        <v>1809.6552220311762</v>
      </c>
      <c r="E176" s="175">
        <f t="shared" si="21"/>
        <v>1679.6215289218844</v>
      </c>
      <c r="F176" s="175">
        <f t="shared" si="21"/>
        <v>1607.9575393167077</v>
      </c>
      <c r="G176" s="175">
        <f t="shared" si="21"/>
        <v>1536.2935497115313</v>
      </c>
      <c r="H176" s="175">
        <f t="shared" si="21"/>
        <v>1468.8954522849708</v>
      </c>
      <c r="I176" s="322">
        <f t="shared" si="21"/>
        <v>1401.497354858411</v>
      </c>
      <c r="J176" s="323"/>
      <c r="K176" t="s">
        <v>445</v>
      </c>
    </row>
    <row r="177" spans="1:11">
      <c r="A177" s="271" t="s">
        <v>320</v>
      </c>
      <c r="B177" s="191">
        <f>K18</f>
        <v>92</v>
      </c>
      <c r="C177" s="191">
        <f>L18</f>
        <v>131</v>
      </c>
      <c r="D177" s="175">
        <f>C177+($I177-$C177)/6</f>
        <v>109.16666666666667</v>
      </c>
      <c r="E177" s="175">
        <f>D177+($I177-$C177)/6</f>
        <v>87.333333333333343</v>
      </c>
      <c r="F177" s="175">
        <f>E177+($I177-$C177)/6</f>
        <v>65.500000000000014</v>
      </c>
      <c r="G177" s="175">
        <f>F177+($I177-$C177)/6</f>
        <v>43.666666666666686</v>
      </c>
      <c r="H177" s="175">
        <f>G177+($I177-$C177)/6</f>
        <v>21.833333333333353</v>
      </c>
      <c r="I177" s="322">
        <v>0</v>
      </c>
      <c r="J177" s="323" t="s">
        <v>325</v>
      </c>
      <c r="K177" t="s">
        <v>445</v>
      </c>
    </row>
    <row r="178" spans="1:11">
      <c r="A178" s="271" t="s">
        <v>322</v>
      </c>
      <c r="B178" s="191">
        <f>K19</f>
        <v>633</v>
      </c>
      <c r="C178" s="191">
        <f>L19</f>
        <v>655</v>
      </c>
      <c r="D178" s="175">
        <f t="shared" ref="D178:I178" si="22">$C178/$C$176*D$176+($C177/$C176*D176/3)</f>
        <v>614.06016125508302</v>
      </c>
      <c r="E178" s="175">
        <f t="shared" si="22"/>
        <v>569.93655716343562</v>
      </c>
      <c r="F178" s="175">
        <f t="shared" si="22"/>
        <v>545.61921733129645</v>
      </c>
      <c r="G178" s="175">
        <f t="shared" si="22"/>
        <v>521.3018774991574</v>
      </c>
      <c r="H178" s="175">
        <f t="shared" si="22"/>
        <v>498.43205894466672</v>
      </c>
      <c r="I178" s="322">
        <f t="shared" si="22"/>
        <v>475.56224039017627</v>
      </c>
      <c r="J178" s="323" t="s">
        <v>326</v>
      </c>
      <c r="K178" t="s">
        <v>445</v>
      </c>
    </row>
    <row r="179" spans="1:11">
      <c r="A179" s="271" t="s">
        <v>323</v>
      </c>
      <c r="B179" s="191">
        <f>B165</f>
        <v>1230</v>
      </c>
      <c r="C179" s="191">
        <f>C165</f>
        <v>1273</v>
      </c>
      <c r="D179" s="175">
        <f t="shared" ref="D179:I179" si="23">D176-D177-D178</f>
        <v>1086.4283941094263</v>
      </c>
      <c r="E179" s="175">
        <f t="shared" si="23"/>
        <v>1022.3516384251155</v>
      </c>
      <c r="F179" s="175">
        <f t="shared" si="23"/>
        <v>996.8383219854112</v>
      </c>
      <c r="G179" s="175">
        <f t="shared" si="23"/>
        <v>971.3250055457072</v>
      </c>
      <c r="H179" s="175">
        <f t="shared" si="23"/>
        <v>948.63006000697078</v>
      </c>
      <c r="I179" s="322">
        <f t="shared" si="23"/>
        <v>925.9351144682347</v>
      </c>
      <c r="J179" s="323" t="s">
        <v>327</v>
      </c>
      <c r="K179" t="s">
        <v>445</v>
      </c>
    </row>
    <row r="180" spans="1:11">
      <c r="B180" s="193"/>
      <c r="C180" s="193"/>
      <c r="D180" s="193"/>
      <c r="E180" s="193"/>
      <c r="F180" s="193"/>
      <c r="G180" s="193"/>
      <c r="H180" s="193"/>
      <c r="I180" s="193"/>
      <c r="J180" s="323"/>
    </row>
    <row r="181" spans="1:11">
      <c r="A181" s="271" t="s">
        <v>324</v>
      </c>
      <c r="B181" s="175">
        <f t="shared" ref="B181:I181" si="24">B154+B126</f>
        <v>1521</v>
      </c>
      <c r="C181" s="175">
        <f t="shared" si="24"/>
        <v>1420</v>
      </c>
      <c r="D181" s="175">
        <f t="shared" si="24"/>
        <v>1383.1475621664131</v>
      </c>
      <c r="E181" s="175">
        <f t="shared" si="24"/>
        <v>1256.123269308674</v>
      </c>
      <c r="F181" s="175">
        <f t="shared" si="24"/>
        <v>1160.2501188922063</v>
      </c>
      <c r="G181" s="175">
        <f t="shared" si="24"/>
        <v>1064.3769684757387</v>
      </c>
      <c r="H181" s="175">
        <f t="shared" si="24"/>
        <v>996.1661003655372</v>
      </c>
      <c r="I181" s="322">
        <f t="shared" si="24"/>
        <v>927.955232255336</v>
      </c>
      <c r="J181" s="323"/>
      <c r="K181" t="s">
        <v>445</v>
      </c>
    </row>
    <row r="182" spans="1:11">
      <c r="A182" s="271" t="s">
        <v>320</v>
      </c>
      <c r="B182" s="191">
        <f t="shared" ref="B182:C184" si="25">B168</f>
        <v>333</v>
      </c>
      <c r="C182" s="191">
        <f t="shared" si="25"/>
        <v>280</v>
      </c>
      <c r="D182" s="175">
        <f>C182+($I182-$C182)/6</f>
        <v>233.33333333333334</v>
      </c>
      <c r="E182" s="175">
        <f>D182+($I182-$C182)/6</f>
        <v>186.66666666666669</v>
      </c>
      <c r="F182" s="175">
        <f>E182+($I182-$C182)/6</f>
        <v>140.00000000000003</v>
      </c>
      <c r="G182" s="175">
        <f>F182+($I182-$C182)/6</f>
        <v>93.333333333333371</v>
      </c>
      <c r="H182" s="175">
        <f>G182+($I182-$C182)/6</f>
        <v>46.666666666666707</v>
      </c>
      <c r="I182" s="322">
        <v>0</v>
      </c>
      <c r="J182" s="323" t="s">
        <v>325</v>
      </c>
      <c r="K182" t="s">
        <v>445</v>
      </c>
    </row>
    <row r="183" spans="1:11">
      <c r="A183" s="271" t="s">
        <v>322</v>
      </c>
      <c r="B183" s="191">
        <f t="shared" si="25"/>
        <v>1</v>
      </c>
      <c r="C183" s="191">
        <f t="shared" si="25"/>
        <v>1</v>
      </c>
      <c r="D183" s="175">
        <f t="shared" ref="D183:I183" si="26">$C183/$C$181*D$181</f>
        <v>0.97404757899043182</v>
      </c>
      <c r="E183" s="175">
        <f t="shared" si="26"/>
        <v>0.88459385162582682</v>
      </c>
      <c r="F183" s="175">
        <f t="shared" si="26"/>
        <v>0.8170775485156383</v>
      </c>
      <c r="G183" s="175">
        <f t="shared" si="26"/>
        <v>0.74956124540544988</v>
      </c>
      <c r="H183" s="175">
        <f t="shared" si="26"/>
        <v>0.70152542279263186</v>
      </c>
      <c r="I183" s="322">
        <f t="shared" si="26"/>
        <v>0.65348960017981417</v>
      </c>
      <c r="J183" s="323" t="s">
        <v>321</v>
      </c>
      <c r="K183" t="s">
        <v>445</v>
      </c>
    </row>
    <row r="184" spans="1:11">
      <c r="A184" s="271" t="s">
        <v>323</v>
      </c>
      <c r="B184" s="191">
        <f t="shared" si="25"/>
        <v>1187</v>
      </c>
      <c r="C184" s="191">
        <f t="shared" si="25"/>
        <v>1139</v>
      </c>
      <c r="D184" s="175">
        <f t="shared" ref="D184:I184" si="27">D181-D182-D183</f>
        <v>1148.8401812540894</v>
      </c>
      <c r="E184" s="175">
        <f t="shared" si="27"/>
        <v>1068.5720087903815</v>
      </c>
      <c r="F184" s="175">
        <f t="shared" si="27"/>
        <v>1019.4330413436907</v>
      </c>
      <c r="G184" s="175">
        <f t="shared" si="27"/>
        <v>970.29407389699998</v>
      </c>
      <c r="H184" s="175">
        <f t="shared" si="27"/>
        <v>948.79790827607781</v>
      </c>
      <c r="I184" s="322">
        <f t="shared" si="27"/>
        <v>927.3017426551562</v>
      </c>
      <c r="J184" s="323" t="s">
        <v>327</v>
      </c>
      <c r="K184" t="s">
        <v>447</v>
      </c>
    </row>
    <row r="185" spans="1:11">
      <c r="A185" s="431" t="s">
        <v>460</v>
      </c>
      <c r="B185" s="431"/>
      <c r="C185" s="431"/>
      <c r="D185" s="431"/>
      <c r="E185" s="431"/>
      <c r="F185" s="431"/>
      <c r="G185" s="431"/>
      <c r="H185" s="431"/>
      <c r="I185" s="431"/>
      <c r="J185" s="431"/>
    </row>
  </sheetData>
  <mergeCells count="40">
    <mergeCell ref="A185:J185"/>
    <mergeCell ref="A173:J173"/>
    <mergeCell ref="A159:J159"/>
    <mergeCell ref="A151:J151"/>
    <mergeCell ref="A146:J146"/>
    <mergeCell ref="A144:I144"/>
    <mergeCell ref="A156:K156"/>
    <mergeCell ref="A171:J171"/>
    <mergeCell ref="A130:K130"/>
    <mergeCell ref="A132:I132"/>
    <mergeCell ref="A91:K91"/>
    <mergeCell ref="A112:K112"/>
    <mergeCell ref="A127:K127"/>
    <mergeCell ref="A119:K119"/>
    <mergeCell ref="A104:K104"/>
    <mergeCell ref="A95:K95"/>
    <mergeCell ref="A117:J117"/>
    <mergeCell ref="M134:U134"/>
    <mergeCell ref="M139:U139"/>
    <mergeCell ref="A139:J139"/>
    <mergeCell ref="A134:J134"/>
    <mergeCell ref="A93:K93"/>
    <mergeCell ref="M104:U104"/>
    <mergeCell ref="M119:U119"/>
    <mergeCell ref="M66:U66"/>
    <mergeCell ref="M82:U82"/>
    <mergeCell ref="A2:K2"/>
    <mergeCell ref="M22:U22"/>
    <mergeCell ref="M37:U37"/>
    <mergeCell ref="A35:J35"/>
    <mergeCell ref="A37:K37"/>
    <mergeCell ref="A22:K22"/>
    <mergeCell ref="A4:K4"/>
    <mergeCell ref="A50:J50"/>
    <mergeCell ref="A75:K75"/>
    <mergeCell ref="A82:K82"/>
    <mergeCell ref="A66:K66"/>
    <mergeCell ref="A54:K54"/>
    <mergeCell ref="A52:K52"/>
    <mergeCell ref="A80:J80"/>
  </mergeCells>
  <pageMargins left="0.7" right="0.7" top="0.75" bottom="0.75" header="0.51180555555555496" footer="0.51180555555555496"/>
  <pageSetup paperSize="9" firstPageNumber="0" orientation="landscape"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Pour Enerdata</vt:lpstr>
      <vt:lpstr>DESCRIPTION</vt:lpstr>
      <vt:lpstr>Hypothèses</vt:lpstr>
      <vt:lpstr>Bilan d'énergie</vt:lpstr>
      <vt:lpstr>Cadrage macroéconomique </vt:lpstr>
      <vt:lpstr>Prod Energie</vt:lpstr>
      <vt:lpstr>Transports</vt:lpstr>
      <vt:lpstr>Industrie</vt:lpstr>
      <vt:lpstr>Résidentiel-tertiaire</vt:lpstr>
      <vt:lpstr>Agriculture</vt:lpstr>
      <vt:lpstr>UTCATF</vt:lpstr>
      <vt:lpstr>Déchets</vt:lpstr>
      <vt:lpstr>GES</vt:lpstr>
      <vt:lpstr>Bilan d'énergie SDES historique</vt:lpstr>
      <vt:lpstr>Calculs</vt:lpstr>
    </vt:vector>
  </TitlesOfParts>
  <Company>MTES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CHAIGNEAU Yanis</dc:creator>
  <dc:description/>
  <cp:lastModifiedBy>CHAIGNEAU Yanis</cp:lastModifiedBy>
  <cp:revision>1</cp:revision>
  <dcterms:created xsi:type="dcterms:W3CDTF">2022-05-19T17:31:58Z</dcterms:created>
  <dcterms:modified xsi:type="dcterms:W3CDTF">2023-07-19T09:57:14Z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MTES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